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0" windowWidth="12030" windowHeight="6570" tabRatio="818" activeTab="0"/>
  </bookViews>
  <sheets>
    <sheet name="list" sheetId="1" r:id="rId1"/>
    <sheet name="source" sheetId="2" r:id="rId2"/>
    <sheet name="cond" sheetId="3" r:id="rId3"/>
    <sheet name="emiss 1" sheetId="4" r:id="rId4"/>
    <sheet name="emiss 2" sheetId="5" r:id="rId5"/>
    <sheet name="feed 1" sheetId="6" r:id="rId6"/>
    <sheet name="feed 2" sheetId="7" r:id="rId7"/>
    <sheet name="process 1" sheetId="8" r:id="rId8"/>
    <sheet name="process 2" sheetId="9" r:id="rId9"/>
    <sheet name="df c10" sheetId="10" r:id="rId10"/>
    <sheet name="df c12" sheetId="11" r:id="rId11"/>
    <sheet name="df c13" sheetId="12" r:id="rId12"/>
    <sheet name="df c1" sheetId="13" r:id="rId13"/>
    <sheet name="df c2" sheetId="14" r:id="rId14"/>
    <sheet name="df c3" sheetId="15" r:id="rId15"/>
    <sheet name="df c4" sheetId="16" r:id="rId16"/>
    <sheet name="df c5" sheetId="17" r:id="rId17"/>
    <sheet name="df c6" sheetId="18" r:id="rId18"/>
    <sheet name="df b2" sheetId="19" r:id="rId19"/>
    <sheet name="df b3" sheetId="20" r:id="rId20"/>
  </sheets>
  <definedNames>
    <definedName name="_xlnm.Print_Titles" localSheetId="5">'feed 1'!$B:$B</definedName>
    <definedName name="_xlnm.Print_Titles" localSheetId="6">'feed 2'!$B:$B</definedName>
  </definedNames>
  <calcPr fullCalcOnLoad="1"/>
</workbook>
</file>

<file path=xl/sharedStrings.xml><?xml version="1.0" encoding="utf-8"?>
<sst xmlns="http://schemas.openxmlformats.org/spreadsheetml/2006/main" count="5222" uniqueCount="401">
  <si>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</si>
  <si>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</si>
  <si>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</si>
  <si>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</si>
  <si>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</si>
  <si>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</si>
  <si>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</si>
  <si>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APCS Characteristics</t>
  </si>
  <si>
    <t>Stack Characteristics</t>
  </si>
  <si>
    <t xml:space="preserve">    Diameter (ft)</t>
  </si>
  <si>
    <t xml:space="preserve">    Height (ft)</t>
  </si>
  <si>
    <t>Permitting Status</t>
  </si>
  <si>
    <t>PM</t>
  </si>
  <si>
    <t>gr/dscf</t>
  </si>
  <si>
    <t>y</t>
  </si>
  <si>
    <t>ppmv</t>
  </si>
  <si>
    <t>dscfm</t>
  </si>
  <si>
    <t>%</t>
  </si>
  <si>
    <t>°F</t>
  </si>
  <si>
    <t>Facility Name and ID:</t>
  </si>
  <si>
    <t>Condition ID:</t>
  </si>
  <si>
    <t>Condition/Test Date:</t>
  </si>
  <si>
    <t>I-TEF</t>
  </si>
  <si>
    <t>Wght Fact</t>
  </si>
  <si>
    <t>Total</t>
  </si>
  <si>
    <t xml:space="preserve"> TEQ</t>
  </si>
  <si>
    <t>TEQ</t>
  </si>
  <si>
    <t>2,3,7,8-TCDD</t>
  </si>
  <si>
    <t>1,2,3,7,8-PCDD</t>
  </si>
  <si>
    <t>1,2,3,4,7,8-HxCDD</t>
  </si>
  <si>
    <t>1,2,3,6,7,8-HxCDD</t>
  </si>
  <si>
    <t>1,2,3,7,8,9-HxCDD</t>
  </si>
  <si>
    <t>1,2,3,4,6,7,8-HpCDD</t>
  </si>
  <si>
    <t>OCDD</t>
  </si>
  <si>
    <t>2,3,7,8-TCDF</t>
  </si>
  <si>
    <t>1,2,3,7,8-PCDF</t>
  </si>
  <si>
    <t>2,3,4,7,8-PCDF</t>
  </si>
  <si>
    <t>1,2,3,4,7,8-HxCDF</t>
  </si>
  <si>
    <t>1,2,3,6,7,8-HxCDF</t>
  </si>
  <si>
    <t>2,3,4,6,7,8-HxCDF</t>
  </si>
  <si>
    <t>1,2,3,7,8,9-HxCDF</t>
  </si>
  <si>
    <t>1,2,3,4,6,7,8-HpCDF</t>
  </si>
  <si>
    <t>1,2,3,4,7,8,9-HpCDF</t>
  </si>
  <si>
    <t>OCDF</t>
  </si>
  <si>
    <t>Gas sample volume (dscf)</t>
  </si>
  <si>
    <t>PCDD/PCDF (ng/dscm @ 7% O2)</t>
  </si>
  <si>
    <t>Cond Avg</t>
  </si>
  <si>
    <t>Feedstream Description</t>
  </si>
  <si>
    <t>Ash</t>
  </si>
  <si>
    <t>HCl</t>
  </si>
  <si>
    <t>Cl2</t>
  </si>
  <si>
    <t>DRE</t>
  </si>
  <si>
    <t>lb/hr</t>
  </si>
  <si>
    <r>
      <t>o</t>
    </r>
    <r>
      <rPr>
        <sz val="10"/>
        <rFont val="Arial"/>
        <family val="2"/>
      </rPr>
      <t>F</t>
    </r>
  </si>
  <si>
    <t>ug/dscm</t>
  </si>
  <si>
    <t>SVM</t>
  </si>
  <si>
    <t>LVM</t>
  </si>
  <si>
    <t>O2 (%)</t>
  </si>
  <si>
    <t>TEQ Cond Avg</t>
  </si>
  <si>
    <t>Total Cond Avg</t>
  </si>
  <si>
    <t>mg/dscm</t>
  </si>
  <si>
    <t>HW</t>
  </si>
  <si>
    <t>HC</t>
  </si>
  <si>
    <t>ng/dscm</t>
  </si>
  <si>
    <t>Combustor Characteristics</t>
  </si>
  <si>
    <t>Process Information</t>
  </si>
  <si>
    <t>1/2 ND</t>
  </si>
  <si>
    <t>PCDD/PCDF</t>
  </si>
  <si>
    <t>Hazardous Wastes</t>
  </si>
  <si>
    <t>Supplemental Fuel</t>
  </si>
  <si>
    <t>Capacity (MMBtu/hr)</t>
  </si>
  <si>
    <t xml:space="preserve">    Gas Velocity (ft/sec)</t>
  </si>
  <si>
    <t xml:space="preserve">    Gas Temperature (°F)</t>
  </si>
  <si>
    <t>Source Description</t>
  </si>
  <si>
    <t>Soot Blowing</t>
  </si>
  <si>
    <t>Haz Waste Description</t>
  </si>
  <si>
    <t xml:space="preserve">   Temperature</t>
  </si>
  <si>
    <t xml:space="preserve">   Stack Gas Flowrate</t>
  </si>
  <si>
    <t>Lead</t>
  </si>
  <si>
    <t>Beryllium</t>
  </si>
  <si>
    <t>Mercury</t>
  </si>
  <si>
    <t xml:space="preserve">   O2</t>
  </si>
  <si>
    <t xml:space="preserve">   Moisture</t>
  </si>
  <si>
    <t>Chromium</t>
  </si>
  <si>
    <t>Sampling Train</t>
  </si>
  <si>
    <t>*</t>
  </si>
  <si>
    <t>HWC Burn Status (Date if Terminated)</t>
  </si>
  <si>
    <t>Total TCDD</t>
  </si>
  <si>
    <t>Total PCDD</t>
  </si>
  <si>
    <t>Total HxCDD</t>
  </si>
  <si>
    <t>Total HpCDD</t>
  </si>
  <si>
    <t>Total TCDF</t>
  </si>
  <si>
    <t>Total PCDF</t>
  </si>
  <si>
    <t>Total HxCDF</t>
  </si>
  <si>
    <t>Total HpCDF</t>
  </si>
  <si>
    <t>PCDD/PCDF (ng in sample)</t>
  </si>
  <si>
    <t>Metals</t>
  </si>
  <si>
    <t>nd</t>
  </si>
  <si>
    <t>Detected in sample volume (pg)</t>
  </si>
  <si>
    <t>n</t>
  </si>
  <si>
    <t>mg/dscf</t>
  </si>
  <si>
    <t>Phase I ID No.</t>
  </si>
  <si>
    <t>Silver</t>
  </si>
  <si>
    <t>Arsenic</t>
  </si>
  <si>
    <t>Cadmium</t>
  </si>
  <si>
    <t>Nickel</t>
  </si>
  <si>
    <t>Phosphorus</t>
  </si>
  <si>
    <t>Selenium</t>
  </si>
  <si>
    <t>Tin</t>
  </si>
  <si>
    <t>Thallium</t>
  </si>
  <si>
    <t>Vanadium</t>
  </si>
  <si>
    <t>Zinc</t>
  </si>
  <si>
    <t>ug/dscf</t>
  </si>
  <si>
    <t>CO (RA)</t>
  </si>
  <si>
    <t>Comb Cham Pressure</t>
  </si>
  <si>
    <t>in H2O</t>
  </si>
  <si>
    <t>VS Pressure Drop</t>
  </si>
  <si>
    <t>gpm</t>
  </si>
  <si>
    <t>VS Brine Flow</t>
  </si>
  <si>
    <t>Natural gas</t>
  </si>
  <si>
    <t>Run 2</t>
  </si>
  <si>
    <t>CO (MHRA)</t>
  </si>
  <si>
    <t xml:space="preserve">POHC </t>
  </si>
  <si>
    <t>POHC Feedrate</t>
  </si>
  <si>
    <t>Emission Rate</t>
  </si>
  <si>
    <t>Stack Gas Flowrate</t>
  </si>
  <si>
    <t>Oxygen</t>
  </si>
  <si>
    <t>Feedrate MTEC Calculations</t>
  </si>
  <si>
    <t>Sec Comb Chamb Temp</t>
  </si>
  <si>
    <t>Primary Comb Chamb Temp</t>
  </si>
  <si>
    <t>Clean Liquor Flow</t>
  </si>
  <si>
    <t>Demistor pressure drop</t>
  </si>
  <si>
    <t>Scrubber liquid</t>
  </si>
  <si>
    <t>pH</t>
  </si>
  <si>
    <t>603C10</t>
  </si>
  <si>
    <t>2000 Bi-Annual Stack Test/Trial Burn - Chemical Waste Mgmt, Inc. Port Arthur, TX, June 2000</t>
  </si>
  <si>
    <t>URS Radian and TRC</t>
  </si>
  <si>
    <t>March 21-22, 2000</t>
  </si>
  <si>
    <t>PM, HCl/Cl2, metals, DRE, PCDD/F,VOC/SVOC, HC, NOx, SO2</t>
  </si>
  <si>
    <t>603C11</t>
  </si>
  <si>
    <t>Nickel SRE</t>
  </si>
  <si>
    <t>Kiln exit Temp</t>
  </si>
  <si>
    <t>Kiln Pressure</t>
  </si>
  <si>
    <t>KV</t>
  </si>
  <si>
    <t>IWS recycle flow (avg of 4)</t>
  </si>
  <si>
    <t>Absorber Flow (avg of 2)</t>
  </si>
  <si>
    <t>Absorber pH (avg of 2)</t>
  </si>
  <si>
    <t>IWS secondary voltage (avg of 4)</t>
  </si>
  <si>
    <t>Chlorobenzene</t>
  </si>
  <si>
    <t xml:space="preserve">Multiple feeds into kiln (bulk &amp; containerzied solids; sludge; energetic, organic &amp; aqueous liquids), multiple liquids into SCC </t>
  </si>
  <si>
    <t>Bulk &amp; containerzied solids; sludge; energetic, organic &amp; aqueous liquids</t>
  </si>
  <si>
    <t>Tetrachloroethene</t>
  </si>
  <si>
    <t>PCB</t>
  </si>
  <si>
    <t>NOx</t>
  </si>
  <si>
    <t>SO2</t>
  </si>
  <si>
    <t>HF</t>
  </si>
  <si>
    <t>Port Arthur</t>
  </si>
  <si>
    <t>TX</t>
  </si>
  <si>
    <t>CWM commercial incinerator</t>
  </si>
  <si>
    <t>TXD000838896</t>
  </si>
  <si>
    <t>WQ/ABS/4-IWS</t>
  </si>
  <si>
    <t>Run 1</t>
  </si>
  <si>
    <t>Run 3</t>
  </si>
  <si>
    <t>Btu/lb</t>
  </si>
  <si>
    <t>Sp. Gr.</t>
  </si>
  <si>
    <t>Energetic liquid - kiln (En liq-kiln)</t>
  </si>
  <si>
    <t>Energetic liquid - SCC (En liq-scc)</t>
  </si>
  <si>
    <t>Gas flowrate</t>
  </si>
  <si>
    <t>Quench tower, absorber, 4-stage IWS w/cooling tower</t>
  </si>
  <si>
    <t>Metals (Ni only)</t>
  </si>
  <si>
    <t>603C12</t>
  </si>
  <si>
    <t>July 10-12, 1998</t>
  </si>
  <si>
    <t>July 14-16, 1998</t>
  </si>
  <si>
    <t>603C13</t>
  </si>
  <si>
    <t>Antimony</t>
  </si>
  <si>
    <t>Barium</t>
  </si>
  <si>
    <t>CWM</t>
  </si>
  <si>
    <t>PM, D/F, metals, HCl/Cl2</t>
  </si>
  <si>
    <t>Feed Description</t>
  </si>
  <si>
    <t>603C1</t>
  </si>
  <si>
    <t>Report Name/Date</t>
  </si>
  <si>
    <t>Toxic Substances Control Act Trial Burn Report, Chemical Waste Management Incinerator Facility, Port Arthur, Texas, prepared by Radian, June 30, 1990</t>
  </si>
  <si>
    <t>Report Prepare</t>
  </si>
  <si>
    <t>Radian Corp</t>
  </si>
  <si>
    <t>Testing Firm</t>
  </si>
  <si>
    <t>Cond Descr</t>
  </si>
  <si>
    <t>Test Dates</t>
  </si>
  <si>
    <t>March 14-21, 1990</t>
  </si>
  <si>
    <t>603C2</t>
  </si>
  <si>
    <t>March 24-25, 1990</t>
  </si>
  <si>
    <t>603C3</t>
  </si>
  <si>
    <t>June 15-16, 1992</t>
  </si>
  <si>
    <t>603C4</t>
  </si>
  <si>
    <t>June 17-18, 1992</t>
  </si>
  <si>
    <t>603C5</t>
  </si>
  <si>
    <t>June 30 - July 1, 1992</t>
  </si>
  <si>
    <t>603C6</t>
  </si>
  <si>
    <t>Jan 10-11, 1990</t>
  </si>
  <si>
    <t>603C7</t>
  </si>
  <si>
    <t>603C8</t>
  </si>
  <si>
    <t>603C9</t>
  </si>
  <si>
    <t>603B1</t>
  </si>
  <si>
    <t>Jan 13 - Feb 4, 1990</t>
  </si>
  <si>
    <t>603B2</t>
  </si>
  <si>
    <t>Feb 26-28, 1990</t>
  </si>
  <si>
    <t>603B3</t>
  </si>
  <si>
    <t>July 20-21, 1994</t>
  </si>
  <si>
    <t>603B4</t>
  </si>
  <si>
    <t>603B5</t>
  </si>
  <si>
    <t>R1</t>
  </si>
  <si>
    <t>R2</t>
  </si>
  <si>
    <t>R3</t>
  </si>
  <si>
    <t/>
  </si>
  <si>
    <t>PCBs</t>
  </si>
  <si>
    <t>Dioxin &amp; Furan</t>
  </si>
  <si>
    <t>Particulate</t>
  </si>
  <si>
    <t>SVOC</t>
  </si>
  <si>
    <t>1,1,2-trichloroethane</t>
  </si>
  <si>
    <t>Carbon Tetrachloride</t>
  </si>
  <si>
    <t>trichloroethene</t>
  </si>
  <si>
    <t>Halogens</t>
  </si>
  <si>
    <t>VOC</t>
  </si>
  <si>
    <t>Chlorine</t>
  </si>
  <si>
    <t>based on chlorine in PCBs</t>
  </si>
  <si>
    <t>based on ash in non-energetic solids</t>
  </si>
  <si>
    <t>Bulk Solids</t>
  </si>
  <si>
    <t>Aqueous wastes</t>
  </si>
  <si>
    <t>Energetic Liq</t>
  </si>
  <si>
    <t>SCC Energetic Liq</t>
  </si>
  <si>
    <t>Chlorinated POHC</t>
  </si>
  <si>
    <t>Feedrate</t>
  </si>
  <si>
    <t>wt %</t>
  </si>
  <si>
    <t>R4</t>
  </si>
  <si>
    <t>Aqeuous wastes</t>
  </si>
  <si>
    <t>Wt Fact</t>
  </si>
  <si>
    <t>Full ND</t>
  </si>
  <si>
    <t>4D 2378</t>
  </si>
  <si>
    <t>4D Other</t>
  </si>
  <si>
    <t>4D Total</t>
  </si>
  <si>
    <t>5D 12378</t>
  </si>
  <si>
    <t>5D Other</t>
  </si>
  <si>
    <t>5D Total</t>
  </si>
  <si>
    <t>6D 123478</t>
  </si>
  <si>
    <t>6D 123678</t>
  </si>
  <si>
    <t>6D 123789</t>
  </si>
  <si>
    <t>6D Other</t>
  </si>
  <si>
    <t>6D Total</t>
  </si>
  <si>
    <t>7D 1234678</t>
  </si>
  <si>
    <t>7D Other</t>
  </si>
  <si>
    <t>7D Total</t>
  </si>
  <si>
    <t>8D</t>
  </si>
  <si>
    <t>4F 2378</t>
  </si>
  <si>
    <t>4F Other</t>
  </si>
  <si>
    <t>4F Total</t>
  </si>
  <si>
    <t>5F 12378</t>
  </si>
  <si>
    <t>5F 23478</t>
  </si>
  <si>
    <t>5F Other</t>
  </si>
  <si>
    <t>5F Total</t>
  </si>
  <si>
    <t>6F 123478</t>
  </si>
  <si>
    <t>6F 123678</t>
  </si>
  <si>
    <t>6F 123789</t>
  </si>
  <si>
    <t>6F 234678</t>
  </si>
  <si>
    <t>6F Other</t>
  </si>
  <si>
    <t>6F Total</t>
  </si>
  <si>
    <t>7F 1234678</t>
  </si>
  <si>
    <t>7F 1234789</t>
  </si>
  <si>
    <t>7F Other</t>
  </si>
  <si>
    <t>7F Total</t>
  </si>
  <si>
    <t>8F</t>
  </si>
  <si>
    <t>Total PCDD/PCDF</t>
  </si>
  <si>
    <t>Condition Description</t>
  </si>
  <si>
    <t>Testing Dates</t>
  </si>
  <si>
    <t>Condition Descr</t>
  </si>
  <si>
    <t>Content</t>
  </si>
  <si>
    <t>Combustor Class</t>
  </si>
  <si>
    <t>Combustor Type</t>
  </si>
  <si>
    <t>Rotary kiln</t>
  </si>
  <si>
    <t>Rotary kiln with secondary combustion chamber, 14' diameter</t>
  </si>
  <si>
    <t>Stack Gas Emissions 2</t>
  </si>
  <si>
    <t>Stack Gas Emissions 1</t>
  </si>
  <si>
    <t>Feedstream 2</t>
  </si>
  <si>
    <t>Feedstream</t>
  </si>
  <si>
    <t>Trial Burn Report, Chemical Waste Management Incinerator Facility, Port Arthur, Texas, prepared by Radian, May 25, 1990</t>
  </si>
  <si>
    <t>Radian</t>
  </si>
  <si>
    <t>Trial Burn Report, Bi-Annual Stack Test on the Hazardous Waste Incinerator System, prepared by Radian for Chemical Waste Management, Port Arthur, TX, October 19, 1994</t>
  </si>
  <si>
    <t>Supplemental Trial Burn, Chemical Waste Management Incinerator Facility Port Arthur Texas, prepared by Radian for Chemical Waste Management, October 10, 1990</t>
  </si>
  <si>
    <t>R5</t>
  </si>
  <si>
    <t>R6</t>
  </si>
  <si>
    <t>Aqueous liquid kiln / SCC</t>
  </si>
  <si>
    <t>Kiln bulk solids</t>
  </si>
  <si>
    <t>Feed Rate</t>
  </si>
  <si>
    <t>Density</t>
  </si>
  <si>
    <t>Heating value</t>
  </si>
  <si>
    <t>Feedstreams 2</t>
  </si>
  <si>
    <t>Drum solids</t>
  </si>
  <si>
    <t>Chemical Waste Mgmt</t>
  </si>
  <si>
    <t>60310</t>
  </si>
  <si>
    <t>F</t>
  </si>
  <si>
    <t>60311</t>
  </si>
  <si>
    <t>WS pH</t>
  </si>
  <si>
    <t>60313</t>
  </si>
  <si>
    <t>Kiln Temperature</t>
  </si>
  <si>
    <t>Afterburner Temperature</t>
  </si>
  <si>
    <t>WS Temperature</t>
  </si>
  <si>
    <t>Process Information 2</t>
  </si>
  <si>
    <t>Number of Sister Facilities</t>
  </si>
  <si>
    <t>APCS Detailed Acronym</t>
  </si>
  <si>
    <t>APCS General Class</t>
  </si>
  <si>
    <t>Liq,soild</t>
  </si>
  <si>
    <t>Cond Dates</t>
  </si>
  <si>
    <t>Trial Burn, Treat Liquid PCB Waste</t>
  </si>
  <si>
    <t>Trial Burn, Treat Non Liquid PCB Waste</t>
  </si>
  <si>
    <t>Bi-Annual Stack Test At "Normal" Operating Condition</t>
  </si>
  <si>
    <t>Demonstrate Operating Conditions Outside Current Permit</t>
  </si>
  <si>
    <t>Demonstrate Operating Conditions Outside Permit</t>
  </si>
  <si>
    <t>Trial Burn, Pohc Dre On Energetic Sludge &amp; Liquid And Aqueous Liquid Fed</t>
  </si>
  <si>
    <t>Trial Burn, Dre On Non-Energetic Sludge &amp; Liquid And Energetic Solid Fed</t>
  </si>
  <si>
    <t>Trial Burn, DRE On Non-Energetic Solids Fed To Kiln</t>
  </si>
  <si>
    <t>Trial Burn, DRE On Energetic Liquid Fed To SCC</t>
  </si>
  <si>
    <t>Trial Burn, DRE On Non-Energetic And Energetic Sludge Fed To Kiln</t>
  </si>
  <si>
    <t>Trial Burn, Dre On  Energetic Liquid And Sludge</t>
  </si>
  <si>
    <t>Bi-Annual Stack Test At "Normal" Operating Conditions</t>
  </si>
  <si>
    <t>Trial Burn, Min Kiln Temp (1200F), Min Heat Input</t>
  </si>
  <si>
    <t>Trial Burn, Min Kiln Temp (1300F), Min Heat Input</t>
  </si>
  <si>
    <t>E1</t>
  </si>
  <si>
    <t>E2</t>
  </si>
  <si>
    <t>Total Chlorine</t>
  </si>
  <si>
    <t>Comments</t>
  </si>
  <si>
    <t>Units</t>
  </si>
  <si>
    <t>7%O2</t>
  </si>
  <si>
    <t>E3</t>
  </si>
  <si>
    <t>E4</t>
  </si>
  <si>
    <t>source</t>
  </si>
  <si>
    <t>cond</t>
  </si>
  <si>
    <t>emiss 1</t>
  </si>
  <si>
    <t>emiss 2</t>
  </si>
  <si>
    <t>feed 1</t>
  </si>
  <si>
    <t>feed 2</t>
  </si>
  <si>
    <t>process 1</t>
  </si>
  <si>
    <t>process 2</t>
  </si>
  <si>
    <t>df c10</t>
  </si>
  <si>
    <t>df c12</t>
  </si>
  <si>
    <t>df c13</t>
  </si>
  <si>
    <t>df c1</t>
  </si>
  <si>
    <t>df c2</t>
  </si>
  <si>
    <t>df c3</t>
  </si>
  <si>
    <t>df c4</t>
  </si>
  <si>
    <t>df c5</t>
  </si>
  <si>
    <t>df c6</t>
  </si>
  <si>
    <t>df b2</t>
  </si>
  <si>
    <t>df b3</t>
  </si>
  <si>
    <t>Commercial incinerator</t>
  </si>
  <si>
    <t>February 24-26, 1990</t>
  </si>
  <si>
    <t>January 27-29, 1990</t>
  </si>
  <si>
    <t>September 19 ,1990</t>
  </si>
  <si>
    <t>September 20 ,1990</t>
  </si>
  <si>
    <t>HC (RA)</t>
  </si>
  <si>
    <t>Chromium (Hex)</t>
  </si>
  <si>
    <t>Feedstream Number</t>
  </si>
  <si>
    <t>Feed Class</t>
  </si>
  <si>
    <t>F1</t>
  </si>
  <si>
    <t>Liq HW</t>
  </si>
  <si>
    <t>F2</t>
  </si>
  <si>
    <t>F3</t>
  </si>
  <si>
    <t>F4</t>
  </si>
  <si>
    <t>Solid HW</t>
  </si>
  <si>
    <t>F5</t>
  </si>
  <si>
    <t>F6</t>
  </si>
  <si>
    <t>NG</t>
  </si>
  <si>
    <t>F7</t>
  </si>
  <si>
    <t>MF</t>
  </si>
  <si>
    <t>Feed Class 2</t>
  </si>
  <si>
    <t>Thermal Feedrate</t>
  </si>
  <si>
    <t>MMBtu/hr</t>
  </si>
  <si>
    <t>Estimated Firing Rate</t>
  </si>
  <si>
    <t>Report, 1998 Bi-Annual Stack Test / Risk Assessment Test / Trial Burn,  Chemical Waste Management Inc., Port Arthur, Texas Incinerator, prepared by Radian Int., Nov 13, 1998</t>
  </si>
  <si>
    <t>metals</t>
  </si>
  <si>
    <t>Aluminum</t>
  </si>
  <si>
    <t>Boron</t>
  </si>
  <si>
    <t>Calcium</t>
  </si>
  <si>
    <t>Cobalt</t>
  </si>
  <si>
    <t>Copper</t>
  </si>
  <si>
    <t>Iron</t>
  </si>
  <si>
    <t>Magnesium</t>
  </si>
  <si>
    <t>Molybdenum</t>
  </si>
  <si>
    <t>Potassium</t>
  </si>
  <si>
    <t>Silicon</t>
  </si>
  <si>
    <t>Sodium</t>
  </si>
  <si>
    <t>Strontium</t>
  </si>
  <si>
    <t>Titanium</t>
  </si>
  <si>
    <t>Manganese</t>
  </si>
  <si>
    <t>CWM, Port Arthur, TX</t>
  </si>
  <si>
    <t>Tetrachloroethylene</t>
  </si>
  <si>
    <t>HW solid</t>
  </si>
  <si>
    <t>WQ, LEWS, IWS</t>
  </si>
  <si>
    <t>RCRA / TSCA Biannual Trial burn, normal metal feeds</t>
  </si>
  <si>
    <t>Bi-Annual Stack Test on the Hazardous Waste Incinerator System, Port Arthur, Texas, prepared by Radian, September 21,1992, DCN # 263-091-05-00, Prepared for, Chemical Waste Management Inc.</t>
  </si>
  <si>
    <t>Bi-annual testing, typical operations (metals at historic feedrates)</t>
  </si>
  <si>
    <t>Bi-annual testing trial burn, max temp, max metals feeds</t>
  </si>
  <si>
    <t>RCRA &amp; TSCA, Tier III metals -- As, Be, Cd, Cr, Pb</t>
  </si>
  <si>
    <t>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</si>
</sst>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000"/>
    <numFmt numFmtId="167" formatCode="0.000"/>
    <numFmt numFmtId="168" formatCode="#,##0.000"/>
    <numFmt numFmtId="169" formatCode="#,##0.0000"/>
    <numFmt numFmtId="170" formatCode="0.000000"/>
    <numFmt numFmtId="171" formatCode="0.00000"/>
    <numFmt numFmtId="172" formatCode="mmm\-yyyy"/>
    <numFmt numFmtId="173" formatCode="&quot;$&quot;#,##0.0"/>
    <numFmt numFmtId="174" formatCode="#,##0.0"/>
    <numFmt numFmtId="175" formatCode="0.00000000"/>
    <numFmt numFmtId="176" formatCode="0.0000000"/>
    <numFmt numFmtId="177" formatCode="0.000000000"/>
    <numFmt numFmtId="178" formatCode="0.0E+00"/>
    <numFmt numFmtId="179" formatCode="mm/dd/yy"/>
  </numFmts>
  <fonts count="8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5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11" fontId="0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11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Continuous"/>
    </xf>
    <xf numFmtId="1" fontId="0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horizontal="center"/>
    </xf>
    <xf numFmtId="2" fontId="0" fillId="0" borderId="0" xfId="0" applyNumberFormat="1" applyFon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vertical="top" wrapText="1"/>
    </xf>
    <xf numFmtId="166" fontId="0" fillId="0" borderId="0" xfId="0" applyNumberFormat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11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Fill="1" applyBorder="1" applyAlignment="1">
      <alignment/>
    </xf>
    <xf numFmtId="175" fontId="0" fillId="0" borderId="0" xfId="0" applyNumberFormat="1" applyFont="1" applyFill="1" applyBorder="1" applyAlignment="1">
      <alignment horizontal="right"/>
    </xf>
    <xf numFmtId="167" fontId="0" fillId="0" borderId="0" xfId="0" applyNumberFormat="1" applyAlignment="1">
      <alignment/>
    </xf>
    <xf numFmtId="175" fontId="0" fillId="0" borderId="0" xfId="0" applyNumberFormat="1" applyAlignment="1">
      <alignment/>
    </xf>
    <xf numFmtId="1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70" fontId="0" fillId="0" borderId="0" xfId="0" applyNumberFormat="1" applyFont="1" applyFill="1" applyBorder="1" applyAlignment="1">
      <alignment horizontal="right"/>
    </xf>
    <xf numFmtId="170" fontId="0" fillId="0" borderId="0" xfId="0" applyNumberFormat="1" applyAlignment="1">
      <alignment/>
    </xf>
    <xf numFmtId="1" fontId="0" fillId="0" borderId="0" xfId="0" applyNumberFormat="1" applyFont="1" applyAlignment="1">
      <alignment horizontal="left"/>
    </xf>
    <xf numFmtId="11" fontId="0" fillId="0" borderId="0" xfId="0" applyNumberFormat="1" applyAlignment="1">
      <alignment/>
    </xf>
    <xf numFmtId="171" fontId="0" fillId="0" borderId="0" xfId="0" applyNumberFormat="1" applyFont="1" applyFill="1" applyBorder="1" applyAlignment="1">
      <alignment horizontal="right"/>
    </xf>
    <xf numFmtId="171" fontId="0" fillId="0" borderId="0" xfId="0" applyNumberFormat="1" applyFont="1" applyFill="1" applyBorder="1" applyAlignment="1">
      <alignment horizontal="left"/>
    </xf>
    <xf numFmtId="171" fontId="0" fillId="0" borderId="0" xfId="0" applyNumberFormat="1" applyAlignment="1">
      <alignment/>
    </xf>
    <xf numFmtId="2" fontId="0" fillId="0" borderId="0" xfId="0" applyNumberFormat="1" applyFont="1" applyBorder="1" applyAlignment="1">
      <alignment horizontal="right"/>
    </xf>
    <xf numFmtId="167" fontId="0" fillId="0" borderId="0" xfId="0" applyNumberFormat="1" applyFont="1" applyBorder="1" applyAlignment="1">
      <alignment horizontal="right"/>
    </xf>
    <xf numFmtId="17" fontId="0" fillId="0" borderId="0" xfId="0" applyNumberFormat="1" applyFont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Fill="1" applyBorder="1" applyAlignment="1">
      <alignment horizontal="center"/>
    </xf>
    <xf numFmtId="167" fontId="0" fillId="0" borderId="0" xfId="0" applyNumberFormat="1" applyFill="1" applyBorder="1" applyAlignment="1">
      <alignment/>
    </xf>
    <xf numFmtId="171" fontId="0" fillId="0" borderId="0" xfId="0" applyNumberFormat="1" applyFill="1" applyBorder="1" applyAlignment="1">
      <alignment/>
    </xf>
    <xf numFmtId="0" fontId="0" fillId="0" borderId="0" xfId="0" applyFont="1" applyBorder="1" applyAlignment="1">
      <alignment vertical="top"/>
    </xf>
    <xf numFmtId="0" fontId="3" fillId="0" borderId="0" xfId="0" applyFont="1" applyAlignment="1">
      <alignment vertical="top" wrapText="1"/>
    </xf>
    <xf numFmtId="164" fontId="0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79" fontId="0" fillId="0" borderId="0" xfId="0" applyNumberFormat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170" fontId="0" fillId="0" borderId="0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17" fontId="0" fillId="0" borderId="0" xfId="0" applyNumberFormat="1" applyFont="1" applyAlignment="1">
      <alignment horizontal="left" vertical="top" wrapText="1"/>
    </xf>
    <xf numFmtId="17" fontId="0" fillId="0" borderId="0" xfId="0" applyNumberFormat="1" applyAlignment="1">
      <alignment horizontal="left" vertical="top"/>
    </xf>
    <xf numFmtId="17" fontId="0" fillId="0" borderId="0" xfId="0" applyNumberFormat="1" applyAlignment="1">
      <alignment horizontal="left" vertical="top" wrapText="1"/>
    </xf>
    <xf numFmtId="164" fontId="0" fillId="0" borderId="0" xfId="0" applyNumberFormat="1" applyAlignment="1">
      <alignment horizontal="left" vertical="top" wrapText="1"/>
    </xf>
    <xf numFmtId="0" fontId="5" fillId="0" borderId="0" xfId="0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7" fillId="0" borderId="0" xfId="0" applyFont="1" applyBorder="1" applyAlignment="1">
      <alignment horizontal="right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Alignment="1">
      <alignment horizontal="centerContinuous"/>
    </xf>
    <xf numFmtId="167" fontId="0" fillId="0" borderId="0" xfId="0" applyNumberFormat="1" applyAlignment="1">
      <alignment horizontal="centerContinuous"/>
    </xf>
    <xf numFmtId="167" fontId="0" fillId="0" borderId="0" xfId="0" applyNumberFormat="1" applyAlignment="1">
      <alignment horizontal="center"/>
    </xf>
    <xf numFmtId="166" fontId="0" fillId="0" borderId="0" xfId="0" applyNumberFormat="1" applyFont="1" applyFill="1" applyBorder="1" applyAlignment="1">
      <alignment horizontal="left"/>
    </xf>
    <xf numFmtId="166" fontId="0" fillId="0" borderId="0" xfId="0" applyNumberForma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tabSelected="1" workbookViewId="0" topLeftCell="A1">
      <selection activeCell="L24" sqref="L24"/>
    </sheetView>
  </sheetViews>
  <sheetFormatPr defaultColWidth="9.140625" defaultRowHeight="12.75"/>
  <sheetData>
    <row r="1" ht="12.75">
      <c r="A1" t="s">
        <v>332</v>
      </c>
    </row>
    <row r="2" ht="12.75">
      <c r="A2" t="s">
        <v>333</v>
      </c>
    </row>
    <row r="3" ht="12.75">
      <c r="A3" t="s">
        <v>334</v>
      </c>
    </row>
    <row r="4" ht="12.75">
      <c r="A4" t="s">
        <v>335</v>
      </c>
    </row>
    <row r="5" ht="12.75">
      <c r="A5" t="s">
        <v>336</v>
      </c>
    </row>
    <row r="6" ht="12.75">
      <c r="A6" t="s">
        <v>337</v>
      </c>
    </row>
    <row r="7" ht="12.75">
      <c r="A7" t="s">
        <v>338</v>
      </c>
    </row>
    <row r="8" ht="12.75">
      <c r="A8" t="s">
        <v>339</v>
      </c>
    </row>
    <row r="9" ht="12.75">
      <c r="A9" t="s">
        <v>340</v>
      </c>
    </row>
    <row r="10" ht="12.75">
      <c r="A10" t="s">
        <v>341</v>
      </c>
    </row>
    <row r="11" ht="12.75">
      <c r="A11" t="s">
        <v>342</v>
      </c>
    </row>
    <row r="12" ht="12.75">
      <c r="A12" t="s">
        <v>343</v>
      </c>
    </row>
    <row r="13" ht="12.75">
      <c r="A13" t="s">
        <v>344</v>
      </c>
    </row>
    <row r="14" ht="12.75">
      <c r="A14" t="s">
        <v>345</v>
      </c>
    </row>
    <row r="15" ht="12.75">
      <c r="A15" t="s">
        <v>346</v>
      </c>
    </row>
    <row r="16" ht="12.75">
      <c r="A16" t="s">
        <v>347</v>
      </c>
    </row>
    <row r="17" ht="12.75">
      <c r="A17" t="s">
        <v>348</v>
      </c>
    </row>
    <row r="18" ht="12.75">
      <c r="A18" t="s">
        <v>349</v>
      </c>
    </row>
    <row r="19" ht="12.75">
      <c r="A19" t="s">
        <v>350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32"/>
  <sheetViews>
    <sheetView zoomScale="75" zoomScaleNormal="75" workbookViewId="0" topLeftCell="A11">
      <selection activeCell="B35" sqref="B35"/>
    </sheetView>
  </sheetViews>
  <sheetFormatPr defaultColWidth="9.140625" defaultRowHeight="12.75"/>
  <cols>
    <col min="1" max="1" width="1.7109375" style="0" customWidth="1"/>
    <col min="2" max="2" width="20.00390625" style="0" customWidth="1"/>
    <col min="3" max="3" width="8.140625" style="0" customWidth="1"/>
    <col min="4" max="4" width="6.421875" style="0" customWidth="1"/>
    <col min="5" max="5" width="9.421875" style="0" customWidth="1"/>
    <col min="6" max="6" width="9.8515625" style="0" customWidth="1"/>
    <col min="8" max="8" width="9.8515625" style="0" customWidth="1"/>
    <col min="9" max="9" width="3.421875" style="46" customWidth="1"/>
    <col min="11" max="11" width="9.28125" style="0" customWidth="1"/>
    <col min="13" max="13" width="9.28125" style="0" customWidth="1"/>
    <col min="14" max="14" width="6.421875" style="0" customWidth="1"/>
    <col min="16" max="16" width="9.00390625" style="0" customWidth="1"/>
    <col min="18" max="18" width="9.00390625" style="0" customWidth="1"/>
    <col min="19" max="19" width="2.8515625" style="0" customWidth="1"/>
    <col min="22" max="22" width="9.00390625" style="0" customWidth="1"/>
  </cols>
  <sheetData>
    <row r="1" spans="1:18" ht="12.75">
      <c r="A1" s="37" t="s">
        <v>67</v>
      </c>
      <c r="B1" s="23"/>
      <c r="C1" s="23"/>
      <c r="D1" s="23"/>
      <c r="E1" s="30"/>
      <c r="F1" s="31"/>
      <c r="G1" s="30"/>
      <c r="H1" s="31"/>
      <c r="I1" s="34"/>
      <c r="J1" s="30"/>
      <c r="K1" s="30"/>
      <c r="L1" s="30"/>
      <c r="M1" s="30"/>
      <c r="N1" s="30"/>
      <c r="O1" s="30"/>
      <c r="P1" s="30"/>
      <c r="Q1" s="30"/>
      <c r="R1" s="30"/>
    </row>
    <row r="2" spans="1:18" ht="12.75">
      <c r="A2" s="23" t="s">
        <v>400</v>
      </c>
      <c r="B2" s="23"/>
      <c r="C2" s="23"/>
      <c r="D2" s="23"/>
      <c r="E2" s="30"/>
      <c r="F2" s="31"/>
      <c r="G2" s="30"/>
      <c r="H2" s="31"/>
      <c r="I2" s="34"/>
      <c r="J2" s="30"/>
      <c r="K2" s="30"/>
      <c r="L2" s="30"/>
      <c r="M2" s="30"/>
      <c r="N2" s="30"/>
      <c r="O2" s="30"/>
      <c r="P2" s="30"/>
      <c r="Q2" s="30"/>
      <c r="R2" s="30"/>
    </row>
    <row r="3" spans="1:18" ht="12.75">
      <c r="A3" s="23" t="s">
        <v>19</v>
      </c>
      <c r="B3" s="23"/>
      <c r="C3" s="6" t="s">
        <v>176</v>
      </c>
      <c r="D3" s="6"/>
      <c r="E3" s="30"/>
      <c r="F3" s="31"/>
      <c r="G3" s="30"/>
      <c r="H3" s="31"/>
      <c r="I3" s="34"/>
      <c r="J3" s="30"/>
      <c r="K3" s="30"/>
      <c r="L3" s="30"/>
      <c r="M3" s="30"/>
      <c r="N3" s="30"/>
      <c r="O3" s="30"/>
      <c r="P3" s="30"/>
      <c r="Q3" s="30"/>
      <c r="R3" s="30"/>
    </row>
    <row r="4" spans="1:18" ht="12.75">
      <c r="A4" s="23" t="s">
        <v>20</v>
      </c>
      <c r="B4" s="23"/>
      <c r="C4" s="6" t="str">
        <f>cond!C3</f>
        <v>603C10</v>
      </c>
      <c r="D4" s="6"/>
      <c r="E4" s="32"/>
      <c r="F4" s="33"/>
      <c r="G4" s="32"/>
      <c r="H4" s="33"/>
      <c r="I4" s="34"/>
      <c r="J4" s="32"/>
      <c r="K4" s="32"/>
      <c r="L4" s="32"/>
      <c r="M4" s="32"/>
      <c r="N4" s="32"/>
      <c r="O4" s="32"/>
      <c r="P4" s="32"/>
      <c r="Q4" s="32"/>
      <c r="R4" s="32"/>
    </row>
    <row r="5" spans="1:18" ht="12.75">
      <c r="A5" s="23" t="s">
        <v>21</v>
      </c>
      <c r="B5" s="23"/>
      <c r="C5" s="9" t="str">
        <f>cond!C10</f>
        <v>RCRA / TSCA Biannual Trial burn, normal metal feeds</v>
      </c>
      <c r="D5" s="9"/>
      <c r="E5" s="9"/>
      <c r="F5" s="74">
        <f>cond!C9</f>
        <v>36607</v>
      </c>
      <c r="G5" s="9"/>
      <c r="H5" s="9" t="str">
        <f>cond!C8</f>
        <v>March 21-22, 2000</v>
      </c>
      <c r="I5" s="42"/>
      <c r="J5" s="9"/>
      <c r="K5" s="30"/>
      <c r="L5" s="9"/>
      <c r="M5" s="30"/>
      <c r="N5" s="30"/>
      <c r="O5" s="30"/>
      <c r="P5" s="30"/>
      <c r="Q5" s="30"/>
      <c r="R5" s="30"/>
    </row>
    <row r="6" spans="1:18" ht="12.75">
      <c r="A6" s="23"/>
      <c r="B6" s="23"/>
      <c r="C6" s="25"/>
      <c r="D6" s="25"/>
      <c r="E6" s="34"/>
      <c r="F6" s="31"/>
      <c r="G6" s="34"/>
      <c r="H6" s="31"/>
      <c r="I6" s="34"/>
      <c r="J6" s="34"/>
      <c r="K6" s="30"/>
      <c r="L6" s="34"/>
      <c r="M6" s="30"/>
      <c r="N6" s="30"/>
      <c r="O6" s="34"/>
      <c r="P6" s="30"/>
      <c r="Q6" s="34"/>
      <c r="R6" s="30"/>
    </row>
    <row r="7" spans="1:18" s="76" customFormat="1" ht="12.75">
      <c r="A7" s="23"/>
      <c r="B7" s="23"/>
      <c r="C7" s="25" t="s">
        <v>22</v>
      </c>
      <c r="D7" s="25"/>
      <c r="E7" s="35" t="s">
        <v>161</v>
      </c>
      <c r="F7" s="35"/>
      <c r="G7" s="35"/>
      <c r="H7" s="35"/>
      <c r="I7" s="8"/>
      <c r="J7" s="35" t="s">
        <v>120</v>
      </c>
      <c r="K7" s="35"/>
      <c r="L7" s="35"/>
      <c r="M7" s="35"/>
      <c r="N7" s="8"/>
      <c r="O7" s="35" t="s">
        <v>162</v>
      </c>
      <c r="P7" s="35"/>
      <c r="Q7" s="35"/>
      <c r="R7" s="35"/>
    </row>
    <row r="8" spans="1:18" s="76" customFormat="1" ht="12.75">
      <c r="A8" s="23"/>
      <c r="B8" s="23"/>
      <c r="C8" s="25" t="s">
        <v>23</v>
      </c>
      <c r="D8" s="23"/>
      <c r="E8" s="34" t="s">
        <v>24</v>
      </c>
      <c r="F8" s="33" t="s">
        <v>25</v>
      </c>
      <c r="G8" s="34" t="s">
        <v>24</v>
      </c>
      <c r="H8" s="33" t="s">
        <v>25</v>
      </c>
      <c r="I8" s="34"/>
      <c r="J8" s="34" t="s">
        <v>24</v>
      </c>
      <c r="K8" s="34" t="s">
        <v>26</v>
      </c>
      <c r="L8" s="34" t="s">
        <v>24</v>
      </c>
      <c r="M8" s="34" t="s">
        <v>26</v>
      </c>
      <c r="N8" s="30"/>
      <c r="O8" s="34" t="s">
        <v>24</v>
      </c>
      <c r="P8" s="34" t="s">
        <v>26</v>
      </c>
      <c r="Q8" s="34" t="s">
        <v>24</v>
      </c>
      <c r="R8" s="34" t="s">
        <v>26</v>
      </c>
    </row>
    <row r="9" spans="1:18" s="76" customFormat="1" ht="12.75">
      <c r="A9" s="23"/>
      <c r="B9" s="23"/>
      <c r="C9" s="25"/>
      <c r="D9" s="23"/>
      <c r="E9" s="34" t="s">
        <v>235</v>
      </c>
      <c r="F9" s="34" t="s">
        <v>235</v>
      </c>
      <c r="G9" s="34" t="s">
        <v>66</v>
      </c>
      <c r="H9" s="33" t="s">
        <v>66</v>
      </c>
      <c r="I9" s="34"/>
      <c r="J9" s="34" t="s">
        <v>235</v>
      </c>
      <c r="K9" s="34" t="s">
        <v>235</v>
      </c>
      <c r="L9" s="34" t="s">
        <v>66</v>
      </c>
      <c r="M9" s="33" t="s">
        <v>66</v>
      </c>
      <c r="N9" s="30"/>
      <c r="O9" s="34" t="s">
        <v>235</v>
      </c>
      <c r="P9" s="34" t="s">
        <v>235</v>
      </c>
      <c r="Q9" s="34" t="s">
        <v>66</v>
      </c>
      <c r="R9" s="33" t="s">
        <v>66</v>
      </c>
    </row>
    <row r="10" spans="1:18" ht="12.75">
      <c r="A10" s="23" t="s">
        <v>98</v>
      </c>
      <c r="B10" s="23"/>
      <c r="C10" s="23"/>
      <c r="D10" s="23"/>
      <c r="E10" s="30"/>
      <c r="F10" s="31"/>
      <c r="G10" s="30"/>
      <c r="H10" s="31"/>
      <c r="I10" s="34"/>
      <c r="J10" s="30"/>
      <c r="K10" s="30"/>
      <c r="L10" s="30"/>
      <c r="M10" s="30"/>
      <c r="N10" s="30"/>
      <c r="O10" s="26"/>
      <c r="P10" s="30"/>
      <c r="Q10" s="30"/>
      <c r="R10" s="30"/>
    </row>
    <row r="11" spans="1:18" ht="12.75">
      <c r="A11" s="23"/>
      <c r="B11" s="23" t="s">
        <v>27</v>
      </c>
      <c r="C11" s="25">
        <v>1</v>
      </c>
      <c r="D11" t="s">
        <v>97</v>
      </c>
      <c r="E11">
        <v>6.6</v>
      </c>
      <c r="F11" s="28">
        <f aca="true" t="shared" si="0" ref="F11:F35">IF(E11="","",E11*$C11)</f>
        <v>6.6</v>
      </c>
      <c r="G11" s="28">
        <f aca="true" t="shared" si="1" ref="G11:G35">IF(E11=0,"",IF(D11="nd",E11/2,E11))</f>
        <v>3.3</v>
      </c>
      <c r="H11" s="28">
        <f aca="true" t="shared" si="2" ref="H11:H35">IF(G11="","",G11*$C11)</f>
        <v>3.3</v>
      </c>
      <c r="I11" t="s">
        <v>97</v>
      </c>
      <c r="J11">
        <v>3.7</v>
      </c>
      <c r="K11" s="28">
        <f aca="true" t="shared" si="3" ref="K11:K35">IF(J11="","",J11*$C11)</f>
        <v>3.7</v>
      </c>
      <c r="L11" s="28">
        <f>IF(J11=0,"",IF(I11="nd",J11/2,J11))</f>
        <v>1.85</v>
      </c>
      <c r="M11" s="28">
        <f aca="true" t="shared" si="4" ref="M11:M35">IF(L11="","",L11*$C11)</f>
        <v>1.85</v>
      </c>
      <c r="N11" t="s">
        <v>97</v>
      </c>
      <c r="O11">
        <v>6.5</v>
      </c>
      <c r="P11" s="36">
        <f aca="true" t="shared" si="5" ref="P11:P35">IF(O11="","",O11*$C11)</f>
        <v>6.5</v>
      </c>
      <c r="Q11" s="36">
        <f>IF(O11=0,"",IF(N11="nd",O11/2,O11))</f>
        <v>3.25</v>
      </c>
      <c r="R11" s="36">
        <f aca="true" t="shared" si="6" ref="R11:R35">IF(Q11="","",Q11*$C11)</f>
        <v>3.25</v>
      </c>
    </row>
    <row r="12" spans="1:18" ht="12.75">
      <c r="A12" s="23"/>
      <c r="B12" s="23" t="s">
        <v>87</v>
      </c>
      <c r="C12" s="25">
        <v>0</v>
      </c>
      <c r="E12">
        <v>250</v>
      </c>
      <c r="F12" s="36">
        <f t="shared" si="0"/>
        <v>0</v>
      </c>
      <c r="G12" s="36">
        <f>IF(E12=0,"",IF(D12="nd",E12/2,E12))</f>
        <v>250</v>
      </c>
      <c r="H12" s="36">
        <f t="shared" si="2"/>
        <v>0</v>
      </c>
      <c r="I12"/>
      <c r="J12">
        <v>290</v>
      </c>
      <c r="K12" s="28">
        <f t="shared" si="3"/>
        <v>0</v>
      </c>
      <c r="L12" s="36">
        <f>IF(J12=0,"",IF(I12="nd",J12/2,J12))</f>
        <v>290</v>
      </c>
      <c r="M12" s="28">
        <f t="shared" si="4"/>
        <v>0</v>
      </c>
      <c r="O12">
        <v>350</v>
      </c>
      <c r="P12" s="36">
        <f t="shared" si="5"/>
        <v>0</v>
      </c>
      <c r="Q12" s="36">
        <f>IF(O12=0,"",IF(N12="nd",O12/2,O12))</f>
        <v>350</v>
      </c>
      <c r="R12" s="36">
        <f t="shared" si="6"/>
        <v>0</v>
      </c>
    </row>
    <row r="13" spans="1:18" ht="12.75">
      <c r="A13" s="23"/>
      <c r="B13" s="23" t="s">
        <v>28</v>
      </c>
      <c r="C13" s="25">
        <v>0.5</v>
      </c>
      <c r="D13" t="s">
        <v>97</v>
      </c>
      <c r="E13">
        <v>9.4</v>
      </c>
      <c r="F13" s="28">
        <f t="shared" si="0"/>
        <v>4.7</v>
      </c>
      <c r="G13" s="28">
        <f t="shared" si="1"/>
        <v>4.7</v>
      </c>
      <c r="H13" s="28">
        <f t="shared" si="2"/>
        <v>2.35</v>
      </c>
      <c r="I13" t="s">
        <v>97</v>
      </c>
      <c r="J13">
        <v>9.2</v>
      </c>
      <c r="K13" s="28">
        <f t="shared" si="3"/>
        <v>4.6</v>
      </c>
      <c r="L13" s="28">
        <f aca="true" t="shared" si="7" ref="L13:L35">IF(J13=0,"",IF(I13="nd",J13/2,J13))</f>
        <v>4.6</v>
      </c>
      <c r="M13" s="28">
        <f t="shared" si="4"/>
        <v>2.3</v>
      </c>
      <c r="N13" t="s">
        <v>97</v>
      </c>
      <c r="O13">
        <v>9.4</v>
      </c>
      <c r="P13" s="36">
        <f t="shared" si="5"/>
        <v>4.7</v>
      </c>
      <c r="Q13" s="36">
        <f aca="true" t="shared" si="8" ref="Q13:Q35">IF(O13=0,"",IF(N13="nd",O13/2,O13))</f>
        <v>4.7</v>
      </c>
      <c r="R13" s="36">
        <f t="shared" si="6"/>
        <v>2.35</v>
      </c>
    </row>
    <row r="14" spans="1:18" ht="12.75">
      <c r="A14" s="23"/>
      <c r="B14" s="23" t="s">
        <v>88</v>
      </c>
      <c r="C14" s="25">
        <v>0</v>
      </c>
      <c r="E14">
        <v>110</v>
      </c>
      <c r="F14" s="36">
        <f t="shared" si="0"/>
        <v>0</v>
      </c>
      <c r="G14" s="36">
        <f>IF(E14=0,"",IF(D14="nd",E14/2,E14))</f>
        <v>110</v>
      </c>
      <c r="H14" s="36">
        <f t="shared" si="2"/>
        <v>0</v>
      </c>
      <c r="I14"/>
      <c r="J14">
        <v>18000</v>
      </c>
      <c r="K14" s="28">
        <f t="shared" si="3"/>
        <v>0</v>
      </c>
      <c r="L14" s="36">
        <f>IF(J14=0,"",IF(I14="nd",J14/2,J14))</f>
        <v>18000</v>
      </c>
      <c r="M14" s="28">
        <f t="shared" si="4"/>
        <v>0</v>
      </c>
      <c r="O14">
        <v>130</v>
      </c>
      <c r="P14" s="36">
        <f t="shared" si="5"/>
        <v>0</v>
      </c>
      <c r="Q14" s="36">
        <f>IF(O14=0,"",IF(N14="nd",O14/2,O14))</f>
        <v>130</v>
      </c>
      <c r="R14" s="36">
        <f t="shared" si="6"/>
        <v>0</v>
      </c>
    </row>
    <row r="15" spans="1:18" ht="12.75">
      <c r="A15" s="23"/>
      <c r="B15" s="23" t="s">
        <v>29</v>
      </c>
      <c r="C15" s="25">
        <v>0.1</v>
      </c>
      <c r="D15" t="s">
        <v>97</v>
      </c>
      <c r="E15">
        <v>7.8</v>
      </c>
      <c r="F15" s="28">
        <f t="shared" si="0"/>
        <v>0.78</v>
      </c>
      <c r="G15" s="28">
        <f t="shared" si="1"/>
        <v>3.9</v>
      </c>
      <c r="H15" s="28">
        <f t="shared" si="2"/>
        <v>0.39</v>
      </c>
      <c r="I15" t="s">
        <v>97</v>
      </c>
      <c r="J15">
        <v>5.1</v>
      </c>
      <c r="K15" s="28">
        <f t="shared" si="3"/>
        <v>0.51</v>
      </c>
      <c r="L15" s="28">
        <f t="shared" si="7"/>
        <v>2.55</v>
      </c>
      <c r="M15" s="28">
        <f t="shared" si="4"/>
        <v>0.255</v>
      </c>
      <c r="N15" t="s">
        <v>97</v>
      </c>
      <c r="O15">
        <v>4.8</v>
      </c>
      <c r="P15" s="36">
        <f t="shared" si="5"/>
        <v>0.48</v>
      </c>
      <c r="Q15" s="36">
        <f t="shared" si="8"/>
        <v>2.4</v>
      </c>
      <c r="R15" s="36">
        <f t="shared" si="6"/>
        <v>0.24</v>
      </c>
    </row>
    <row r="16" spans="1:18" ht="12.75">
      <c r="A16" s="23"/>
      <c r="B16" s="23" t="s">
        <v>30</v>
      </c>
      <c r="C16" s="25">
        <v>0.1</v>
      </c>
      <c r="D16" t="s">
        <v>97</v>
      </c>
      <c r="E16">
        <v>6.2</v>
      </c>
      <c r="F16" s="28">
        <f t="shared" si="0"/>
        <v>0.6200000000000001</v>
      </c>
      <c r="G16" s="28">
        <f t="shared" si="1"/>
        <v>3.1</v>
      </c>
      <c r="H16" s="28">
        <f t="shared" si="2"/>
        <v>0.31000000000000005</v>
      </c>
      <c r="I16" t="s">
        <v>97</v>
      </c>
      <c r="J16">
        <v>4.1</v>
      </c>
      <c r="K16" s="28">
        <f t="shared" si="3"/>
        <v>0.41</v>
      </c>
      <c r="L16" s="28">
        <f t="shared" si="7"/>
        <v>2.05</v>
      </c>
      <c r="M16" s="28">
        <f t="shared" si="4"/>
        <v>0.205</v>
      </c>
      <c r="N16" t="s">
        <v>97</v>
      </c>
      <c r="O16">
        <v>3.9</v>
      </c>
      <c r="P16" s="36">
        <f t="shared" si="5"/>
        <v>0.39</v>
      </c>
      <c r="Q16" s="36">
        <f t="shared" si="8"/>
        <v>1.95</v>
      </c>
      <c r="R16" s="36">
        <f t="shared" si="6"/>
        <v>0.195</v>
      </c>
    </row>
    <row r="17" spans="1:18" ht="12.75">
      <c r="A17" s="23"/>
      <c r="B17" s="23" t="s">
        <v>31</v>
      </c>
      <c r="C17" s="25">
        <v>0.1</v>
      </c>
      <c r="D17" t="s">
        <v>97</v>
      </c>
      <c r="E17">
        <v>5.9</v>
      </c>
      <c r="F17" s="28">
        <f t="shared" si="0"/>
        <v>0.5900000000000001</v>
      </c>
      <c r="G17" s="28">
        <f t="shared" si="1"/>
        <v>2.95</v>
      </c>
      <c r="H17" s="28">
        <f t="shared" si="2"/>
        <v>0.29500000000000004</v>
      </c>
      <c r="I17" t="s">
        <v>97</v>
      </c>
      <c r="J17">
        <v>4</v>
      </c>
      <c r="K17" s="28">
        <f t="shared" si="3"/>
        <v>0.4</v>
      </c>
      <c r="L17" s="28">
        <f t="shared" si="7"/>
        <v>2</v>
      </c>
      <c r="M17" s="28">
        <f t="shared" si="4"/>
        <v>0.2</v>
      </c>
      <c r="N17" t="s">
        <v>97</v>
      </c>
      <c r="O17">
        <v>3.7</v>
      </c>
      <c r="P17" s="36">
        <f t="shared" si="5"/>
        <v>0.37000000000000005</v>
      </c>
      <c r="Q17" s="36">
        <f t="shared" si="8"/>
        <v>1.85</v>
      </c>
      <c r="R17" s="36">
        <f t="shared" si="6"/>
        <v>0.18500000000000003</v>
      </c>
    </row>
    <row r="18" spans="1:18" ht="12.75">
      <c r="A18" s="23"/>
      <c r="B18" s="23" t="s">
        <v>89</v>
      </c>
      <c r="C18" s="25">
        <v>0</v>
      </c>
      <c r="E18">
        <v>100</v>
      </c>
      <c r="F18" s="36">
        <f t="shared" si="0"/>
        <v>0</v>
      </c>
      <c r="G18" s="36">
        <f>IF(E18=0,"",IF(D18="nd",E18/2,E18))</f>
        <v>100</v>
      </c>
      <c r="H18" s="36">
        <f t="shared" si="2"/>
        <v>0</v>
      </c>
      <c r="I18"/>
      <c r="J18">
        <v>860</v>
      </c>
      <c r="K18" s="28">
        <f t="shared" si="3"/>
        <v>0</v>
      </c>
      <c r="L18" s="36">
        <f>IF(J18=0,"",IF(I18="nd",J18/2,J18))</f>
        <v>860</v>
      </c>
      <c r="M18" s="28">
        <f t="shared" si="4"/>
        <v>0</v>
      </c>
      <c r="O18">
        <v>41</v>
      </c>
      <c r="P18" s="36">
        <f t="shared" si="5"/>
        <v>0</v>
      </c>
      <c r="Q18" s="36">
        <f>IF(O18=0,"",IF(N18="nd",O18/2,O18))</f>
        <v>41</v>
      </c>
      <c r="R18" s="36">
        <f t="shared" si="6"/>
        <v>0</v>
      </c>
    </row>
    <row r="19" spans="1:18" ht="12.75">
      <c r="A19" s="23"/>
      <c r="B19" s="23" t="s">
        <v>32</v>
      </c>
      <c r="C19" s="25">
        <v>0.01</v>
      </c>
      <c r="E19">
        <v>14</v>
      </c>
      <c r="F19" s="28">
        <f t="shared" si="0"/>
        <v>0.14</v>
      </c>
      <c r="G19" s="28">
        <f t="shared" si="1"/>
        <v>14</v>
      </c>
      <c r="H19" s="28">
        <f t="shared" si="2"/>
        <v>0.14</v>
      </c>
      <c r="I19"/>
      <c r="J19">
        <v>10</v>
      </c>
      <c r="K19" s="28">
        <f t="shared" si="3"/>
        <v>0.1</v>
      </c>
      <c r="L19" s="28">
        <f t="shared" si="7"/>
        <v>10</v>
      </c>
      <c r="M19" s="28">
        <f t="shared" si="4"/>
        <v>0.1</v>
      </c>
      <c r="N19" t="s">
        <v>97</v>
      </c>
      <c r="O19">
        <v>8.4</v>
      </c>
      <c r="P19" s="36">
        <f t="shared" si="5"/>
        <v>0.084</v>
      </c>
      <c r="Q19" s="36">
        <f t="shared" si="8"/>
        <v>4.2</v>
      </c>
      <c r="R19" s="36">
        <f t="shared" si="6"/>
        <v>0.042</v>
      </c>
    </row>
    <row r="20" spans="1:18" ht="12.75">
      <c r="A20" s="23"/>
      <c r="B20" s="23" t="s">
        <v>90</v>
      </c>
      <c r="C20" s="25">
        <v>0</v>
      </c>
      <c r="E20">
        <v>28</v>
      </c>
      <c r="F20" s="36">
        <f t="shared" si="0"/>
        <v>0</v>
      </c>
      <c r="G20" s="36">
        <f>IF(E20=0,"",IF(D20="nd",E20/2,E20))</f>
        <v>28</v>
      </c>
      <c r="H20" s="36">
        <f t="shared" si="2"/>
        <v>0</v>
      </c>
      <c r="I20"/>
      <c r="J20">
        <v>120</v>
      </c>
      <c r="K20" s="28">
        <f t="shared" si="3"/>
        <v>0</v>
      </c>
      <c r="L20" s="36">
        <f>IF(J20=0,"",IF(I20="nd",J20/2,J20))</f>
        <v>120</v>
      </c>
      <c r="M20" s="28">
        <f t="shared" si="4"/>
        <v>0</v>
      </c>
      <c r="N20" t="s">
        <v>97</v>
      </c>
      <c r="O20">
        <v>8.4</v>
      </c>
      <c r="P20" s="36">
        <f t="shared" si="5"/>
        <v>0</v>
      </c>
      <c r="Q20" s="36">
        <f>IF(O20=0,"",IF(N20="nd",O20/2,O20))</f>
        <v>4.2</v>
      </c>
      <c r="R20" s="36">
        <f t="shared" si="6"/>
        <v>0</v>
      </c>
    </row>
    <row r="21" spans="1:18" ht="12.75">
      <c r="A21" s="23"/>
      <c r="B21" s="23" t="s">
        <v>33</v>
      </c>
      <c r="C21" s="25">
        <v>0.001</v>
      </c>
      <c r="E21">
        <v>22</v>
      </c>
      <c r="F21" s="28">
        <f t="shared" si="0"/>
        <v>0.022</v>
      </c>
      <c r="G21" s="28">
        <f t="shared" si="1"/>
        <v>22</v>
      </c>
      <c r="H21" s="28">
        <f t="shared" si="2"/>
        <v>0.022</v>
      </c>
      <c r="I21"/>
      <c r="J21">
        <v>11</v>
      </c>
      <c r="K21" s="28">
        <f t="shared" si="3"/>
        <v>0.011</v>
      </c>
      <c r="L21" s="36">
        <f t="shared" si="7"/>
        <v>11</v>
      </c>
      <c r="M21" s="28">
        <f t="shared" si="4"/>
        <v>0.011</v>
      </c>
      <c r="N21" t="s">
        <v>97</v>
      </c>
      <c r="O21">
        <v>10.8</v>
      </c>
      <c r="P21" s="36">
        <f t="shared" si="5"/>
        <v>0.0108</v>
      </c>
      <c r="Q21" s="36">
        <f t="shared" si="8"/>
        <v>5.4</v>
      </c>
      <c r="R21" s="36">
        <f t="shared" si="6"/>
        <v>0.0054</v>
      </c>
    </row>
    <row r="22" spans="1:18" ht="12.75">
      <c r="A22" s="23"/>
      <c r="B22" s="23" t="s">
        <v>34</v>
      </c>
      <c r="C22" s="25">
        <v>0.1</v>
      </c>
      <c r="E22">
        <v>750</v>
      </c>
      <c r="F22" s="28">
        <f t="shared" si="0"/>
        <v>75</v>
      </c>
      <c r="G22" s="28">
        <f t="shared" si="1"/>
        <v>750</v>
      </c>
      <c r="H22" s="28">
        <f t="shared" si="2"/>
        <v>75</v>
      </c>
      <c r="I22"/>
      <c r="J22">
        <v>900</v>
      </c>
      <c r="K22" s="28">
        <f t="shared" si="3"/>
        <v>90</v>
      </c>
      <c r="L22" s="36">
        <f t="shared" si="7"/>
        <v>900</v>
      </c>
      <c r="M22" s="28">
        <f t="shared" si="4"/>
        <v>90</v>
      </c>
      <c r="O22">
        <v>920</v>
      </c>
      <c r="P22" s="36">
        <f t="shared" si="5"/>
        <v>92</v>
      </c>
      <c r="Q22" s="36">
        <f t="shared" si="8"/>
        <v>920</v>
      </c>
      <c r="R22" s="36">
        <f t="shared" si="6"/>
        <v>92</v>
      </c>
    </row>
    <row r="23" spans="1:18" ht="12.75">
      <c r="A23" s="23"/>
      <c r="B23" s="23" t="s">
        <v>91</v>
      </c>
      <c r="C23" s="25">
        <v>0</v>
      </c>
      <c r="E23">
        <v>14000</v>
      </c>
      <c r="F23" s="36">
        <f t="shared" si="0"/>
        <v>0</v>
      </c>
      <c r="G23" s="36">
        <f>IF(E23=0,"",IF(D23="nd",E23/2,E23))</f>
        <v>14000</v>
      </c>
      <c r="H23" s="36">
        <f t="shared" si="2"/>
        <v>0</v>
      </c>
      <c r="I23"/>
      <c r="J23">
        <v>18000</v>
      </c>
      <c r="K23" s="28">
        <f t="shared" si="3"/>
        <v>0</v>
      </c>
      <c r="L23" s="36">
        <f>IF(J23=0,"",IF(I23="nd",J23/2,J23))</f>
        <v>18000</v>
      </c>
      <c r="M23" s="28">
        <f t="shared" si="4"/>
        <v>0</v>
      </c>
      <c r="O23">
        <v>18000</v>
      </c>
      <c r="P23" s="36">
        <f t="shared" si="5"/>
        <v>0</v>
      </c>
      <c r="Q23" s="36">
        <f>IF(O23=0,"",IF(N23="nd",O23/2,O23))</f>
        <v>18000</v>
      </c>
      <c r="R23" s="36">
        <f t="shared" si="6"/>
        <v>0</v>
      </c>
    </row>
    <row r="24" spans="1:18" ht="12.75">
      <c r="A24" s="23"/>
      <c r="B24" s="23" t="s">
        <v>35</v>
      </c>
      <c r="C24" s="25">
        <v>0.05</v>
      </c>
      <c r="E24">
        <v>130</v>
      </c>
      <c r="F24" s="36">
        <f t="shared" si="0"/>
        <v>6.5</v>
      </c>
      <c r="G24" s="36">
        <f t="shared" si="1"/>
        <v>130</v>
      </c>
      <c r="H24" s="36">
        <f t="shared" si="2"/>
        <v>6.5</v>
      </c>
      <c r="I24"/>
      <c r="J24">
        <v>170</v>
      </c>
      <c r="K24" s="28">
        <f t="shared" si="3"/>
        <v>8.5</v>
      </c>
      <c r="L24" s="36">
        <f t="shared" si="7"/>
        <v>170</v>
      </c>
      <c r="M24" s="28">
        <f t="shared" si="4"/>
        <v>8.5</v>
      </c>
      <c r="O24">
        <v>150</v>
      </c>
      <c r="P24" s="36">
        <f t="shared" si="5"/>
        <v>7.5</v>
      </c>
      <c r="Q24" s="36">
        <f t="shared" si="8"/>
        <v>150</v>
      </c>
      <c r="R24" s="36">
        <f t="shared" si="6"/>
        <v>7.5</v>
      </c>
    </row>
    <row r="25" spans="1:18" ht="12.75">
      <c r="A25" s="23"/>
      <c r="B25" s="23" t="s">
        <v>36</v>
      </c>
      <c r="C25" s="25">
        <v>0.5</v>
      </c>
      <c r="E25">
        <v>190</v>
      </c>
      <c r="F25" s="36">
        <f t="shared" si="0"/>
        <v>95</v>
      </c>
      <c r="G25" s="36">
        <f t="shared" si="1"/>
        <v>190</v>
      </c>
      <c r="H25" s="36">
        <f t="shared" si="2"/>
        <v>95</v>
      </c>
      <c r="I25"/>
      <c r="J25">
        <v>240</v>
      </c>
      <c r="K25" s="28">
        <f t="shared" si="3"/>
        <v>120</v>
      </c>
      <c r="L25" s="36">
        <f t="shared" si="7"/>
        <v>240</v>
      </c>
      <c r="M25" s="28">
        <f t="shared" si="4"/>
        <v>120</v>
      </c>
      <c r="O25">
        <v>220</v>
      </c>
      <c r="P25" s="36">
        <f t="shared" si="5"/>
        <v>110</v>
      </c>
      <c r="Q25" s="36">
        <f t="shared" si="8"/>
        <v>220</v>
      </c>
      <c r="R25" s="36">
        <f t="shared" si="6"/>
        <v>110</v>
      </c>
    </row>
    <row r="26" spans="1:18" ht="12.75">
      <c r="A26" s="23"/>
      <c r="B26" s="23" t="s">
        <v>92</v>
      </c>
      <c r="C26" s="25">
        <v>0</v>
      </c>
      <c r="E26">
        <v>4300</v>
      </c>
      <c r="F26" s="36">
        <f t="shared" si="0"/>
        <v>0</v>
      </c>
      <c r="G26" s="36">
        <f>IF(E26=0,"",IF(D26="nd",E26/2,E26))</f>
        <v>4300</v>
      </c>
      <c r="H26" s="36">
        <f t="shared" si="2"/>
        <v>0</v>
      </c>
      <c r="I26"/>
      <c r="J26">
        <v>5400</v>
      </c>
      <c r="K26" s="28">
        <f t="shared" si="3"/>
        <v>0</v>
      </c>
      <c r="L26" s="36">
        <f>IF(J26=0,"",IF(I26="nd",J26/2,J26))</f>
        <v>5400</v>
      </c>
      <c r="M26" s="28">
        <f t="shared" si="4"/>
        <v>0</v>
      </c>
      <c r="O26">
        <v>4900</v>
      </c>
      <c r="P26" s="36">
        <f t="shared" si="5"/>
        <v>0</v>
      </c>
      <c r="Q26" s="36">
        <f>IF(O26=0,"",IF(N26="nd",O26/2,O26))</f>
        <v>4900</v>
      </c>
      <c r="R26" s="36">
        <f t="shared" si="6"/>
        <v>0</v>
      </c>
    </row>
    <row r="27" spans="1:18" ht="12.75">
      <c r="A27" s="23"/>
      <c r="B27" s="23" t="s">
        <v>37</v>
      </c>
      <c r="C27" s="25">
        <v>0.1</v>
      </c>
      <c r="E27">
        <v>76</v>
      </c>
      <c r="F27" s="36">
        <f t="shared" si="0"/>
        <v>7.6000000000000005</v>
      </c>
      <c r="G27" s="36">
        <f t="shared" si="1"/>
        <v>76</v>
      </c>
      <c r="H27" s="36">
        <f t="shared" si="2"/>
        <v>7.6000000000000005</v>
      </c>
      <c r="I27"/>
      <c r="J27">
        <v>104</v>
      </c>
      <c r="K27" s="28">
        <f t="shared" si="3"/>
        <v>10.4</v>
      </c>
      <c r="L27" s="36">
        <f t="shared" si="7"/>
        <v>104</v>
      </c>
      <c r="M27" s="28">
        <f t="shared" si="4"/>
        <v>10.4</v>
      </c>
      <c r="O27">
        <v>84</v>
      </c>
      <c r="P27" s="36">
        <f t="shared" si="5"/>
        <v>8.4</v>
      </c>
      <c r="Q27" s="36">
        <f t="shared" si="8"/>
        <v>84</v>
      </c>
      <c r="R27" s="36">
        <f t="shared" si="6"/>
        <v>8.4</v>
      </c>
    </row>
    <row r="28" spans="1:18" ht="12.75">
      <c r="A28" s="23"/>
      <c r="B28" s="23" t="s">
        <v>38</v>
      </c>
      <c r="C28" s="25">
        <v>0.1</v>
      </c>
      <c r="E28">
        <v>37</v>
      </c>
      <c r="F28" s="36">
        <f t="shared" si="0"/>
        <v>3.7</v>
      </c>
      <c r="G28" s="36">
        <f t="shared" si="1"/>
        <v>37</v>
      </c>
      <c r="H28" s="36">
        <f t="shared" si="2"/>
        <v>3.7</v>
      </c>
      <c r="I28"/>
      <c r="J28">
        <v>53</v>
      </c>
      <c r="K28" s="28">
        <f t="shared" si="3"/>
        <v>5.300000000000001</v>
      </c>
      <c r="L28" s="36">
        <f t="shared" si="7"/>
        <v>53</v>
      </c>
      <c r="M28" s="28">
        <f t="shared" si="4"/>
        <v>5.300000000000001</v>
      </c>
      <c r="O28">
        <v>45</v>
      </c>
      <c r="P28" s="36">
        <f t="shared" si="5"/>
        <v>4.5</v>
      </c>
      <c r="Q28" s="36">
        <f t="shared" si="8"/>
        <v>45</v>
      </c>
      <c r="R28" s="36">
        <f t="shared" si="6"/>
        <v>4.5</v>
      </c>
    </row>
    <row r="29" spans="1:18" ht="12.75">
      <c r="A29" s="23"/>
      <c r="B29" s="23" t="s">
        <v>39</v>
      </c>
      <c r="C29" s="25">
        <v>0.1</v>
      </c>
      <c r="E29">
        <v>15</v>
      </c>
      <c r="F29" s="36">
        <f t="shared" si="0"/>
        <v>1.5</v>
      </c>
      <c r="G29" s="36">
        <f t="shared" si="1"/>
        <v>15</v>
      </c>
      <c r="H29" s="36">
        <f t="shared" si="2"/>
        <v>1.5</v>
      </c>
      <c r="I29"/>
      <c r="J29">
        <v>26</v>
      </c>
      <c r="K29" s="28">
        <f t="shared" si="3"/>
        <v>2.6</v>
      </c>
      <c r="L29" s="36">
        <f t="shared" si="7"/>
        <v>26</v>
      </c>
      <c r="M29" s="28">
        <f t="shared" si="4"/>
        <v>2.6</v>
      </c>
      <c r="O29">
        <v>18</v>
      </c>
      <c r="P29" s="36">
        <f t="shared" si="5"/>
        <v>1.8</v>
      </c>
      <c r="Q29" s="36">
        <f t="shared" si="8"/>
        <v>18</v>
      </c>
      <c r="R29" s="36">
        <f t="shared" si="6"/>
        <v>1.8</v>
      </c>
    </row>
    <row r="30" spans="1:18" ht="12.75">
      <c r="A30" s="23"/>
      <c r="B30" s="23" t="s">
        <v>40</v>
      </c>
      <c r="C30" s="25">
        <v>0.1</v>
      </c>
      <c r="D30" t="s">
        <v>97</v>
      </c>
      <c r="E30">
        <v>6.4</v>
      </c>
      <c r="F30" s="36">
        <f t="shared" si="0"/>
        <v>0.6400000000000001</v>
      </c>
      <c r="G30" s="36">
        <f t="shared" si="1"/>
        <v>3.2</v>
      </c>
      <c r="H30" s="36">
        <f t="shared" si="2"/>
        <v>0.32000000000000006</v>
      </c>
      <c r="I30" t="s">
        <v>97</v>
      </c>
      <c r="J30">
        <v>9.4</v>
      </c>
      <c r="K30" s="28">
        <f t="shared" si="3"/>
        <v>0.9400000000000001</v>
      </c>
      <c r="L30" s="36">
        <f t="shared" si="7"/>
        <v>4.7</v>
      </c>
      <c r="M30" s="28">
        <f t="shared" si="4"/>
        <v>0.47000000000000003</v>
      </c>
      <c r="N30" t="s">
        <v>97</v>
      </c>
      <c r="O30">
        <v>6</v>
      </c>
      <c r="P30" s="36">
        <f t="shared" si="5"/>
        <v>0.6000000000000001</v>
      </c>
      <c r="Q30" s="36">
        <f t="shared" si="8"/>
        <v>3</v>
      </c>
      <c r="R30" s="36">
        <f t="shared" si="6"/>
        <v>0.30000000000000004</v>
      </c>
    </row>
    <row r="31" spans="1:18" ht="12.75">
      <c r="A31" s="23"/>
      <c r="B31" s="23" t="s">
        <v>93</v>
      </c>
      <c r="C31" s="25">
        <v>0</v>
      </c>
      <c r="E31">
        <v>630</v>
      </c>
      <c r="F31" s="36">
        <f t="shared" si="0"/>
        <v>0</v>
      </c>
      <c r="G31" s="36">
        <f>IF(E31=0,"",IF(D31="nd",E31/2,E31))</f>
        <v>630</v>
      </c>
      <c r="H31" s="36">
        <f t="shared" si="2"/>
        <v>0</v>
      </c>
      <c r="I31"/>
      <c r="J31">
        <v>860</v>
      </c>
      <c r="K31" s="28">
        <f t="shared" si="3"/>
        <v>0</v>
      </c>
      <c r="L31" s="36">
        <f>IF(J31=0,"",IF(I31="nd",J31/2,J31))</f>
        <v>860</v>
      </c>
      <c r="M31" s="28">
        <f t="shared" si="4"/>
        <v>0</v>
      </c>
      <c r="O31">
        <v>730</v>
      </c>
      <c r="P31" s="36">
        <f t="shared" si="5"/>
        <v>0</v>
      </c>
      <c r="Q31" s="36">
        <f>IF(O31=0,"",IF(N31="nd",O31/2,O31))</f>
        <v>730</v>
      </c>
      <c r="R31" s="36">
        <f t="shared" si="6"/>
        <v>0</v>
      </c>
    </row>
    <row r="32" spans="1:18" ht="12.75">
      <c r="A32" s="23"/>
      <c r="B32" s="23" t="s">
        <v>41</v>
      </c>
      <c r="C32" s="25">
        <v>0.01</v>
      </c>
      <c r="E32">
        <v>51</v>
      </c>
      <c r="F32" s="36">
        <f t="shared" si="0"/>
        <v>0.51</v>
      </c>
      <c r="G32" s="36">
        <f t="shared" si="1"/>
        <v>51</v>
      </c>
      <c r="H32" s="36">
        <f t="shared" si="2"/>
        <v>0.51</v>
      </c>
      <c r="I32"/>
      <c r="J32">
        <v>73</v>
      </c>
      <c r="K32" s="28">
        <f t="shared" si="3"/>
        <v>0.73</v>
      </c>
      <c r="L32" s="36">
        <f t="shared" si="7"/>
        <v>73</v>
      </c>
      <c r="M32" s="28">
        <f t="shared" si="4"/>
        <v>0.73</v>
      </c>
      <c r="O32">
        <v>44</v>
      </c>
      <c r="P32" s="36">
        <f t="shared" si="5"/>
        <v>0.44</v>
      </c>
      <c r="Q32" s="36">
        <f t="shared" si="8"/>
        <v>44</v>
      </c>
      <c r="R32" s="36">
        <f t="shared" si="6"/>
        <v>0.44</v>
      </c>
    </row>
    <row r="33" spans="1:18" ht="12.75">
      <c r="A33" s="23"/>
      <c r="B33" s="23" t="s">
        <v>42</v>
      </c>
      <c r="C33" s="25">
        <v>0.01</v>
      </c>
      <c r="D33" t="s">
        <v>97</v>
      </c>
      <c r="E33">
        <v>4.6</v>
      </c>
      <c r="F33" s="36">
        <f t="shared" si="0"/>
        <v>0.046</v>
      </c>
      <c r="G33" s="36">
        <f t="shared" si="1"/>
        <v>2.3</v>
      </c>
      <c r="H33" s="36">
        <f t="shared" si="2"/>
        <v>0.023</v>
      </c>
      <c r="I33"/>
      <c r="J33">
        <v>7.5</v>
      </c>
      <c r="K33" s="28">
        <f t="shared" si="3"/>
        <v>0.075</v>
      </c>
      <c r="L33" s="36">
        <f t="shared" si="7"/>
        <v>7.5</v>
      </c>
      <c r="M33" s="28">
        <f t="shared" si="4"/>
        <v>0.075</v>
      </c>
      <c r="N33" t="s">
        <v>97</v>
      </c>
      <c r="O33">
        <v>3.3</v>
      </c>
      <c r="P33" s="36">
        <f t="shared" si="5"/>
        <v>0.033</v>
      </c>
      <c r="Q33" s="36">
        <f t="shared" si="8"/>
        <v>1.65</v>
      </c>
      <c r="R33" s="36">
        <f t="shared" si="6"/>
        <v>0.0165</v>
      </c>
    </row>
    <row r="34" spans="1:18" ht="12.75">
      <c r="A34" s="23"/>
      <c r="B34" s="23" t="s">
        <v>94</v>
      </c>
      <c r="C34" s="25">
        <v>0</v>
      </c>
      <c r="E34">
        <v>51</v>
      </c>
      <c r="F34" s="36">
        <f t="shared" si="0"/>
        <v>0</v>
      </c>
      <c r="G34" s="36">
        <f>IF(E34=0,"",IF(D34="nd",E34/2,E34))</f>
        <v>51</v>
      </c>
      <c r="H34" s="36">
        <f t="shared" si="2"/>
        <v>0</v>
      </c>
      <c r="I34"/>
      <c r="J34">
        <v>120</v>
      </c>
      <c r="K34" s="28">
        <f t="shared" si="3"/>
        <v>0</v>
      </c>
      <c r="L34" s="36">
        <f>IF(J34=0,"",IF(I34="nd",J34/2,J34))</f>
        <v>120</v>
      </c>
      <c r="M34" s="28">
        <f t="shared" si="4"/>
        <v>0</v>
      </c>
      <c r="N34">
        <v>52</v>
      </c>
      <c r="P34" s="36">
        <f t="shared" si="5"/>
      </c>
      <c r="Q34" s="36">
        <f>IF(O34=0,"",IF(N34="nd",O34/2,O34))</f>
      </c>
      <c r="R34" s="36">
        <f t="shared" si="6"/>
      </c>
    </row>
    <row r="35" spans="1:18" ht="12.75">
      <c r="A35" s="23"/>
      <c r="B35" s="23" t="s">
        <v>43</v>
      </c>
      <c r="C35" s="25">
        <v>0.001</v>
      </c>
      <c r="D35" t="s">
        <v>97</v>
      </c>
      <c r="E35">
        <v>15</v>
      </c>
      <c r="F35" s="36">
        <f t="shared" si="0"/>
        <v>0.015</v>
      </c>
      <c r="G35" s="36">
        <f t="shared" si="1"/>
        <v>7.5</v>
      </c>
      <c r="H35" s="36">
        <f t="shared" si="2"/>
        <v>0.0075</v>
      </c>
      <c r="I35"/>
      <c r="J35">
        <v>22</v>
      </c>
      <c r="K35" s="28">
        <f t="shared" si="3"/>
        <v>0.022</v>
      </c>
      <c r="L35" s="36">
        <f t="shared" si="7"/>
        <v>22</v>
      </c>
      <c r="M35" s="28">
        <f t="shared" si="4"/>
        <v>0.022</v>
      </c>
      <c r="N35" t="s">
        <v>97</v>
      </c>
      <c r="O35">
        <v>8.6</v>
      </c>
      <c r="P35" s="36">
        <f t="shared" si="5"/>
        <v>0.0086</v>
      </c>
      <c r="Q35" s="36">
        <f t="shared" si="8"/>
        <v>4.3</v>
      </c>
      <c r="R35" s="36">
        <f t="shared" si="6"/>
        <v>0.0043</v>
      </c>
    </row>
    <row r="36" spans="1:18" ht="12.75">
      <c r="A36" s="23"/>
      <c r="B36" s="23"/>
      <c r="C36" s="23"/>
      <c r="D36" s="23"/>
      <c r="E36" s="28"/>
      <c r="F36" s="31"/>
      <c r="G36" s="28"/>
      <c r="H36" s="31"/>
      <c r="I36" s="47"/>
      <c r="J36" s="9"/>
      <c r="K36" s="26"/>
      <c r="L36" s="26"/>
      <c r="M36" s="26"/>
      <c r="N36" s="28"/>
      <c r="O36" s="9"/>
      <c r="P36" s="30"/>
      <c r="Q36" s="28"/>
      <c r="R36" s="30"/>
    </row>
    <row r="37" spans="1:18" ht="12.75">
      <c r="A37" s="23"/>
      <c r="B37" s="23" t="s">
        <v>44</v>
      </c>
      <c r="C37" s="23"/>
      <c r="D37" s="23"/>
      <c r="F37" s="28">
        <v>120.002</v>
      </c>
      <c r="G37" s="28">
        <v>120.002</v>
      </c>
      <c r="H37" s="28">
        <v>120.002</v>
      </c>
      <c r="I37"/>
      <c r="K37">
        <v>120.449</v>
      </c>
      <c r="L37">
        <v>120.449</v>
      </c>
      <c r="M37">
        <v>120.449</v>
      </c>
      <c r="P37">
        <v>121.81</v>
      </c>
      <c r="Q37">
        <v>121.81</v>
      </c>
      <c r="R37">
        <v>121.81</v>
      </c>
    </row>
    <row r="38" spans="1:18" ht="12.75">
      <c r="A38" s="23"/>
      <c r="B38" s="23" t="s">
        <v>57</v>
      </c>
      <c r="C38" s="23"/>
      <c r="D38" s="23"/>
      <c r="F38" s="28">
        <f>H38</f>
        <v>6.7</v>
      </c>
      <c r="G38" s="28">
        <f>'emiss 1'!G51</f>
        <v>6.7</v>
      </c>
      <c r="H38" s="28">
        <f>'emiss 1'!G51</f>
        <v>6.7</v>
      </c>
      <c r="I38"/>
      <c r="K38">
        <v>6.9</v>
      </c>
      <c r="L38">
        <v>6.9</v>
      </c>
      <c r="M38">
        <v>6.9</v>
      </c>
      <c r="P38">
        <v>8.1</v>
      </c>
      <c r="Q38">
        <v>8.1</v>
      </c>
      <c r="R38">
        <v>8.1</v>
      </c>
    </row>
    <row r="39" spans="1:18" ht="12.75">
      <c r="A39" s="23"/>
      <c r="B39" s="23"/>
      <c r="C39" s="23"/>
      <c r="D39" s="23"/>
      <c r="E39" s="28"/>
      <c r="F39" s="9"/>
      <c r="G39" s="28"/>
      <c r="H39" s="9"/>
      <c r="I39" s="42"/>
      <c r="J39" s="28"/>
      <c r="K39" s="29"/>
      <c r="L39" s="26"/>
      <c r="M39" s="29"/>
      <c r="N39" s="28"/>
      <c r="O39" s="28"/>
      <c r="P39" s="28"/>
      <c r="Q39" s="28"/>
      <c r="R39" s="28"/>
    </row>
    <row r="40" spans="1:18" ht="12.75">
      <c r="A40" s="23"/>
      <c r="B40" s="23" t="s">
        <v>95</v>
      </c>
      <c r="C40" s="31"/>
      <c r="D40" s="31"/>
      <c r="E40" s="26"/>
      <c r="F40" s="27">
        <f>SUM(F11:F35)/1000</f>
        <v>0.20396299999999995</v>
      </c>
      <c r="G40" s="26">
        <f>SUM(G35,G34,G31,G26,G23,G21,G20,G18,G14,G12)/1000</f>
        <v>19.4985</v>
      </c>
      <c r="H40" s="27">
        <f>SUM(H11:H35)/1000</f>
        <v>0.19696749999999996</v>
      </c>
      <c r="I40" s="33"/>
      <c r="J40" s="26"/>
      <c r="K40" s="27">
        <f>SUM(K11:K35)/1000</f>
        <v>0.24829799999999996</v>
      </c>
      <c r="L40" s="26">
        <f>SUM(L35,L34,L31,L26,L23,L21,L20,L18,L14,L12)/1000</f>
        <v>43.683</v>
      </c>
      <c r="M40" s="27">
        <f>SUM(M11:M35)/1000</f>
        <v>0.24301799999999998</v>
      </c>
      <c r="N40" s="31"/>
      <c r="O40" s="28"/>
      <c r="P40" s="28">
        <f>SUM(P11:P35)/1000</f>
        <v>0.2378164</v>
      </c>
      <c r="Q40" s="26">
        <f>SUM(Q35,Q34,Q31,Q26,Q23,Q21,Q20,Q18,Q14,Q12)/1000</f>
        <v>24.164900000000003</v>
      </c>
      <c r="R40" s="28">
        <f>SUM(R11:R35)/1000</f>
        <v>0.23122820000000005</v>
      </c>
    </row>
    <row r="41" spans="1:18" ht="12.75">
      <c r="A41" s="23"/>
      <c r="B41" s="23" t="s">
        <v>45</v>
      </c>
      <c r="C41" s="31"/>
      <c r="D41" s="26">
        <f>(F41-H41)*2/F41*100</f>
        <v>6.859577472384693</v>
      </c>
      <c r="E41" s="28"/>
      <c r="F41" s="27">
        <f>(F40/F37/0.0283*(21-7)/(21-F38))</f>
        <v>0.05879880092223901</v>
      </c>
      <c r="G41" s="27">
        <f>(G40/G37/0.0283*(21-7)/(21-G38))</f>
        <v>5.621060779564322</v>
      </c>
      <c r="H41" s="27">
        <f>(H40/H37/0.0283*(21-7)/(21-H38))</f>
        <v>0.0567821262711919</v>
      </c>
      <c r="I41" s="26">
        <f>(K41-M41)*2/K41*100</f>
        <v>4.2529541115917135</v>
      </c>
      <c r="J41" s="28"/>
      <c r="K41" s="28">
        <f>K40/K37/0.0283*(21-7)/(21-K38)</f>
        <v>0.07232567744141663</v>
      </c>
      <c r="L41" s="28">
        <f>(L40/L37/0.0283*(21-7)/(21-L38))</f>
        <v>12.724236875340933</v>
      </c>
      <c r="M41" s="28">
        <f>M40/M37/0.0283*(21-7)/(21-M38)</f>
        <v>0.07078768850517599</v>
      </c>
      <c r="N41" s="26">
        <f>(P41-R41)*2/P41*100</f>
        <v>5.540576680161691</v>
      </c>
      <c r="O41" s="28"/>
      <c r="P41" s="28">
        <f>P40/P37/0.0283*(21-7)/(21-P38)</f>
        <v>0.07487050238103465</v>
      </c>
      <c r="Q41" s="28">
        <f>(Q40/Q37/0.0283*(21-7)/(21-Q38))</f>
        <v>7.6077099938753765</v>
      </c>
      <c r="R41" s="28">
        <f>R40/R37/0.0283*(21-7)/(21-R38)</f>
        <v>0.0727963735834129</v>
      </c>
    </row>
    <row r="42" spans="1:18" ht="12.75">
      <c r="A42" s="23"/>
      <c r="B42" s="23"/>
      <c r="C42" s="23"/>
      <c r="D42" s="23"/>
      <c r="E42" s="27"/>
      <c r="F42" s="31"/>
      <c r="G42" s="27"/>
      <c r="H42" s="31"/>
      <c r="I42" s="48"/>
      <c r="J42" s="27"/>
      <c r="K42" s="27"/>
      <c r="L42" s="27"/>
      <c r="M42" s="27"/>
      <c r="N42" s="27"/>
      <c r="O42" s="27"/>
      <c r="P42" s="30"/>
      <c r="Q42" s="27"/>
      <c r="R42" s="30"/>
    </row>
    <row r="43" spans="1:18" ht="12.75">
      <c r="A43" s="28"/>
      <c r="B43" s="23" t="s">
        <v>58</v>
      </c>
      <c r="C43" s="31">
        <f>AVERAGE(H41,M41,R41)</f>
        <v>0.06678872945326027</v>
      </c>
      <c r="D43" s="28"/>
      <c r="E43" s="28"/>
      <c r="F43" s="31"/>
      <c r="G43" s="28"/>
      <c r="H43" s="31"/>
      <c r="I43" s="47"/>
      <c r="J43" s="28"/>
      <c r="K43" s="28"/>
      <c r="L43" s="28"/>
      <c r="M43" s="28"/>
      <c r="N43" s="28"/>
      <c r="O43" s="28"/>
      <c r="P43" s="30"/>
      <c r="Q43" s="28"/>
      <c r="R43" s="30"/>
    </row>
    <row r="44" spans="1:18" ht="12.75">
      <c r="A44" s="23"/>
      <c r="B44" s="23" t="s">
        <v>59</v>
      </c>
      <c r="C44" s="31">
        <f>AVERAGE(G41,L41,Q41)</f>
        <v>8.651002549593544</v>
      </c>
      <c r="D44" s="23"/>
      <c r="E44" s="30"/>
      <c r="F44" s="31"/>
      <c r="G44" s="30"/>
      <c r="H44" s="31"/>
      <c r="I44" s="34"/>
      <c r="J44" s="30"/>
      <c r="K44" s="30"/>
      <c r="L44" s="30"/>
      <c r="M44" s="30"/>
      <c r="N44" s="30"/>
      <c r="O44" s="30"/>
      <c r="P44" s="30"/>
      <c r="Q44" s="30"/>
      <c r="R44" s="30"/>
    </row>
    <row r="46" ht="12.75">
      <c r="I46"/>
    </row>
    <row r="47" ht="12.75">
      <c r="I47"/>
    </row>
    <row r="48" ht="12.75">
      <c r="I48"/>
    </row>
    <row r="49" ht="12.75">
      <c r="I49"/>
    </row>
    <row r="50" ht="12.75">
      <c r="I50"/>
    </row>
    <row r="51" ht="12.75">
      <c r="I51"/>
    </row>
    <row r="52" ht="12.75">
      <c r="I52"/>
    </row>
    <row r="53" ht="12.75">
      <c r="I53"/>
    </row>
    <row r="54" ht="12.75">
      <c r="I54"/>
    </row>
    <row r="55" ht="12.75">
      <c r="I55"/>
    </row>
    <row r="56" ht="12.75">
      <c r="I56"/>
    </row>
    <row r="57" ht="12.75">
      <c r="I57"/>
    </row>
    <row r="58" ht="12.75">
      <c r="I58"/>
    </row>
    <row r="59" ht="12.75">
      <c r="I59"/>
    </row>
    <row r="60" ht="12.75">
      <c r="I60"/>
    </row>
    <row r="61" ht="12.75">
      <c r="I61"/>
    </row>
    <row r="62" ht="12.75">
      <c r="I62"/>
    </row>
    <row r="63" ht="12.75">
      <c r="I63"/>
    </row>
    <row r="64" ht="12.75">
      <c r="I64"/>
    </row>
    <row r="65" ht="12.75">
      <c r="I65"/>
    </row>
    <row r="66" ht="12.75">
      <c r="I66"/>
    </row>
    <row r="67" ht="12.75">
      <c r="I67"/>
    </row>
    <row r="68" ht="12.75">
      <c r="I68"/>
    </row>
    <row r="69" ht="12.75">
      <c r="I69"/>
    </row>
    <row r="70" ht="12.75">
      <c r="I70"/>
    </row>
    <row r="71" ht="12.75">
      <c r="I71"/>
    </row>
    <row r="72" ht="12.75">
      <c r="I72"/>
    </row>
    <row r="73" ht="12.75">
      <c r="I73"/>
    </row>
    <row r="74" ht="12.75">
      <c r="I74"/>
    </row>
    <row r="75" ht="12.75">
      <c r="I75"/>
    </row>
    <row r="76" ht="12.75">
      <c r="I76"/>
    </row>
    <row r="77" ht="12.75">
      <c r="I77"/>
    </row>
    <row r="78" ht="12.75">
      <c r="I78"/>
    </row>
    <row r="79" ht="12.75">
      <c r="I79"/>
    </row>
    <row r="80" ht="12.75">
      <c r="I80"/>
    </row>
    <row r="81" ht="12.75">
      <c r="I81"/>
    </row>
    <row r="82" ht="12.75">
      <c r="I82"/>
    </row>
    <row r="83" ht="12.75">
      <c r="I83"/>
    </row>
    <row r="84" ht="12.75">
      <c r="I84"/>
    </row>
    <row r="85" ht="12.75">
      <c r="I85"/>
    </row>
    <row r="86" ht="12.75">
      <c r="I86"/>
    </row>
    <row r="87" ht="12.75">
      <c r="I87"/>
    </row>
    <row r="88" ht="12.75">
      <c r="I88"/>
    </row>
    <row r="89" ht="12.75">
      <c r="I89"/>
    </row>
    <row r="90" ht="12.75">
      <c r="I90"/>
    </row>
    <row r="91" ht="12.75">
      <c r="I91"/>
    </row>
    <row r="92" ht="12.75">
      <c r="I92"/>
    </row>
    <row r="93" ht="12.75">
      <c r="I93"/>
    </row>
    <row r="94" ht="12.75">
      <c r="I94"/>
    </row>
    <row r="95" ht="12.75">
      <c r="I95"/>
    </row>
    <row r="96" ht="12.75">
      <c r="I96"/>
    </row>
    <row r="97" ht="12.75">
      <c r="I97"/>
    </row>
    <row r="98" ht="12.75">
      <c r="I98"/>
    </row>
    <row r="99" ht="12.75">
      <c r="I99"/>
    </row>
    <row r="100" ht="12.75">
      <c r="I100"/>
    </row>
    <row r="101" ht="12.75">
      <c r="I101"/>
    </row>
    <row r="102" ht="12.75">
      <c r="I102"/>
    </row>
    <row r="103" ht="12.75">
      <c r="I103"/>
    </row>
    <row r="104" ht="12.75">
      <c r="I104"/>
    </row>
    <row r="105" ht="12.75">
      <c r="I105"/>
    </row>
    <row r="106" ht="12.75">
      <c r="I106"/>
    </row>
    <row r="107" ht="12.75">
      <c r="I107"/>
    </row>
    <row r="108" ht="12.75">
      <c r="I108"/>
    </row>
    <row r="109" ht="12.75">
      <c r="I109"/>
    </row>
    <row r="110" ht="12.75">
      <c r="I110"/>
    </row>
    <row r="111" ht="12.75">
      <c r="I111"/>
    </row>
    <row r="112" ht="12.75">
      <c r="I112"/>
    </row>
    <row r="113" ht="12.75">
      <c r="I113"/>
    </row>
    <row r="114" ht="12.75">
      <c r="I114"/>
    </row>
    <row r="115" ht="12.75">
      <c r="I115"/>
    </row>
    <row r="116" ht="12.75">
      <c r="I116"/>
    </row>
    <row r="117" ht="12.75">
      <c r="I117"/>
    </row>
    <row r="118" ht="12.75">
      <c r="I118"/>
    </row>
    <row r="119" ht="12.75">
      <c r="I119"/>
    </row>
    <row r="120" ht="12.75">
      <c r="I120"/>
    </row>
    <row r="121" ht="12.75">
      <c r="I121"/>
    </row>
    <row r="122" ht="12.75">
      <c r="I122"/>
    </row>
    <row r="123" ht="12.75">
      <c r="I123"/>
    </row>
    <row r="124" ht="12.75">
      <c r="I124"/>
    </row>
    <row r="125" ht="12.75">
      <c r="I125"/>
    </row>
    <row r="126" ht="12.75">
      <c r="I126"/>
    </row>
    <row r="127" ht="12.75">
      <c r="I127"/>
    </row>
    <row r="128" ht="12.75">
      <c r="I128"/>
    </row>
    <row r="129" ht="12.75">
      <c r="I129"/>
    </row>
    <row r="130" ht="12.75">
      <c r="I130"/>
    </row>
    <row r="131" ht="12.75">
      <c r="I131"/>
    </row>
    <row r="132" spans="1:18" ht="12.75">
      <c r="A132" s="23"/>
      <c r="B132" s="23"/>
      <c r="C132" s="31"/>
      <c r="D132" s="23"/>
      <c r="E132" s="30"/>
      <c r="F132" s="31"/>
      <c r="G132" s="30"/>
      <c r="H132" s="31"/>
      <c r="I132" s="34"/>
      <c r="J132" s="30"/>
      <c r="K132" s="30"/>
      <c r="L132" s="30"/>
      <c r="M132" s="30"/>
      <c r="N132" s="30"/>
      <c r="O132" s="30"/>
      <c r="P132" s="30"/>
      <c r="Q132" s="30"/>
      <c r="R132" s="30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132"/>
  <sheetViews>
    <sheetView workbookViewId="0" topLeftCell="A30">
      <selection activeCell="B35" sqref="B35"/>
    </sheetView>
  </sheetViews>
  <sheetFormatPr defaultColWidth="9.140625" defaultRowHeight="12.75"/>
  <cols>
    <col min="1" max="1" width="1.7109375" style="0" customWidth="1"/>
    <col min="2" max="2" width="20.00390625" style="0" customWidth="1"/>
    <col min="3" max="3" width="9.7109375" style="0" customWidth="1"/>
    <col min="4" max="4" width="3.7109375" style="0" customWidth="1"/>
    <col min="5" max="5" width="9.421875" style="0" customWidth="1"/>
    <col min="6" max="6" width="9.8515625" style="0" customWidth="1"/>
    <col min="8" max="8" width="9.8515625" style="0" customWidth="1"/>
    <col min="9" max="9" width="3.421875" style="46" customWidth="1"/>
    <col min="11" max="11" width="9.28125" style="0" customWidth="1"/>
    <col min="13" max="13" width="9.28125" style="0" customWidth="1"/>
    <col min="14" max="14" width="4.421875" style="0" customWidth="1"/>
    <col min="16" max="16" width="9.00390625" style="0" customWidth="1"/>
    <col min="18" max="18" width="9.00390625" style="0" customWidth="1"/>
    <col min="19" max="19" width="2.8515625" style="0" customWidth="1"/>
    <col min="22" max="22" width="9.00390625" style="0" customWidth="1"/>
  </cols>
  <sheetData>
    <row r="1" spans="1:18" ht="12.75">
      <c r="A1" s="37" t="s">
        <v>67</v>
      </c>
      <c r="B1" s="23"/>
      <c r="C1" s="23"/>
      <c r="D1" s="23"/>
      <c r="E1" s="30"/>
      <c r="F1" s="31"/>
      <c r="G1" s="30"/>
      <c r="H1" s="31"/>
      <c r="I1" s="34"/>
      <c r="J1" s="30"/>
      <c r="K1" s="30"/>
      <c r="L1" s="30"/>
      <c r="M1" s="30"/>
      <c r="N1" s="30"/>
      <c r="O1" s="30"/>
      <c r="P1" s="30"/>
      <c r="Q1" s="30"/>
      <c r="R1" s="30"/>
    </row>
    <row r="2" spans="1:18" ht="12.75">
      <c r="A2" s="23" t="s">
        <v>400</v>
      </c>
      <c r="B2" s="23"/>
      <c r="C2" s="23"/>
      <c r="D2" s="23"/>
      <c r="E2" s="30"/>
      <c r="F2" s="31"/>
      <c r="G2" s="30"/>
      <c r="H2" s="31"/>
      <c r="I2" s="34"/>
      <c r="J2" s="30"/>
      <c r="K2" s="30"/>
      <c r="L2" s="30"/>
      <c r="M2" s="30"/>
      <c r="N2" s="30"/>
      <c r="O2" s="30"/>
      <c r="P2" s="30"/>
      <c r="Q2" s="30"/>
      <c r="R2" s="30"/>
    </row>
    <row r="3" spans="1:18" ht="12.75">
      <c r="A3" s="23" t="s">
        <v>19</v>
      </c>
      <c r="B3" s="23"/>
      <c r="C3" s="6" t="s">
        <v>176</v>
      </c>
      <c r="D3" s="6"/>
      <c r="E3" s="30"/>
      <c r="F3" s="31"/>
      <c r="G3" s="30"/>
      <c r="H3" s="31"/>
      <c r="I3" s="34"/>
      <c r="J3" s="30"/>
      <c r="K3" s="30"/>
      <c r="L3" s="30"/>
      <c r="M3" s="30"/>
      <c r="N3" s="30"/>
      <c r="O3" s="30"/>
      <c r="P3" s="30"/>
      <c r="Q3" s="30"/>
      <c r="R3" s="30"/>
    </row>
    <row r="4" spans="1:18" ht="12.75">
      <c r="A4" s="23" t="s">
        <v>20</v>
      </c>
      <c r="B4" s="23"/>
      <c r="C4" s="6" t="s">
        <v>170</v>
      </c>
      <c r="D4" s="6"/>
      <c r="E4" s="32"/>
      <c r="F4" s="33"/>
      <c r="G4" s="32"/>
      <c r="H4" s="33"/>
      <c r="I4" s="34"/>
      <c r="J4" s="32"/>
      <c r="K4" s="32"/>
      <c r="L4" s="32"/>
      <c r="M4" s="32"/>
      <c r="N4" s="32"/>
      <c r="O4" s="32"/>
      <c r="P4" s="32"/>
      <c r="Q4" s="32"/>
      <c r="R4" s="32"/>
    </row>
    <row r="5" spans="1:18" ht="12.75">
      <c r="A5" s="23" t="s">
        <v>21</v>
      </c>
      <c r="B5" s="23"/>
      <c r="C5" s="9" t="str">
        <f>cond!C30</f>
        <v>Bi-annual testing trial burn, max temp, max metals feeds</v>
      </c>
      <c r="D5" s="9"/>
      <c r="E5" s="9"/>
      <c r="F5" s="74">
        <v>35977</v>
      </c>
      <c r="G5" s="9"/>
      <c r="H5" s="74">
        <v>35977</v>
      </c>
      <c r="I5" s="42"/>
      <c r="J5" s="9"/>
      <c r="K5" s="30"/>
      <c r="L5" s="9"/>
      <c r="M5" s="30"/>
      <c r="N5" s="30"/>
      <c r="O5" s="30"/>
      <c r="P5" s="30"/>
      <c r="Q5" s="30"/>
      <c r="R5" s="30"/>
    </row>
    <row r="6" spans="1:18" ht="12.75">
      <c r="A6" s="23"/>
      <c r="B6" s="23"/>
      <c r="C6" s="25"/>
      <c r="D6" s="25"/>
      <c r="E6" s="34"/>
      <c r="F6" s="31"/>
      <c r="G6" s="34"/>
      <c r="H6" s="31"/>
      <c r="I6" s="34"/>
      <c r="J6" s="34"/>
      <c r="K6" s="30"/>
      <c r="L6" s="34"/>
      <c r="M6" s="30"/>
      <c r="N6" s="30"/>
      <c r="O6" s="34"/>
      <c r="P6" s="30"/>
      <c r="Q6" s="34"/>
      <c r="R6" s="30"/>
    </row>
    <row r="7" spans="1:18" s="76" customFormat="1" ht="12.75">
      <c r="A7" s="23"/>
      <c r="B7" s="23"/>
      <c r="C7" s="25" t="s">
        <v>22</v>
      </c>
      <c r="D7" s="25"/>
      <c r="E7" s="35" t="s">
        <v>161</v>
      </c>
      <c r="F7" s="35"/>
      <c r="G7" s="35"/>
      <c r="H7" s="35"/>
      <c r="I7" s="8"/>
      <c r="J7" s="35" t="s">
        <v>120</v>
      </c>
      <c r="K7" s="35"/>
      <c r="L7" s="35"/>
      <c r="M7" s="35"/>
      <c r="N7" s="8"/>
      <c r="O7" s="35" t="s">
        <v>162</v>
      </c>
      <c r="P7" s="35"/>
      <c r="Q7" s="35"/>
      <c r="R7" s="35"/>
    </row>
    <row r="8" spans="1:18" s="76" customFormat="1" ht="12.75">
      <c r="A8" s="23"/>
      <c r="B8" s="23"/>
      <c r="C8" s="25" t="s">
        <v>23</v>
      </c>
      <c r="D8" s="23"/>
      <c r="E8" s="34" t="s">
        <v>24</v>
      </c>
      <c r="F8" s="33" t="s">
        <v>25</v>
      </c>
      <c r="G8" s="34" t="s">
        <v>24</v>
      </c>
      <c r="H8" s="33" t="s">
        <v>25</v>
      </c>
      <c r="I8" s="34"/>
      <c r="J8" s="34" t="s">
        <v>24</v>
      </c>
      <c r="K8" s="34" t="s">
        <v>26</v>
      </c>
      <c r="L8" s="34" t="s">
        <v>24</v>
      </c>
      <c r="M8" s="34" t="s">
        <v>26</v>
      </c>
      <c r="N8" s="30"/>
      <c r="O8" s="34" t="s">
        <v>24</v>
      </c>
      <c r="P8" s="34" t="s">
        <v>26</v>
      </c>
      <c r="Q8" s="34" t="s">
        <v>24</v>
      </c>
      <c r="R8" s="34" t="s">
        <v>26</v>
      </c>
    </row>
    <row r="9" spans="1:18" s="76" customFormat="1" ht="12.75">
      <c r="A9" s="23"/>
      <c r="B9" s="23"/>
      <c r="C9" s="25"/>
      <c r="D9" s="23"/>
      <c r="E9" s="34" t="s">
        <v>235</v>
      </c>
      <c r="F9" s="34" t="s">
        <v>235</v>
      </c>
      <c r="G9" s="34" t="s">
        <v>66</v>
      </c>
      <c r="H9" s="33" t="s">
        <v>66</v>
      </c>
      <c r="I9" s="34"/>
      <c r="J9" s="34" t="s">
        <v>235</v>
      </c>
      <c r="K9" s="34" t="s">
        <v>235</v>
      </c>
      <c r="L9" s="34" t="s">
        <v>66</v>
      </c>
      <c r="M9" s="33" t="s">
        <v>66</v>
      </c>
      <c r="N9" s="30"/>
      <c r="O9" s="34" t="s">
        <v>235</v>
      </c>
      <c r="P9" s="34" t="s">
        <v>235</v>
      </c>
      <c r="Q9" s="34" t="s">
        <v>66</v>
      </c>
      <c r="R9" s="33" t="s">
        <v>66</v>
      </c>
    </row>
    <row r="10" spans="1:18" ht="12.75">
      <c r="A10" s="23" t="s">
        <v>98</v>
      </c>
      <c r="B10" s="23"/>
      <c r="C10" s="23"/>
      <c r="D10" s="23"/>
      <c r="E10" s="30"/>
      <c r="F10" s="31"/>
      <c r="G10" s="30"/>
      <c r="H10" s="31"/>
      <c r="I10" s="34"/>
      <c r="J10" s="30"/>
      <c r="K10" s="30"/>
      <c r="L10" s="30"/>
      <c r="M10" s="30"/>
      <c r="N10" s="30"/>
      <c r="O10" s="26"/>
      <c r="P10" s="30"/>
      <c r="Q10" s="30"/>
      <c r="R10" s="30"/>
    </row>
    <row r="11" spans="1:18" ht="12.75">
      <c r="A11" s="23"/>
      <c r="B11" s="23" t="s">
        <v>27</v>
      </c>
      <c r="C11" s="25">
        <v>1</v>
      </c>
      <c r="E11">
        <v>15</v>
      </c>
      <c r="F11" s="28">
        <f aca="true" t="shared" si="0" ref="F11:F35">IF(E11="","",E11*$C11)</f>
        <v>15</v>
      </c>
      <c r="G11" s="28">
        <f aca="true" t="shared" si="1" ref="G11:G35">IF(E11=0,"",IF(D11="nd",E11/2,E11))</f>
        <v>15</v>
      </c>
      <c r="H11" s="28">
        <f aca="true" t="shared" si="2" ref="H11:H35">IF(G11="","",G11*$C11)</f>
        <v>15</v>
      </c>
      <c r="I11"/>
      <c r="J11">
        <v>11</v>
      </c>
      <c r="K11" s="28">
        <f aca="true" t="shared" si="3" ref="K11:K35">IF(J11="","",J11*$C11)</f>
        <v>11</v>
      </c>
      <c r="L11" s="28">
        <f>IF(J11=0,"",IF(I11="nd",J11/2,J11))</f>
        <v>11</v>
      </c>
      <c r="M11" s="28">
        <f aca="true" t="shared" si="4" ref="M11:M35">IF(L11="","",L11*$C11)</f>
        <v>11</v>
      </c>
      <c r="O11">
        <v>11</v>
      </c>
      <c r="P11" s="36">
        <f aca="true" t="shared" si="5" ref="P11:P35">IF(O11="","",O11*$C11)</f>
        <v>11</v>
      </c>
      <c r="Q11" s="36">
        <f>IF(O11=0,"",IF(N11="nd",O11/2,O11))</f>
        <v>11</v>
      </c>
      <c r="R11" s="36">
        <f aca="true" t="shared" si="6" ref="R11:R35">IF(Q11="","",Q11*$C11)</f>
        <v>11</v>
      </c>
    </row>
    <row r="12" spans="1:18" ht="12.75">
      <c r="A12" s="23"/>
      <c r="B12" s="23" t="s">
        <v>87</v>
      </c>
      <c r="C12" s="25">
        <v>0</v>
      </c>
      <c r="E12">
        <v>840</v>
      </c>
      <c r="F12" s="36">
        <f t="shared" si="0"/>
        <v>0</v>
      </c>
      <c r="G12" s="36">
        <f>IF(E12=0,"",IF(D12="nd",E12/2,E12))</f>
        <v>840</v>
      </c>
      <c r="H12" s="36">
        <f t="shared" si="2"/>
        <v>0</v>
      </c>
      <c r="I12"/>
      <c r="J12">
        <v>630</v>
      </c>
      <c r="K12" s="28">
        <f t="shared" si="3"/>
        <v>0</v>
      </c>
      <c r="L12" s="36">
        <f>IF(J12=0,"",IF(I12="nd",J12/2,J12))</f>
        <v>630</v>
      </c>
      <c r="M12" s="28">
        <f t="shared" si="4"/>
        <v>0</v>
      </c>
      <c r="O12">
        <v>570</v>
      </c>
      <c r="P12" s="36">
        <f t="shared" si="5"/>
        <v>0</v>
      </c>
      <c r="Q12" s="36">
        <f>IF(O12=0,"",IF(N12="nd",O12/2,O12))</f>
        <v>570</v>
      </c>
      <c r="R12" s="36">
        <f t="shared" si="6"/>
        <v>0</v>
      </c>
    </row>
    <row r="13" spans="1:18" ht="12.75">
      <c r="A13" s="23"/>
      <c r="B13" s="23" t="s">
        <v>28</v>
      </c>
      <c r="C13" s="25">
        <v>0.5</v>
      </c>
      <c r="E13">
        <v>21</v>
      </c>
      <c r="F13" s="28">
        <f t="shared" si="0"/>
        <v>10.5</v>
      </c>
      <c r="G13" s="28">
        <f t="shared" si="1"/>
        <v>21</v>
      </c>
      <c r="H13" s="28">
        <f t="shared" si="2"/>
        <v>10.5</v>
      </c>
      <c r="I13"/>
      <c r="J13">
        <v>11</v>
      </c>
      <c r="K13" s="28">
        <f t="shared" si="3"/>
        <v>5.5</v>
      </c>
      <c r="L13" s="28">
        <f aca="true" t="shared" si="7" ref="L13:L35">IF(J13=0,"",IF(I13="nd",J13/2,J13))</f>
        <v>11</v>
      </c>
      <c r="M13" s="28">
        <f t="shared" si="4"/>
        <v>5.5</v>
      </c>
      <c r="O13">
        <v>8.6</v>
      </c>
      <c r="P13" s="36">
        <f t="shared" si="5"/>
        <v>4.3</v>
      </c>
      <c r="Q13" s="36">
        <f aca="true" t="shared" si="8" ref="Q13:Q35">IF(O13=0,"",IF(N13="nd",O13/2,O13))</f>
        <v>8.6</v>
      </c>
      <c r="R13" s="36">
        <f t="shared" si="6"/>
        <v>4.3</v>
      </c>
    </row>
    <row r="14" spans="1:18" ht="12.75">
      <c r="A14" s="23"/>
      <c r="B14" s="23" t="s">
        <v>88</v>
      </c>
      <c r="C14" s="25">
        <v>0</v>
      </c>
      <c r="E14">
        <v>600</v>
      </c>
      <c r="F14" s="36">
        <f t="shared" si="0"/>
        <v>0</v>
      </c>
      <c r="G14" s="36">
        <f>IF(E14=0,"",IF(D14="nd",E14/2,E14))</f>
        <v>600</v>
      </c>
      <c r="H14" s="36">
        <f t="shared" si="2"/>
        <v>0</v>
      </c>
      <c r="I14"/>
      <c r="J14">
        <v>350</v>
      </c>
      <c r="K14" s="28">
        <f t="shared" si="3"/>
        <v>0</v>
      </c>
      <c r="L14" s="36">
        <f>IF(J14=0,"",IF(I14="nd",J14/2,J14))</f>
        <v>350</v>
      </c>
      <c r="M14" s="28">
        <f t="shared" si="4"/>
        <v>0</v>
      </c>
      <c r="O14">
        <v>310</v>
      </c>
      <c r="P14" s="36">
        <f t="shared" si="5"/>
        <v>0</v>
      </c>
      <c r="Q14" s="36">
        <f>IF(O14=0,"",IF(N14="nd",O14/2,O14))</f>
        <v>310</v>
      </c>
      <c r="R14" s="36">
        <f t="shared" si="6"/>
        <v>0</v>
      </c>
    </row>
    <row r="15" spans="1:18" ht="12.75">
      <c r="A15" s="23"/>
      <c r="B15" s="23" t="s">
        <v>29</v>
      </c>
      <c r="C15" s="25">
        <v>0.1</v>
      </c>
      <c r="E15">
        <v>16</v>
      </c>
      <c r="F15" s="28">
        <f t="shared" si="0"/>
        <v>1.6</v>
      </c>
      <c r="G15" s="28">
        <f t="shared" si="1"/>
        <v>16</v>
      </c>
      <c r="H15" s="28">
        <f t="shared" si="2"/>
        <v>1.6</v>
      </c>
      <c r="I15"/>
      <c r="J15">
        <v>11</v>
      </c>
      <c r="K15" s="28">
        <f t="shared" si="3"/>
        <v>1.1</v>
      </c>
      <c r="L15" s="28">
        <f t="shared" si="7"/>
        <v>11</v>
      </c>
      <c r="M15" s="28">
        <f t="shared" si="4"/>
        <v>1.1</v>
      </c>
      <c r="O15">
        <v>6.9</v>
      </c>
      <c r="P15" s="36">
        <f t="shared" si="5"/>
        <v>0.6900000000000001</v>
      </c>
      <c r="Q15" s="36">
        <f t="shared" si="8"/>
        <v>6.9</v>
      </c>
      <c r="R15" s="36">
        <f t="shared" si="6"/>
        <v>0.6900000000000001</v>
      </c>
    </row>
    <row r="16" spans="1:18" ht="12.75">
      <c r="A16" s="23"/>
      <c r="B16" s="23" t="s">
        <v>30</v>
      </c>
      <c r="C16" s="25">
        <v>0.1</v>
      </c>
      <c r="E16">
        <v>13</v>
      </c>
      <c r="F16" s="28">
        <f t="shared" si="0"/>
        <v>1.3</v>
      </c>
      <c r="G16" s="28">
        <f t="shared" si="1"/>
        <v>13</v>
      </c>
      <c r="H16" s="28">
        <f t="shared" si="2"/>
        <v>1.3</v>
      </c>
      <c r="I16"/>
      <c r="J16">
        <v>12</v>
      </c>
      <c r="K16" s="28">
        <f t="shared" si="3"/>
        <v>1.2000000000000002</v>
      </c>
      <c r="L16" s="28">
        <f t="shared" si="7"/>
        <v>12</v>
      </c>
      <c r="M16" s="28">
        <f t="shared" si="4"/>
        <v>1.2000000000000002</v>
      </c>
      <c r="O16">
        <v>6.3</v>
      </c>
      <c r="P16" s="36">
        <f t="shared" si="5"/>
        <v>0.63</v>
      </c>
      <c r="Q16" s="36">
        <f t="shared" si="8"/>
        <v>6.3</v>
      </c>
      <c r="R16" s="36">
        <f t="shared" si="6"/>
        <v>0.63</v>
      </c>
    </row>
    <row r="17" spans="1:18" ht="12.75">
      <c r="A17" s="23"/>
      <c r="B17" s="23" t="s">
        <v>31</v>
      </c>
      <c r="C17" s="25">
        <v>0.1</v>
      </c>
      <c r="E17">
        <v>8.7</v>
      </c>
      <c r="F17" s="28">
        <f t="shared" si="0"/>
        <v>0.87</v>
      </c>
      <c r="G17" s="28">
        <f t="shared" si="1"/>
        <v>8.7</v>
      </c>
      <c r="H17" s="28">
        <f t="shared" si="2"/>
        <v>0.87</v>
      </c>
      <c r="I17"/>
      <c r="J17">
        <v>7.5</v>
      </c>
      <c r="K17" s="28">
        <f t="shared" si="3"/>
        <v>0.75</v>
      </c>
      <c r="L17" s="28">
        <f t="shared" si="7"/>
        <v>7.5</v>
      </c>
      <c r="M17" s="28">
        <f t="shared" si="4"/>
        <v>0.75</v>
      </c>
      <c r="O17">
        <v>6.6</v>
      </c>
      <c r="P17" s="36">
        <f t="shared" si="5"/>
        <v>0.66</v>
      </c>
      <c r="Q17" s="36">
        <f t="shared" si="8"/>
        <v>6.6</v>
      </c>
      <c r="R17" s="36">
        <f t="shared" si="6"/>
        <v>0.66</v>
      </c>
    </row>
    <row r="18" spans="1:18" ht="12.75">
      <c r="A18" s="23"/>
      <c r="B18" s="23" t="s">
        <v>89</v>
      </c>
      <c r="C18" s="25">
        <v>0</v>
      </c>
      <c r="E18">
        <v>360</v>
      </c>
      <c r="F18" s="36">
        <f t="shared" si="0"/>
        <v>0</v>
      </c>
      <c r="G18" s="36">
        <f>IF(E18=0,"",IF(D18="nd",E18/2,E18))</f>
        <v>360</v>
      </c>
      <c r="H18" s="36">
        <f t="shared" si="2"/>
        <v>0</v>
      </c>
      <c r="I18"/>
      <c r="J18">
        <v>220</v>
      </c>
      <c r="K18" s="28">
        <f t="shared" si="3"/>
        <v>0</v>
      </c>
      <c r="L18" s="36">
        <f>IF(J18=0,"",IF(I18="nd",J18/2,J18))</f>
        <v>220</v>
      </c>
      <c r="M18" s="28">
        <f t="shared" si="4"/>
        <v>0</v>
      </c>
      <c r="O18">
        <v>120</v>
      </c>
      <c r="P18" s="36">
        <f t="shared" si="5"/>
        <v>0</v>
      </c>
      <c r="Q18" s="36">
        <f>IF(O18=0,"",IF(N18="nd",O18/2,O18))</f>
        <v>120</v>
      </c>
      <c r="R18" s="36">
        <f t="shared" si="6"/>
        <v>0</v>
      </c>
    </row>
    <row r="19" spans="1:18" ht="12.75">
      <c r="A19" s="23"/>
      <c r="B19" s="23" t="s">
        <v>32</v>
      </c>
      <c r="C19" s="25">
        <v>0.01</v>
      </c>
      <c r="E19">
        <v>16</v>
      </c>
      <c r="F19" s="28">
        <f t="shared" si="0"/>
        <v>0.16</v>
      </c>
      <c r="G19" s="28">
        <f t="shared" si="1"/>
        <v>16</v>
      </c>
      <c r="H19" s="28">
        <f t="shared" si="2"/>
        <v>0.16</v>
      </c>
      <c r="I19"/>
      <c r="J19">
        <v>20</v>
      </c>
      <c r="K19" s="28">
        <f t="shared" si="3"/>
        <v>0.2</v>
      </c>
      <c r="L19" s="28">
        <f t="shared" si="7"/>
        <v>20</v>
      </c>
      <c r="M19" s="28">
        <f t="shared" si="4"/>
        <v>0.2</v>
      </c>
      <c r="O19">
        <v>6.8</v>
      </c>
      <c r="P19" s="36">
        <f t="shared" si="5"/>
        <v>0.068</v>
      </c>
      <c r="Q19" s="36">
        <f t="shared" si="8"/>
        <v>6.8</v>
      </c>
      <c r="R19" s="36">
        <f t="shared" si="6"/>
        <v>0.068</v>
      </c>
    </row>
    <row r="20" spans="1:18" ht="12.75">
      <c r="A20" s="23"/>
      <c r="B20" s="23" t="s">
        <v>90</v>
      </c>
      <c r="C20" s="25">
        <v>0</v>
      </c>
      <c r="E20">
        <v>49</v>
      </c>
      <c r="F20" s="36">
        <f t="shared" si="0"/>
        <v>0</v>
      </c>
      <c r="G20" s="36">
        <f>IF(E20=0,"",IF(D20="nd",E20/2,E20))</f>
        <v>49</v>
      </c>
      <c r="H20" s="36">
        <f t="shared" si="2"/>
        <v>0</v>
      </c>
      <c r="I20"/>
      <c r="J20">
        <v>44</v>
      </c>
      <c r="K20" s="28">
        <f t="shared" si="3"/>
        <v>0</v>
      </c>
      <c r="L20" s="36">
        <f>IF(J20=0,"",IF(I20="nd",J20/2,J20))</f>
        <v>44</v>
      </c>
      <c r="M20" s="28">
        <f t="shared" si="4"/>
        <v>0</v>
      </c>
      <c r="O20">
        <v>17</v>
      </c>
      <c r="P20" s="36">
        <f t="shared" si="5"/>
        <v>0</v>
      </c>
      <c r="Q20" s="36">
        <f>IF(O20=0,"",IF(N20="nd",O20/2,O20))</f>
        <v>17</v>
      </c>
      <c r="R20" s="36">
        <f t="shared" si="6"/>
        <v>0</v>
      </c>
    </row>
    <row r="21" spans="1:18" ht="12.75">
      <c r="A21" s="23"/>
      <c r="B21" s="23" t="s">
        <v>33</v>
      </c>
      <c r="C21" s="25">
        <v>0.001</v>
      </c>
      <c r="E21">
        <v>24</v>
      </c>
      <c r="F21" s="28">
        <f t="shared" si="0"/>
        <v>0.024</v>
      </c>
      <c r="G21" s="28">
        <f t="shared" si="1"/>
        <v>24</v>
      </c>
      <c r="H21" s="28">
        <f t="shared" si="2"/>
        <v>0.024</v>
      </c>
      <c r="I21"/>
      <c r="J21">
        <v>38</v>
      </c>
      <c r="K21" s="28">
        <f t="shared" si="3"/>
        <v>0.038</v>
      </c>
      <c r="L21" s="36">
        <f t="shared" si="7"/>
        <v>38</v>
      </c>
      <c r="M21" s="28">
        <f t="shared" si="4"/>
        <v>0.038</v>
      </c>
      <c r="O21">
        <v>17</v>
      </c>
      <c r="P21" s="36">
        <f t="shared" si="5"/>
        <v>0.017</v>
      </c>
      <c r="Q21" s="36">
        <f t="shared" si="8"/>
        <v>17</v>
      </c>
      <c r="R21" s="36">
        <f t="shared" si="6"/>
        <v>0.017</v>
      </c>
    </row>
    <row r="22" spans="1:18" ht="12.75">
      <c r="A22" s="23"/>
      <c r="B22" s="23" t="s">
        <v>34</v>
      </c>
      <c r="C22" s="25">
        <v>0.1</v>
      </c>
      <c r="E22">
        <v>2300</v>
      </c>
      <c r="F22" s="28">
        <f t="shared" si="0"/>
        <v>230</v>
      </c>
      <c r="G22" s="28">
        <f t="shared" si="1"/>
        <v>2300</v>
      </c>
      <c r="H22" s="28">
        <f t="shared" si="2"/>
        <v>230</v>
      </c>
      <c r="I22"/>
      <c r="J22">
        <v>1500</v>
      </c>
      <c r="K22" s="28">
        <f t="shared" si="3"/>
        <v>150</v>
      </c>
      <c r="L22" s="36">
        <f t="shared" si="7"/>
        <v>1500</v>
      </c>
      <c r="M22" s="28">
        <f t="shared" si="4"/>
        <v>150</v>
      </c>
      <c r="O22">
        <v>1400</v>
      </c>
      <c r="P22" s="36">
        <f t="shared" si="5"/>
        <v>140</v>
      </c>
      <c r="Q22" s="36">
        <f t="shared" si="8"/>
        <v>1400</v>
      </c>
      <c r="R22" s="36">
        <f t="shared" si="6"/>
        <v>140</v>
      </c>
    </row>
    <row r="23" spans="1:18" ht="12.75">
      <c r="A23" s="23"/>
      <c r="B23" s="23" t="s">
        <v>91</v>
      </c>
      <c r="C23" s="25">
        <v>0</v>
      </c>
      <c r="E23">
        <v>37000</v>
      </c>
      <c r="F23" s="36">
        <f t="shared" si="0"/>
        <v>0</v>
      </c>
      <c r="G23" s="36">
        <f>IF(E23=0,"",IF(D23="nd",E23/2,E23))</f>
        <v>37000</v>
      </c>
      <c r="H23" s="36">
        <f t="shared" si="2"/>
        <v>0</v>
      </c>
      <c r="I23"/>
      <c r="J23">
        <v>25000</v>
      </c>
      <c r="K23" s="28">
        <f t="shared" si="3"/>
        <v>0</v>
      </c>
      <c r="L23" s="36">
        <f>IF(J23=0,"",IF(I23="nd",J23/2,J23))</f>
        <v>25000</v>
      </c>
      <c r="M23" s="28">
        <f t="shared" si="4"/>
        <v>0</v>
      </c>
      <c r="O23">
        <v>25000</v>
      </c>
      <c r="P23" s="36">
        <f t="shared" si="5"/>
        <v>0</v>
      </c>
      <c r="Q23" s="36">
        <f>IF(O23=0,"",IF(N23="nd",O23/2,O23))</f>
        <v>25000</v>
      </c>
      <c r="R23" s="36">
        <f t="shared" si="6"/>
        <v>0</v>
      </c>
    </row>
    <row r="24" spans="1:18" ht="12.75">
      <c r="A24" s="23"/>
      <c r="B24" s="23" t="s">
        <v>35</v>
      </c>
      <c r="C24" s="25">
        <v>0.05</v>
      </c>
      <c r="E24">
        <v>410</v>
      </c>
      <c r="F24" s="36">
        <f t="shared" si="0"/>
        <v>20.5</v>
      </c>
      <c r="G24" s="36">
        <f t="shared" si="1"/>
        <v>410</v>
      </c>
      <c r="H24" s="36">
        <f t="shared" si="2"/>
        <v>20.5</v>
      </c>
      <c r="I24"/>
      <c r="J24">
        <v>250</v>
      </c>
      <c r="K24" s="28">
        <f t="shared" si="3"/>
        <v>12.5</v>
      </c>
      <c r="L24" s="36">
        <f t="shared" si="7"/>
        <v>250</v>
      </c>
      <c r="M24" s="28">
        <f t="shared" si="4"/>
        <v>12.5</v>
      </c>
      <c r="O24">
        <v>200</v>
      </c>
      <c r="P24" s="36">
        <f t="shared" si="5"/>
        <v>10</v>
      </c>
      <c r="Q24" s="36">
        <f t="shared" si="8"/>
        <v>200</v>
      </c>
      <c r="R24" s="36">
        <f t="shared" si="6"/>
        <v>10</v>
      </c>
    </row>
    <row r="25" spans="1:18" ht="12.75">
      <c r="A25" s="23"/>
      <c r="B25" s="23" t="s">
        <v>36</v>
      </c>
      <c r="C25" s="25">
        <v>0.5</v>
      </c>
      <c r="E25">
        <v>780</v>
      </c>
      <c r="F25" s="36">
        <f t="shared" si="0"/>
        <v>390</v>
      </c>
      <c r="G25" s="36">
        <f t="shared" si="1"/>
        <v>780</v>
      </c>
      <c r="H25" s="36">
        <f t="shared" si="2"/>
        <v>390</v>
      </c>
      <c r="I25"/>
      <c r="J25">
        <v>450</v>
      </c>
      <c r="K25" s="28">
        <f t="shared" si="3"/>
        <v>225</v>
      </c>
      <c r="L25" s="36">
        <f t="shared" si="7"/>
        <v>450</v>
      </c>
      <c r="M25" s="28">
        <f t="shared" si="4"/>
        <v>225</v>
      </c>
      <c r="O25">
        <v>360</v>
      </c>
      <c r="P25" s="36">
        <f t="shared" si="5"/>
        <v>180</v>
      </c>
      <c r="Q25" s="36">
        <f t="shared" si="8"/>
        <v>360</v>
      </c>
      <c r="R25" s="36">
        <f t="shared" si="6"/>
        <v>180</v>
      </c>
    </row>
    <row r="26" spans="1:18" ht="12.75">
      <c r="A26" s="23"/>
      <c r="B26" s="23" t="s">
        <v>92</v>
      </c>
      <c r="C26" s="25">
        <v>0</v>
      </c>
      <c r="E26">
        <v>14000</v>
      </c>
      <c r="F26" s="36">
        <f t="shared" si="0"/>
        <v>0</v>
      </c>
      <c r="G26" s="36">
        <f>IF(E26=0,"",IF(D26="nd",E26/2,E26))</f>
        <v>14000</v>
      </c>
      <c r="H26" s="36">
        <f t="shared" si="2"/>
        <v>0</v>
      </c>
      <c r="I26"/>
      <c r="J26">
        <v>8200</v>
      </c>
      <c r="K26" s="28">
        <f t="shared" si="3"/>
        <v>0</v>
      </c>
      <c r="L26" s="36">
        <f>IF(J26=0,"",IF(I26="nd",J26/2,J26))</f>
        <v>8200</v>
      </c>
      <c r="M26" s="28">
        <f t="shared" si="4"/>
        <v>0</v>
      </c>
      <c r="O26">
        <v>7400</v>
      </c>
      <c r="P26" s="36">
        <f t="shared" si="5"/>
        <v>0</v>
      </c>
      <c r="Q26" s="36">
        <f>IF(O26=0,"",IF(N26="nd",O26/2,O26))</f>
        <v>7400</v>
      </c>
      <c r="R26" s="36">
        <f t="shared" si="6"/>
        <v>0</v>
      </c>
    </row>
    <row r="27" spans="1:18" ht="12.75">
      <c r="A27" s="23"/>
      <c r="B27" s="23" t="s">
        <v>37</v>
      </c>
      <c r="C27" s="25">
        <v>0.1</v>
      </c>
      <c r="E27">
        <v>410</v>
      </c>
      <c r="F27" s="36">
        <f t="shared" si="0"/>
        <v>41</v>
      </c>
      <c r="G27" s="36">
        <f t="shared" si="1"/>
        <v>410</v>
      </c>
      <c r="H27" s="36">
        <f t="shared" si="2"/>
        <v>41</v>
      </c>
      <c r="I27"/>
      <c r="J27">
        <v>210</v>
      </c>
      <c r="K27" s="28">
        <f t="shared" si="3"/>
        <v>21</v>
      </c>
      <c r="L27" s="36">
        <f t="shared" si="7"/>
        <v>210</v>
      </c>
      <c r="M27" s="28">
        <f t="shared" si="4"/>
        <v>21</v>
      </c>
      <c r="O27">
        <v>150</v>
      </c>
      <c r="P27" s="36">
        <f t="shared" si="5"/>
        <v>15</v>
      </c>
      <c r="Q27" s="36">
        <f t="shared" si="8"/>
        <v>150</v>
      </c>
      <c r="R27" s="36">
        <f t="shared" si="6"/>
        <v>15</v>
      </c>
    </row>
    <row r="28" spans="1:18" ht="12.75">
      <c r="A28" s="23"/>
      <c r="B28" s="23" t="s">
        <v>38</v>
      </c>
      <c r="C28" s="25">
        <v>0.1</v>
      </c>
      <c r="E28">
        <v>240</v>
      </c>
      <c r="F28" s="36">
        <f t="shared" si="0"/>
        <v>24</v>
      </c>
      <c r="G28" s="36">
        <f t="shared" si="1"/>
        <v>240</v>
      </c>
      <c r="H28" s="36">
        <f t="shared" si="2"/>
        <v>24</v>
      </c>
      <c r="I28"/>
      <c r="J28">
        <v>120</v>
      </c>
      <c r="K28" s="28">
        <f t="shared" si="3"/>
        <v>12</v>
      </c>
      <c r="L28" s="36">
        <f t="shared" si="7"/>
        <v>120</v>
      </c>
      <c r="M28" s="28">
        <f t="shared" si="4"/>
        <v>12</v>
      </c>
      <c r="O28">
        <v>84</v>
      </c>
      <c r="P28" s="36">
        <f t="shared" si="5"/>
        <v>8.4</v>
      </c>
      <c r="Q28" s="36">
        <f t="shared" si="8"/>
        <v>84</v>
      </c>
      <c r="R28" s="36">
        <f t="shared" si="6"/>
        <v>8.4</v>
      </c>
    </row>
    <row r="29" spans="1:18" ht="12.75">
      <c r="A29" s="23"/>
      <c r="B29" s="23" t="s">
        <v>39</v>
      </c>
      <c r="C29" s="25">
        <v>0.1</v>
      </c>
      <c r="E29">
        <v>130</v>
      </c>
      <c r="F29" s="36">
        <f t="shared" si="0"/>
        <v>13</v>
      </c>
      <c r="G29" s="36">
        <f t="shared" si="1"/>
        <v>130</v>
      </c>
      <c r="H29" s="36">
        <f t="shared" si="2"/>
        <v>13</v>
      </c>
      <c r="I29"/>
      <c r="J29">
        <v>80</v>
      </c>
      <c r="K29" s="28">
        <f t="shared" si="3"/>
        <v>8</v>
      </c>
      <c r="L29" s="36">
        <f t="shared" si="7"/>
        <v>80</v>
      </c>
      <c r="M29" s="28">
        <f t="shared" si="4"/>
        <v>8</v>
      </c>
      <c r="O29">
        <v>42</v>
      </c>
      <c r="P29" s="36">
        <f t="shared" si="5"/>
        <v>4.2</v>
      </c>
      <c r="Q29" s="36">
        <f t="shared" si="8"/>
        <v>42</v>
      </c>
      <c r="R29" s="36">
        <f t="shared" si="6"/>
        <v>4.2</v>
      </c>
    </row>
    <row r="30" spans="1:18" ht="12.75">
      <c r="A30" s="23"/>
      <c r="B30" s="23" t="s">
        <v>40</v>
      </c>
      <c r="C30" s="25">
        <v>0.1</v>
      </c>
      <c r="E30">
        <v>39</v>
      </c>
      <c r="F30" s="36">
        <f t="shared" si="0"/>
        <v>3.9000000000000004</v>
      </c>
      <c r="G30" s="36">
        <f t="shared" si="1"/>
        <v>39</v>
      </c>
      <c r="H30" s="36">
        <f t="shared" si="2"/>
        <v>3.9000000000000004</v>
      </c>
      <c r="I30"/>
      <c r="J30">
        <v>26</v>
      </c>
      <c r="K30" s="28">
        <f t="shared" si="3"/>
        <v>2.6</v>
      </c>
      <c r="L30" s="36">
        <f t="shared" si="7"/>
        <v>26</v>
      </c>
      <c r="M30" s="28">
        <f t="shared" si="4"/>
        <v>2.6</v>
      </c>
      <c r="O30">
        <v>14</v>
      </c>
      <c r="P30" s="36">
        <f t="shared" si="5"/>
        <v>1.4000000000000001</v>
      </c>
      <c r="Q30" s="36">
        <f t="shared" si="8"/>
        <v>14</v>
      </c>
      <c r="R30" s="36">
        <f t="shared" si="6"/>
        <v>1.4000000000000001</v>
      </c>
    </row>
    <row r="31" spans="1:18" ht="12.75">
      <c r="A31" s="23"/>
      <c r="B31" s="23" t="s">
        <v>93</v>
      </c>
      <c r="C31" s="25">
        <v>0</v>
      </c>
      <c r="E31">
        <v>4300</v>
      </c>
      <c r="F31" s="36">
        <f t="shared" si="0"/>
        <v>0</v>
      </c>
      <c r="G31" s="36">
        <f>IF(E31=0,"",IF(D31="nd",E31/2,E31))</f>
        <v>4300</v>
      </c>
      <c r="H31" s="36">
        <f t="shared" si="2"/>
        <v>0</v>
      </c>
      <c r="I31"/>
      <c r="J31">
        <v>2200</v>
      </c>
      <c r="K31" s="28">
        <f t="shared" si="3"/>
        <v>0</v>
      </c>
      <c r="L31" s="36">
        <f>IF(J31=0,"",IF(I31="nd",J31/2,J31))</f>
        <v>2200</v>
      </c>
      <c r="M31" s="28">
        <f t="shared" si="4"/>
        <v>0</v>
      </c>
      <c r="O31">
        <v>1600</v>
      </c>
      <c r="P31" s="36">
        <f t="shared" si="5"/>
        <v>0</v>
      </c>
      <c r="Q31" s="36">
        <f>IF(O31=0,"",IF(N31="nd",O31/2,O31))</f>
        <v>1600</v>
      </c>
      <c r="R31" s="36">
        <f t="shared" si="6"/>
        <v>0</v>
      </c>
    </row>
    <row r="32" spans="1:18" ht="12.75">
      <c r="A32" s="23"/>
      <c r="B32" s="23" t="s">
        <v>41</v>
      </c>
      <c r="C32" s="25">
        <v>0.01</v>
      </c>
      <c r="E32">
        <v>360</v>
      </c>
      <c r="F32" s="36">
        <f t="shared" si="0"/>
        <v>3.6</v>
      </c>
      <c r="G32" s="36">
        <f t="shared" si="1"/>
        <v>360</v>
      </c>
      <c r="H32" s="36">
        <f t="shared" si="2"/>
        <v>3.6</v>
      </c>
      <c r="I32"/>
      <c r="J32">
        <v>200</v>
      </c>
      <c r="K32" s="28">
        <f t="shared" si="3"/>
        <v>2</v>
      </c>
      <c r="L32" s="36">
        <f t="shared" si="7"/>
        <v>200</v>
      </c>
      <c r="M32" s="28">
        <f t="shared" si="4"/>
        <v>2</v>
      </c>
      <c r="O32">
        <v>93</v>
      </c>
      <c r="P32" s="36">
        <f t="shared" si="5"/>
        <v>0.93</v>
      </c>
      <c r="Q32" s="36">
        <f t="shared" si="8"/>
        <v>93</v>
      </c>
      <c r="R32" s="36">
        <f t="shared" si="6"/>
        <v>0.93</v>
      </c>
    </row>
    <row r="33" spans="1:18" ht="12.75">
      <c r="A33" s="23"/>
      <c r="B33" s="23" t="s">
        <v>42</v>
      </c>
      <c r="C33" s="25">
        <v>0.01</v>
      </c>
      <c r="E33">
        <v>11</v>
      </c>
      <c r="F33" s="36">
        <f t="shared" si="0"/>
        <v>0.11</v>
      </c>
      <c r="G33" s="36">
        <f t="shared" si="1"/>
        <v>11</v>
      </c>
      <c r="H33" s="36">
        <f t="shared" si="2"/>
        <v>0.11</v>
      </c>
      <c r="I33"/>
      <c r="J33">
        <v>12</v>
      </c>
      <c r="K33" s="28">
        <f t="shared" si="3"/>
        <v>0.12</v>
      </c>
      <c r="L33" s="36">
        <f t="shared" si="7"/>
        <v>12</v>
      </c>
      <c r="M33" s="28">
        <f t="shared" si="4"/>
        <v>0.12</v>
      </c>
      <c r="O33">
        <v>3.2</v>
      </c>
      <c r="P33" s="36">
        <f t="shared" si="5"/>
        <v>0.032</v>
      </c>
      <c r="Q33" s="36">
        <f t="shared" si="8"/>
        <v>3.2</v>
      </c>
      <c r="R33" s="36">
        <f t="shared" si="6"/>
        <v>0.032</v>
      </c>
    </row>
    <row r="34" spans="1:18" ht="12.75">
      <c r="A34" s="23"/>
      <c r="B34" s="23" t="s">
        <v>94</v>
      </c>
      <c r="C34" s="25">
        <v>0</v>
      </c>
      <c r="E34">
        <v>490</v>
      </c>
      <c r="F34" s="36">
        <f t="shared" si="0"/>
        <v>0</v>
      </c>
      <c r="G34" s="36">
        <f>IF(E34=0,"",IF(D34="nd",E34/2,E34))</f>
        <v>490</v>
      </c>
      <c r="H34" s="36">
        <f t="shared" si="2"/>
        <v>0</v>
      </c>
      <c r="I34"/>
      <c r="J34">
        <v>290</v>
      </c>
      <c r="K34" s="28">
        <f t="shared" si="3"/>
        <v>0</v>
      </c>
      <c r="L34" s="36">
        <f>IF(J34=0,"",IF(I34="nd",J34/2,J34))</f>
        <v>290</v>
      </c>
      <c r="M34" s="28">
        <f t="shared" si="4"/>
        <v>0</v>
      </c>
      <c r="O34">
        <v>130</v>
      </c>
      <c r="P34" s="36">
        <f t="shared" si="5"/>
        <v>0</v>
      </c>
      <c r="Q34" s="36">
        <f>IF(O34=0,"",IF(N34="nd",O34/2,O34))</f>
        <v>130</v>
      </c>
      <c r="R34" s="36">
        <f t="shared" si="6"/>
        <v>0</v>
      </c>
    </row>
    <row r="35" spans="1:18" ht="12.75">
      <c r="A35" s="23"/>
      <c r="B35" s="23" t="s">
        <v>43</v>
      </c>
      <c r="C35" s="25">
        <v>0.001</v>
      </c>
      <c r="E35">
        <v>19</v>
      </c>
      <c r="F35" s="36">
        <f t="shared" si="0"/>
        <v>0.019</v>
      </c>
      <c r="G35" s="36">
        <f t="shared" si="1"/>
        <v>19</v>
      </c>
      <c r="H35" s="36">
        <f t="shared" si="2"/>
        <v>0.019</v>
      </c>
      <c r="I35"/>
      <c r="J35">
        <v>26</v>
      </c>
      <c r="K35" s="28">
        <f t="shared" si="3"/>
        <v>0.026000000000000002</v>
      </c>
      <c r="L35" s="36">
        <f t="shared" si="7"/>
        <v>26</v>
      </c>
      <c r="M35" s="28">
        <f t="shared" si="4"/>
        <v>0.026000000000000002</v>
      </c>
      <c r="O35">
        <v>9.8</v>
      </c>
      <c r="P35" s="36">
        <f t="shared" si="5"/>
        <v>0.009800000000000001</v>
      </c>
      <c r="Q35" s="36">
        <f t="shared" si="8"/>
        <v>9.8</v>
      </c>
      <c r="R35" s="36">
        <f t="shared" si="6"/>
        <v>0.009800000000000001</v>
      </c>
    </row>
    <row r="36" spans="1:18" ht="12.75">
      <c r="A36" s="23"/>
      <c r="B36" s="23"/>
      <c r="C36" s="23"/>
      <c r="D36" s="23"/>
      <c r="E36" s="28"/>
      <c r="F36" s="31"/>
      <c r="G36" s="28"/>
      <c r="H36" s="31"/>
      <c r="I36" s="47"/>
      <c r="J36" s="9"/>
      <c r="K36" s="26"/>
      <c r="L36" s="26"/>
      <c r="M36" s="26"/>
      <c r="N36" s="28"/>
      <c r="O36" s="9"/>
      <c r="P36" s="30"/>
      <c r="Q36" s="28"/>
      <c r="R36" s="30"/>
    </row>
    <row r="37" spans="1:18" ht="12.75">
      <c r="A37" s="23"/>
      <c r="B37" s="23" t="s">
        <v>44</v>
      </c>
      <c r="C37" s="23"/>
      <c r="D37" s="23"/>
      <c r="F37">
        <v>114.175</v>
      </c>
      <c r="G37">
        <v>114.175</v>
      </c>
      <c r="H37">
        <v>114.175</v>
      </c>
      <c r="I37"/>
      <c r="K37">
        <v>116.978</v>
      </c>
      <c r="L37">
        <v>116.978</v>
      </c>
      <c r="M37">
        <v>116.978</v>
      </c>
      <c r="P37">
        <v>110.825</v>
      </c>
      <c r="Q37">
        <v>110.825</v>
      </c>
      <c r="R37">
        <v>110.825</v>
      </c>
    </row>
    <row r="38" spans="1:18" ht="12.75">
      <c r="A38" s="23"/>
      <c r="B38" s="23" t="s">
        <v>57</v>
      </c>
      <c r="C38" s="23"/>
      <c r="D38" s="23"/>
      <c r="F38">
        <v>6.7</v>
      </c>
      <c r="G38">
        <v>6.7</v>
      </c>
      <c r="H38">
        <v>6.7</v>
      </c>
      <c r="I38"/>
      <c r="K38">
        <v>6.5</v>
      </c>
      <c r="L38">
        <v>6.5</v>
      </c>
      <c r="M38">
        <v>6.5</v>
      </c>
      <c r="P38">
        <v>6.1</v>
      </c>
      <c r="Q38">
        <v>6.1</v>
      </c>
      <c r="R38">
        <v>6.1</v>
      </c>
    </row>
    <row r="39" spans="1:18" ht="12.75">
      <c r="A39" s="23"/>
      <c r="B39" s="23"/>
      <c r="C39" s="23"/>
      <c r="D39" s="23"/>
      <c r="E39" s="28"/>
      <c r="F39" s="9"/>
      <c r="G39" s="28"/>
      <c r="H39" s="9"/>
      <c r="I39" s="42"/>
      <c r="J39" s="28"/>
      <c r="K39" s="29"/>
      <c r="L39" s="26"/>
      <c r="M39" s="29"/>
      <c r="N39" s="28"/>
      <c r="O39" s="28"/>
      <c r="P39" s="28"/>
      <c r="Q39" s="28"/>
      <c r="R39" s="28"/>
    </row>
    <row r="40" spans="1:18" ht="12.75">
      <c r="A40" s="23"/>
      <c r="B40" s="23" t="s">
        <v>95</v>
      </c>
      <c r="C40" s="31"/>
      <c r="D40" s="31"/>
      <c r="E40" s="26"/>
      <c r="F40" s="27">
        <f>SUM(F11:F35)/1000</f>
        <v>0.755583</v>
      </c>
      <c r="G40" s="26">
        <f>SUM(G35,G34,G31,G26,G23,G21,G20,G18,G14,G12)/1000</f>
        <v>57.682</v>
      </c>
      <c r="H40" s="27">
        <f>SUM(H11:H35)/1000</f>
        <v>0.755583</v>
      </c>
      <c r="I40" s="33"/>
      <c r="J40" s="26"/>
      <c r="K40" s="27">
        <f>SUM(K11:K35)/1000</f>
        <v>0.45303400000000005</v>
      </c>
      <c r="L40" s="26">
        <f>SUM(L35,L34,L31,L26,L23,L21,L20,L18,L14,L12)/1000</f>
        <v>36.998</v>
      </c>
      <c r="M40" s="27">
        <f>SUM(M11:M35)/1000</f>
        <v>0.45303400000000005</v>
      </c>
      <c r="N40" s="31"/>
      <c r="O40" s="28"/>
      <c r="P40" s="28">
        <f>SUM(P11:P35)/1000</f>
        <v>0.3773367999999999</v>
      </c>
      <c r="Q40" s="26">
        <f>SUM(Q35,Q34,Q31,Q26,Q23,Q21,Q20,Q18,Q14,Q12)/1000</f>
        <v>35.1738</v>
      </c>
      <c r="R40" s="28">
        <f>SUM(R11:R35)/1000</f>
        <v>0.3773367999999999</v>
      </c>
    </row>
    <row r="41" spans="1:18" ht="12.75">
      <c r="A41" s="23"/>
      <c r="B41" s="23" t="s">
        <v>45</v>
      </c>
      <c r="C41" s="31"/>
      <c r="D41" s="26">
        <f>(F41-H41)*2/F41*100</f>
        <v>0</v>
      </c>
      <c r="E41" s="28"/>
      <c r="F41" s="27">
        <f>(F40/F37/0.0283*(21-7)/(21-F38))</f>
        <v>0.2289373863943619</v>
      </c>
      <c r="G41" s="27">
        <f>(G40/G37/0.0283*(21-7)/(21-G38))</f>
        <v>17.477320588207494</v>
      </c>
      <c r="H41" s="27">
        <f>(H40/H37/0.0283*(21-7)/(21-H38))</f>
        <v>0.2289373863943619</v>
      </c>
      <c r="I41" s="26">
        <f>(K41-M41)*2/K41*100</f>
        <v>0</v>
      </c>
      <c r="J41" s="28"/>
      <c r="K41" s="28">
        <f>K40/K37/0.0283*(21-7)/(21-K38)</f>
        <v>0.13212962515044946</v>
      </c>
      <c r="L41" s="28">
        <f>(L40/L37/0.0283*(21-7)/(21-L38))</f>
        <v>10.790651190233689</v>
      </c>
      <c r="M41" s="28">
        <f>M40/M37/0.0283*(21-7)/(21-M38)</f>
        <v>0.13212962515044946</v>
      </c>
      <c r="N41" s="26">
        <f>(P41-R41)*2/P41*100</f>
        <v>0</v>
      </c>
      <c r="O41" s="28"/>
      <c r="P41" s="28">
        <f>P40/P37/0.0283*(21-7)/(21-P38)</f>
        <v>0.11304380152240845</v>
      </c>
      <c r="Q41" s="28">
        <f>(Q40/Q37/0.0283*(21-7)/(21-Q38))</f>
        <v>10.537482869385896</v>
      </c>
      <c r="R41" s="28">
        <f>R40/R37/0.0283*(21-7)/(21-R38)</f>
        <v>0.11304380152240845</v>
      </c>
    </row>
    <row r="42" spans="1:18" ht="12.75">
      <c r="A42" s="23"/>
      <c r="B42" s="23"/>
      <c r="C42" s="23"/>
      <c r="D42" s="23"/>
      <c r="E42" s="27"/>
      <c r="F42" s="31"/>
      <c r="G42" s="27"/>
      <c r="H42" s="31"/>
      <c r="I42" s="48"/>
      <c r="J42" s="27"/>
      <c r="K42" s="27"/>
      <c r="L42" s="27"/>
      <c r="M42" s="27"/>
      <c r="N42" s="27"/>
      <c r="O42" s="27"/>
      <c r="P42" s="30"/>
      <c r="Q42" s="27"/>
      <c r="R42" s="30"/>
    </row>
    <row r="43" spans="1:18" ht="12.75">
      <c r="A43" s="28"/>
      <c r="B43" s="23" t="s">
        <v>58</v>
      </c>
      <c r="C43" s="31">
        <f>AVERAGE(H41,M41,R41)</f>
        <v>0.15803693768907326</v>
      </c>
      <c r="D43" s="28"/>
      <c r="E43" s="28"/>
      <c r="F43" s="31"/>
      <c r="G43" s="28"/>
      <c r="H43" s="31"/>
      <c r="I43" s="47"/>
      <c r="J43" s="28"/>
      <c r="K43" s="28"/>
      <c r="L43" s="28"/>
      <c r="M43" s="28"/>
      <c r="N43" s="28"/>
      <c r="O43" s="28"/>
      <c r="P43" s="30"/>
      <c r="Q43" s="28"/>
      <c r="R43" s="30"/>
    </row>
    <row r="44" spans="1:18" ht="12.75">
      <c r="A44" s="23"/>
      <c r="B44" s="23" t="s">
        <v>59</v>
      </c>
      <c r="C44" s="31">
        <f>AVERAGE(G41,L41,Q41)</f>
        <v>12.935151549275693</v>
      </c>
      <c r="D44" s="23"/>
      <c r="E44" s="30"/>
      <c r="F44" s="31"/>
      <c r="G44" s="30"/>
      <c r="H44" s="31"/>
      <c r="I44" s="34"/>
      <c r="J44" s="30"/>
      <c r="K44" s="30"/>
      <c r="L44" s="30"/>
      <c r="M44" s="30"/>
      <c r="N44" s="30"/>
      <c r="O44" s="30"/>
      <c r="P44" s="30"/>
      <c r="Q44" s="30"/>
      <c r="R44" s="30"/>
    </row>
    <row r="46" ht="12.75">
      <c r="I46"/>
    </row>
    <row r="47" spans="3:9" ht="12.75">
      <c r="C47" s="31"/>
      <c r="I47"/>
    </row>
    <row r="48" ht="12.75">
      <c r="I48"/>
    </row>
    <row r="49" ht="12.75">
      <c r="I49"/>
    </row>
    <row r="50" ht="12.75">
      <c r="I50"/>
    </row>
    <row r="51" ht="12.75">
      <c r="I51"/>
    </row>
    <row r="52" ht="12.75">
      <c r="I52"/>
    </row>
    <row r="53" ht="12.75">
      <c r="I53"/>
    </row>
    <row r="54" ht="12.75">
      <c r="I54"/>
    </row>
    <row r="55" ht="12.75">
      <c r="I55"/>
    </row>
    <row r="56" ht="12.75">
      <c r="I56"/>
    </row>
    <row r="57" ht="12.75">
      <c r="I57"/>
    </row>
    <row r="58" ht="12.75">
      <c r="I58"/>
    </row>
    <row r="59" ht="12.75">
      <c r="I59"/>
    </row>
    <row r="60" ht="12.75">
      <c r="I60"/>
    </row>
    <row r="61" ht="12.75">
      <c r="I61"/>
    </row>
    <row r="62" ht="12.75">
      <c r="I62"/>
    </row>
    <row r="63" ht="12.75">
      <c r="I63"/>
    </row>
    <row r="64" ht="12.75">
      <c r="I64"/>
    </row>
    <row r="65" ht="12.75">
      <c r="I65"/>
    </row>
    <row r="66" ht="12.75">
      <c r="I66"/>
    </row>
    <row r="67" ht="12.75">
      <c r="I67"/>
    </row>
    <row r="68" ht="12.75">
      <c r="I68"/>
    </row>
    <row r="69" ht="12.75">
      <c r="I69"/>
    </row>
    <row r="70" ht="12.75">
      <c r="I70"/>
    </row>
    <row r="71" ht="12.75">
      <c r="I71"/>
    </row>
    <row r="72" ht="12.75">
      <c r="I72"/>
    </row>
    <row r="73" ht="12.75">
      <c r="I73"/>
    </row>
    <row r="74" ht="12.75">
      <c r="I74"/>
    </row>
    <row r="75" ht="12.75">
      <c r="I75"/>
    </row>
    <row r="76" ht="12.75">
      <c r="I76"/>
    </row>
    <row r="77" ht="12.75">
      <c r="I77"/>
    </row>
    <row r="78" ht="12.75">
      <c r="I78"/>
    </row>
    <row r="79" ht="12.75">
      <c r="I79"/>
    </row>
    <row r="80" ht="12.75">
      <c r="I80"/>
    </row>
    <row r="81" ht="12.75">
      <c r="I81"/>
    </row>
    <row r="82" ht="12.75">
      <c r="I82"/>
    </row>
    <row r="83" ht="12.75">
      <c r="I83"/>
    </row>
    <row r="84" ht="12.75">
      <c r="I84"/>
    </row>
    <row r="85" ht="12.75">
      <c r="I85"/>
    </row>
    <row r="86" ht="12.75">
      <c r="I86"/>
    </row>
    <row r="87" ht="12.75">
      <c r="I87"/>
    </row>
    <row r="88" ht="12.75">
      <c r="I88"/>
    </row>
    <row r="89" ht="12.75">
      <c r="I89"/>
    </row>
    <row r="90" ht="12.75">
      <c r="I90"/>
    </row>
    <row r="91" ht="12.75">
      <c r="I91"/>
    </row>
    <row r="92" ht="12.75">
      <c r="I92"/>
    </row>
    <row r="93" ht="12.75">
      <c r="I93"/>
    </row>
    <row r="94" ht="12.75">
      <c r="I94"/>
    </row>
    <row r="95" ht="12.75">
      <c r="I95"/>
    </row>
    <row r="96" ht="12.75">
      <c r="I96"/>
    </row>
    <row r="97" ht="12.75">
      <c r="I97"/>
    </row>
    <row r="98" ht="12.75">
      <c r="I98"/>
    </row>
    <row r="99" ht="12.75">
      <c r="I99"/>
    </row>
    <row r="100" ht="12.75">
      <c r="I100"/>
    </row>
    <row r="101" ht="12.75">
      <c r="I101"/>
    </row>
    <row r="102" ht="12.75">
      <c r="I102"/>
    </row>
    <row r="103" ht="12.75">
      <c r="I103"/>
    </row>
    <row r="104" ht="12.75">
      <c r="I104"/>
    </row>
    <row r="105" ht="12.75">
      <c r="I105"/>
    </row>
    <row r="106" ht="12.75">
      <c r="I106"/>
    </row>
    <row r="107" ht="12.75">
      <c r="I107"/>
    </row>
    <row r="108" ht="12.75">
      <c r="I108"/>
    </row>
    <row r="109" ht="12.75">
      <c r="I109"/>
    </row>
    <row r="110" ht="12.75">
      <c r="I110"/>
    </row>
    <row r="111" ht="12.75">
      <c r="I111"/>
    </row>
    <row r="112" ht="12.75">
      <c r="I112"/>
    </row>
    <row r="113" ht="12.75">
      <c r="I113"/>
    </row>
    <row r="114" ht="12.75">
      <c r="I114"/>
    </row>
    <row r="115" ht="12.75">
      <c r="I115"/>
    </row>
    <row r="116" ht="12.75">
      <c r="I116"/>
    </row>
    <row r="117" ht="12.75">
      <c r="I117"/>
    </row>
    <row r="118" ht="12.75">
      <c r="I118"/>
    </row>
    <row r="119" ht="12.75">
      <c r="I119"/>
    </row>
    <row r="120" ht="12.75">
      <c r="I120"/>
    </row>
    <row r="121" ht="12.75">
      <c r="I121"/>
    </row>
    <row r="122" ht="12.75">
      <c r="I122"/>
    </row>
    <row r="123" ht="12.75">
      <c r="I123"/>
    </row>
    <row r="124" ht="12.75">
      <c r="I124"/>
    </row>
    <row r="125" ht="12.75">
      <c r="I125"/>
    </row>
    <row r="126" ht="12.75">
      <c r="I126"/>
    </row>
    <row r="127" ht="12.75">
      <c r="I127"/>
    </row>
    <row r="128" ht="12.75">
      <c r="I128"/>
    </row>
    <row r="129" ht="12.75">
      <c r="I129"/>
    </row>
    <row r="130" spans="1:18" ht="12.75">
      <c r="A130" s="23"/>
      <c r="B130" s="23"/>
      <c r="C130" s="23"/>
      <c r="D130" s="23"/>
      <c r="E130" s="27"/>
      <c r="F130" s="31"/>
      <c r="G130" s="27"/>
      <c r="H130" s="31"/>
      <c r="I130" s="48"/>
      <c r="J130" s="27"/>
      <c r="K130" s="27"/>
      <c r="L130" s="27"/>
      <c r="M130" s="27"/>
      <c r="N130" s="27"/>
      <c r="O130" s="27"/>
      <c r="P130" s="30"/>
      <c r="Q130" s="27"/>
      <c r="R130" s="30"/>
    </row>
    <row r="131" spans="1:18" ht="12.75">
      <c r="A131" s="28"/>
      <c r="B131" s="23"/>
      <c r="C131" s="31"/>
      <c r="D131" s="28"/>
      <c r="E131" s="28"/>
      <c r="F131" s="31"/>
      <c r="G131" s="28"/>
      <c r="H131" s="31"/>
      <c r="I131" s="47"/>
      <c r="J131" s="28"/>
      <c r="K131" s="28"/>
      <c r="L131" s="28"/>
      <c r="M131" s="28"/>
      <c r="N131" s="28"/>
      <c r="O131" s="28"/>
      <c r="P131" s="30"/>
      <c r="Q131" s="28"/>
      <c r="R131" s="30"/>
    </row>
    <row r="132" spans="1:18" ht="12.75">
      <c r="A132" s="23"/>
      <c r="B132" s="23"/>
      <c r="C132" s="31"/>
      <c r="D132" s="23"/>
      <c r="E132" s="30"/>
      <c r="F132" s="31"/>
      <c r="G132" s="30"/>
      <c r="H132" s="31"/>
      <c r="I132" s="34"/>
      <c r="J132" s="30"/>
      <c r="K132" s="30"/>
      <c r="L132" s="30"/>
      <c r="M132" s="30"/>
      <c r="N132" s="30"/>
      <c r="O132" s="30"/>
      <c r="P132" s="30"/>
      <c r="Q132" s="30"/>
      <c r="R132" s="30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152"/>
  <sheetViews>
    <sheetView workbookViewId="0" topLeftCell="A31">
      <selection activeCell="B35" sqref="B35"/>
    </sheetView>
  </sheetViews>
  <sheetFormatPr defaultColWidth="9.140625" defaultRowHeight="12.75"/>
  <cols>
    <col min="1" max="1" width="1.7109375" style="0" customWidth="1"/>
    <col min="2" max="2" width="20.00390625" style="0" customWidth="1"/>
    <col min="3" max="3" width="9.28125" style="0" customWidth="1"/>
    <col min="4" max="4" width="4.57421875" style="0" customWidth="1"/>
    <col min="5" max="5" width="9.421875" style="0" customWidth="1"/>
    <col min="6" max="6" width="9.8515625" style="0" customWidth="1"/>
    <col min="8" max="8" width="9.8515625" style="0" customWidth="1"/>
    <col min="9" max="9" width="3.421875" style="46" customWidth="1"/>
    <col min="11" max="11" width="9.28125" style="0" customWidth="1"/>
    <col min="13" max="13" width="9.28125" style="0" customWidth="1"/>
    <col min="14" max="14" width="4.7109375" style="0" customWidth="1"/>
    <col min="16" max="16" width="9.00390625" style="0" customWidth="1"/>
    <col min="18" max="18" width="9.00390625" style="0" customWidth="1"/>
    <col min="19" max="19" width="2.8515625" style="0" customWidth="1"/>
    <col min="22" max="22" width="9.00390625" style="0" customWidth="1"/>
  </cols>
  <sheetData>
    <row r="1" spans="1:18" ht="12.75">
      <c r="A1" s="37" t="s">
        <v>67</v>
      </c>
      <c r="B1" s="23"/>
      <c r="C1" s="23"/>
      <c r="D1" s="23"/>
      <c r="E1" s="30"/>
      <c r="F1" s="31"/>
      <c r="G1" s="30"/>
      <c r="H1" s="31"/>
      <c r="I1" s="34"/>
      <c r="J1" s="30"/>
      <c r="K1" s="30"/>
      <c r="L1" s="30"/>
      <c r="M1" s="30"/>
      <c r="N1" s="30"/>
      <c r="O1" s="30"/>
      <c r="P1" s="30"/>
      <c r="Q1" s="30"/>
      <c r="R1" s="30"/>
    </row>
    <row r="2" spans="1:18" ht="12.75">
      <c r="A2" s="23" t="s">
        <v>400</v>
      </c>
      <c r="B2" s="23"/>
      <c r="C2" s="23"/>
      <c r="D2" s="23"/>
      <c r="E2" s="30"/>
      <c r="F2" s="31"/>
      <c r="G2" s="30"/>
      <c r="H2" s="31"/>
      <c r="I2" s="34"/>
      <c r="J2" s="30"/>
      <c r="K2" s="30"/>
      <c r="L2" s="30"/>
      <c r="M2" s="30"/>
      <c r="N2" s="30"/>
      <c r="O2" s="30"/>
      <c r="P2" s="30"/>
      <c r="Q2" s="30"/>
      <c r="R2" s="30"/>
    </row>
    <row r="3" spans="1:18" ht="12.75">
      <c r="A3" s="23" t="s">
        <v>19</v>
      </c>
      <c r="B3" s="23"/>
      <c r="C3" s="6" t="s">
        <v>391</v>
      </c>
      <c r="D3" s="6"/>
      <c r="E3" s="30"/>
      <c r="F3" s="31"/>
      <c r="G3" s="30"/>
      <c r="H3" s="31"/>
      <c r="I3" s="34"/>
      <c r="J3" s="30"/>
      <c r="K3" s="30"/>
      <c r="L3" s="30"/>
      <c r="M3" s="30"/>
      <c r="N3" s="30"/>
      <c r="O3" s="30"/>
      <c r="P3" s="30"/>
      <c r="Q3" s="30"/>
      <c r="R3" s="30"/>
    </row>
    <row r="4" spans="1:18" ht="12.75">
      <c r="A4" s="23" t="s">
        <v>20</v>
      </c>
      <c r="B4" s="23"/>
      <c r="C4" s="6" t="s">
        <v>173</v>
      </c>
      <c r="D4" s="6"/>
      <c r="E4" s="32"/>
      <c r="F4" s="33"/>
      <c r="G4" s="32"/>
      <c r="H4" s="33"/>
      <c r="I4" s="34"/>
      <c r="J4" s="32"/>
      <c r="K4" s="32"/>
      <c r="L4" s="32"/>
      <c r="M4" s="32"/>
      <c r="N4" s="32"/>
      <c r="O4" s="32"/>
      <c r="P4" s="32"/>
      <c r="Q4" s="32"/>
      <c r="R4" s="32"/>
    </row>
    <row r="5" spans="1:18" ht="12.75">
      <c r="A5" s="23" t="s">
        <v>21</v>
      </c>
      <c r="B5" s="23"/>
      <c r="C5" s="9" t="str">
        <f>cond!C10</f>
        <v>RCRA / TSCA Biannual Trial burn, normal metal feeds</v>
      </c>
      <c r="D5" s="9"/>
      <c r="E5" s="9"/>
      <c r="F5" s="74">
        <v>35977</v>
      </c>
      <c r="G5" s="9"/>
      <c r="H5" s="74">
        <v>35977</v>
      </c>
      <c r="I5" s="42"/>
      <c r="J5" s="9"/>
      <c r="K5" s="30"/>
      <c r="L5" s="9"/>
      <c r="M5" s="30"/>
      <c r="N5" s="30"/>
      <c r="O5" s="30"/>
      <c r="P5" s="30"/>
      <c r="Q5" s="30"/>
      <c r="R5" s="30"/>
    </row>
    <row r="6" spans="1:18" ht="12.75">
      <c r="A6" s="23"/>
      <c r="B6" s="23"/>
      <c r="C6" s="25"/>
      <c r="D6" s="25"/>
      <c r="E6" s="34"/>
      <c r="F6" s="31"/>
      <c r="G6" s="34"/>
      <c r="H6" s="31"/>
      <c r="I6" s="34"/>
      <c r="J6" s="34"/>
      <c r="K6" s="30"/>
      <c r="L6" s="34"/>
      <c r="M6" s="30"/>
      <c r="N6" s="30"/>
      <c r="O6" s="34"/>
      <c r="P6" s="30"/>
      <c r="Q6" s="34"/>
      <c r="R6" s="30"/>
    </row>
    <row r="7" spans="1:18" s="76" customFormat="1" ht="12.75">
      <c r="A7" s="23"/>
      <c r="B7" s="23"/>
      <c r="C7" s="25" t="s">
        <v>22</v>
      </c>
      <c r="D7" s="25"/>
      <c r="E7" s="35" t="s">
        <v>161</v>
      </c>
      <c r="F7" s="35"/>
      <c r="G7" s="35"/>
      <c r="H7" s="35"/>
      <c r="I7" s="8"/>
      <c r="J7" s="35" t="s">
        <v>120</v>
      </c>
      <c r="K7" s="35"/>
      <c r="L7" s="35"/>
      <c r="M7" s="35"/>
      <c r="N7" s="8"/>
      <c r="O7" s="35" t="s">
        <v>162</v>
      </c>
      <c r="P7" s="35"/>
      <c r="Q7" s="35"/>
      <c r="R7" s="35"/>
    </row>
    <row r="8" spans="1:18" s="76" customFormat="1" ht="12.75">
      <c r="A8" s="23"/>
      <c r="B8" s="23"/>
      <c r="C8" s="25" t="s">
        <v>23</v>
      </c>
      <c r="D8" s="23"/>
      <c r="E8" s="34" t="s">
        <v>24</v>
      </c>
      <c r="F8" s="33" t="s">
        <v>25</v>
      </c>
      <c r="G8" s="34" t="s">
        <v>24</v>
      </c>
      <c r="H8" s="33" t="s">
        <v>25</v>
      </c>
      <c r="I8" s="34"/>
      <c r="J8" s="34" t="s">
        <v>24</v>
      </c>
      <c r="K8" s="34" t="s">
        <v>26</v>
      </c>
      <c r="L8" s="34" t="s">
        <v>24</v>
      </c>
      <c r="M8" s="34" t="s">
        <v>26</v>
      </c>
      <c r="N8" s="30"/>
      <c r="O8" s="34" t="s">
        <v>24</v>
      </c>
      <c r="P8" s="34" t="s">
        <v>26</v>
      </c>
      <c r="Q8" s="34" t="s">
        <v>24</v>
      </c>
      <c r="R8" s="34" t="s">
        <v>26</v>
      </c>
    </row>
    <row r="9" spans="1:18" s="76" customFormat="1" ht="12.75">
      <c r="A9" s="23"/>
      <c r="B9" s="23"/>
      <c r="C9" s="25"/>
      <c r="D9" s="23"/>
      <c r="E9" s="34" t="s">
        <v>235</v>
      </c>
      <c r="F9" s="34" t="s">
        <v>235</v>
      </c>
      <c r="G9" s="34" t="s">
        <v>66</v>
      </c>
      <c r="H9" s="33" t="s">
        <v>66</v>
      </c>
      <c r="I9" s="34"/>
      <c r="J9" s="34" t="s">
        <v>235</v>
      </c>
      <c r="K9" s="34" t="s">
        <v>235</v>
      </c>
      <c r="L9" s="34" t="s">
        <v>66</v>
      </c>
      <c r="M9" s="33" t="s">
        <v>66</v>
      </c>
      <c r="N9" s="30"/>
      <c r="O9" s="34" t="s">
        <v>235</v>
      </c>
      <c r="P9" s="34" t="s">
        <v>235</v>
      </c>
      <c r="Q9" s="34" t="s">
        <v>66</v>
      </c>
      <c r="R9" s="33" t="s">
        <v>66</v>
      </c>
    </row>
    <row r="10" spans="1:18" ht="12.75">
      <c r="A10" s="23" t="s">
        <v>98</v>
      </c>
      <c r="B10" s="23"/>
      <c r="C10" s="23"/>
      <c r="D10" s="23"/>
      <c r="E10" s="30"/>
      <c r="F10" s="31"/>
      <c r="G10" s="30"/>
      <c r="H10" s="31"/>
      <c r="I10" s="34"/>
      <c r="J10" s="30"/>
      <c r="K10" s="30"/>
      <c r="L10" s="30"/>
      <c r="M10" s="30"/>
      <c r="N10" s="30"/>
      <c r="O10" s="26"/>
      <c r="P10" s="30"/>
      <c r="Q10" s="30"/>
      <c r="R10" s="30"/>
    </row>
    <row r="11" spans="1:18" ht="12.75">
      <c r="A11" s="23"/>
      <c r="B11" s="23" t="s">
        <v>27</v>
      </c>
      <c r="C11" s="25">
        <v>1</v>
      </c>
      <c r="E11">
        <v>10</v>
      </c>
      <c r="F11" s="28">
        <f aca="true" t="shared" si="0" ref="F11:F35">IF(E11="","",E11*$C11)</f>
        <v>10</v>
      </c>
      <c r="G11" s="28">
        <f aca="true" t="shared" si="1" ref="G11:G35">IF(E11=0,"",IF(D11="nd",E11/2,E11))</f>
        <v>10</v>
      </c>
      <c r="H11" s="28">
        <f aca="true" t="shared" si="2" ref="H11:H35">IF(G11="","",G11*$C11)</f>
        <v>10</v>
      </c>
      <c r="I11"/>
      <c r="J11">
        <v>12</v>
      </c>
      <c r="K11" s="28">
        <f aca="true" t="shared" si="3" ref="K11:K35">IF(J11="","",J11*$C11)</f>
        <v>12</v>
      </c>
      <c r="L11" s="28">
        <f>IF(J11=0,"",IF(I11="nd",J11/2,J11))</f>
        <v>12</v>
      </c>
      <c r="M11" s="28">
        <f aca="true" t="shared" si="4" ref="M11:M35">IF(L11="","",L11*$C11)</f>
        <v>12</v>
      </c>
      <c r="O11">
        <v>9.6</v>
      </c>
      <c r="P11" s="36">
        <f aca="true" t="shared" si="5" ref="P11:P35">IF(O11="","",O11*$C11)</f>
        <v>9.6</v>
      </c>
      <c r="Q11" s="36">
        <f>IF(O11=0,"",IF(N11="nd",O11/2,O11))</f>
        <v>9.6</v>
      </c>
      <c r="R11" s="36">
        <f aca="true" t="shared" si="6" ref="R11:R35">IF(Q11="","",Q11*$C11)</f>
        <v>9.6</v>
      </c>
    </row>
    <row r="12" spans="1:18" ht="12.75">
      <c r="A12" s="23"/>
      <c r="B12" s="23" t="s">
        <v>87</v>
      </c>
      <c r="C12" s="25">
        <v>0</v>
      </c>
      <c r="E12">
        <v>520</v>
      </c>
      <c r="F12" s="36">
        <f t="shared" si="0"/>
        <v>0</v>
      </c>
      <c r="G12" s="36">
        <f>IF(E12=0,"",IF(D12="nd",E12/2,E12))</f>
        <v>520</v>
      </c>
      <c r="H12" s="36">
        <f t="shared" si="2"/>
        <v>0</v>
      </c>
      <c r="I12"/>
      <c r="J12">
        <v>610</v>
      </c>
      <c r="K12" s="28">
        <f t="shared" si="3"/>
        <v>0</v>
      </c>
      <c r="L12" s="36">
        <f>IF(J12=0,"",IF(I12="nd",J12/2,J12))</f>
        <v>610</v>
      </c>
      <c r="M12" s="28">
        <f t="shared" si="4"/>
        <v>0</v>
      </c>
      <c r="O12">
        <v>470</v>
      </c>
      <c r="P12" s="36">
        <f t="shared" si="5"/>
        <v>0</v>
      </c>
      <c r="Q12" s="36">
        <f>IF(O12=0,"",IF(N12="nd",O12/2,O12))</f>
        <v>470</v>
      </c>
      <c r="R12" s="36">
        <f t="shared" si="6"/>
        <v>0</v>
      </c>
    </row>
    <row r="13" spans="1:18" ht="12.75">
      <c r="A13" s="23"/>
      <c r="B13" s="23" t="s">
        <v>28</v>
      </c>
      <c r="C13" s="25">
        <v>0.5</v>
      </c>
      <c r="D13" t="s">
        <v>97</v>
      </c>
      <c r="E13">
        <v>6.8</v>
      </c>
      <c r="F13" s="28">
        <f t="shared" si="0"/>
        <v>3.4</v>
      </c>
      <c r="G13" s="28">
        <f t="shared" si="1"/>
        <v>3.4</v>
      </c>
      <c r="H13" s="28">
        <f t="shared" si="2"/>
        <v>1.7</v>
      </c>
      <c r="I13" t="s">
        <v>97</v>
      </c>
      <c r="J13">
        <v>7</v>
      </c>
      <c r="K13" s="28">
        <f t="shared" si="3"/>
        <v>3.5</v>
      </c>
      <c r="L13" s="28">
        <f aca="true" t="shared" si="7" ref="L13:L35">IF(J13=0,"",IF(I13="nd",J13/2,J13))</f>
        <v>3.5</v>
      </c>
      <c r="M13" s="28">
        <f t="shared" si="4"/>
        <v>1.75</v>
      </c>
      <c r="N13" t="s">
        <v>97</v>
      </c>
      <c r="O13">
        <v>7.2</v>
      </c>
      <c r="P13" s="36">
        <f t="shared" si="5"/>
        <v>3.6</v>
      </c>
      <c r="Q13" s="36">
        <f aca="true" t="shared" si="8" ref="Q13:Q35">IF(O13=0,"",IF(N13="nd",O13/2,O13))</f>
        <v>3.6</v>
      </c>
      <c r="R13" s="36">
        <f t="shared" si="6"/>
        <v>1.8</v>
      </c>
    </row>
    <row r="14" spans="1:18" ht="12.75">
      <c r="A14" s="23"/>
      <c r="B14" s="23" t="s">
        <v>88</v>
      </c>
      <c r="C14" s="25">
        <v>0</v>
      </c>
      <c r="E14">
        <v>180</v>
      </c>
      <c r="F14" s="36">
        <f t="shared" si="0"/>
        <v>0</v>
      </c>
      <c r="G14" s="36">
        <f>IF(E14=0,"",IF(D14="nd",E14/2,E14))</f>
        <v>180</v>
      </c>
      <c r="H14" s="36">
        <f t="shared" si="2"/>
        <v>0</v>
      </c>
      <c r="I14"/>
      <c r="J14">
        <v>290</v>
      </c>
      <c r="K14" s="28">
        <f t="shared" si="3"/>
        <v>0</v>
      </c>
      <c r="L14" s="36">
        <f>IF(J14=0,"",IF(I14="nd",J14/2,J14))</f>
        <v>290</v>
      </c>
      <c r="M14" s="28">
        <f t="shared" si="4"/>
        <v>0</v>
      </c>
      <c r="O14">
        <v>180</v>
      </c>
      <c r="P14" s="36">
        <f t="shared" si="5"/>
        <v>0</v>
      </c>
      <c r="Q14" s="36">
        <f>IF(O14=0,"",IF(N14="nd",O14/2,O14))</f>
        <v>180</v>
      </c>
      <c r="R14" s="36">
        <f t="shared" si="6"/>
        <v>0</v>
      </c>
    </row>
    <row r="15" spans="1:18" ht="12.75">
      <c r="A15" s="23"/>
      <c r="B15" s="23" t="s">
        <v>29</v>
      </c>
      <c r="C15" s="25">
        <v>0.1</v>
      </c>
      <c r="D15" t="s">
        <v>97</v>
      </c>
      <c r="E15">
        <v>5.9</v>
      </c>
      <c r="F15" s="28">
        <f t="shared" si="0"/>
        <v>0.5900000000000001</v>
      </c>
      <c r="G15" s="28">
        <f t="shared" si="1"/>
        <v>2.95</v>
      </c>
      <c r="H15" s="28">
        <f t="shared" si="2"/>
        <v>0.29500000000000004</v>
      </c>
      <c r="I15" t="s">
        <v>97</v>
      </c>
      <c r="J15">
        <v>5.2</v>
      </c>
      <c r="K15" s="28">
        <f t="shared" si="3"/>
        <v>0.52</v>
      </c>
      <c r="L15" s="28">
        <f t="shared" si="7"/>
        <v>2.6</v>
      </c>
      <c r="M15" s="28">
        <f t="shared" si="4"/>
        <v>0.26</v>
      </c>
      <c r="N15" t="s">
        <v>97</v>
      </c>
      <c r="O15">
        <v>4.9</v>
      </c>
      <c r="P15" s="36">
        <f t="shared" si="5"/>
        <v>0.49000000000000005</v>
      </c>
      <c r="Q15" s="36">
        <f t="shared" si="8"/>
        <v>2.45</v>
      </c>
      <c r="R15" s="36">
        <f t="shared" si="6"/>
        <v>0.24500000000000002</v>
      </c>
    </row>
    <row r="16" spans="1:18" ht="12.75">
      <c r="A16" s="23"/>
      <c r="B16" s="23" t="s">
        <v>30</v>
      </c>
      <c r="C16" s="25">
        <v>0.1</v>
      </c>
      <c r="D16" t="s">
        <v>97</v>
      </c>
      <c r="E16">
        <v>4.3</v>
      </c>
      <c r="F16" s="28">
        <f t="shared" si="0"/>
        <v>0.43</v>
      </c>
      <c r="G16" s="28">
        <f t="shared" si="1"/>
        <v>2.15</v>
      </c>
      <c r="H16" s="28">
        <f t="shared" si="2"/>
        <v>0.215</v>
      </c>
      <c r="I16" t="s">
        <v>97</v>
      </c>
      <c r="J16">
        <v>6.8</v>
      </c>
      <c r="K16" s="28">
        <f t="shared" si="3"/>
        <v>0.68</v>
      </c>
      <c r="L16" s="28">
        <f t="shared" si="7"/>
        <v>3.4</v>
      </c>
      <c r="M16" s="28">
        <f t="shared" si="4"/>
        <v>0.34</v>
      </c>
      <c r="N16" t="s">
        <v>97</v>
      </c>
      <c r="O16">
        <v>3.5</v>
      </c>
      <c r="P16" s="36">
        <f t="shared" si="5"/>
        <v>0.35000000000000003</v>
      </c>
      <c r="Q16" s="36">
        <f t="shared" si="8"/>
        <v>1.75</v>
      </c>
      <c r="R16" s="36">
        <f t="shared" si="6"/>
        <v>0.17500000000000002</v>
      </c>
    </row>
    <row r="17" spans="1:18" ht="12.75">
      <c r="A17" s="23"/>
      <c r="B17" s="23" t="s">
        <v>31</v>
      </c>
      <c r="C17" s="25">
        <v>0.1</v>
      </c>
      <c r="D17" t="s">
        <v>97</v>
      </c>
      <c r="E17">
        <v>4.5</v>
      </c>
      <c r="F17" s="28">
        <f t="shared" si="0"/>
        <v>0.45</v>
      </c>
      <c r="G17" s="28">
        <f t="shared" si="1"/>
        <v>2.25</v>
      </c>
      <c r="H17" s="28">
        <f t="shared" si="2"/>
        <v>0.225</v>
      </c>
      <c r="I17" t="s">
        <v>97</v>
      </c>
      <c r="J17">
        <v>4.9</v>
      </c>
      <c r="K17" s="28">
        <f t="shared" si="3"/>
        <v>0.49000000000000005</v>
      </c>
      <c r="L17" s="28">
        <f t="shared" si="7"/>
        <v>2.45</v>
      </c>
      <c r="M17" s="28">
        <f t="shared" si="4"/>
        <v>0.24500000000000002</v>
      </c>
      <c r="N17" t="s">
        <v>97</v>
      </c>
      <c r="O17">
        <v>3.7</v>
      </c>
      <c r="P17" s="36">
        <f t="shared" si="5"/>
        <v>0.37000000000000005</v>
      </c>
      <c r="Q17" s="36">
        <f t="shared" si="8"/>
        <v>1.85</v>
      </c>
      <c r="R17" s="36">
        <f t="shared" si="6"/>
        <v>0.18500000000000003</v>
      </c>
    </row>
    <row r="18" spans="1:18" ht="12.75">
      <c r="A18" s="23"/>
      <c r="B18" s="23" t="s">
        <v>89</v>
      </c>
      <c r="C18" s="25">
        <v>0</v>
      </c>
      <c r="E18">
        <v>69</v>
      </c>
      <c r="F18" s="36">
        <f t="shared" si="0"/>
        <v>0</v>
      </c>
      <c r="G18" s="36">
        <f>IF(E18=0,"",IF(D18="nd",E18/2,E18))</f>
        <v>69</v>
      </c>
      <c r="H18" s="36">
        <f t="shared" si="2"/>
        <v>0</v>
      </c>
      <c r="I18"/>
      <c r="J18">
        <v>130</v>
      </c>
      <c r="K18" s="28">
        <f t="shared" si="3"/>
        <v>0</v>
      </c>
      <c r="L18" s="36">
        <f>IF(J18=0,"",IF(I18="nd",J18/2,J18))</f>
        <v>130</v>
      </c>
      <c r="M18" s="28">
        <f t="shared" si="4"/>
        <v>0</v>
      </c>
      <c r="O18">
        <v>60</v>
      </c>
      <c r="P18" s="36">
        <f t="shared" si="5"/>
        <v>0</v>
      </c>
      <c r="Q18" s="36">
        <f>IF(O18=0,"",IF(N18="nd",O18/2,O18))</f>
        <v>60</v>
      </c>
      <c r="R18" s="36">
        <f t="shared" si="6"/>
        <v>0</v>
      </c>
    </row>
    <row r="19" spans="1:18" ht="12.75">
      <c r="A19" s="23"/>
      <c r="B19" s="23" t="s">
        <v>32</v>
      </c>
      <c r="C19" s="25">
        <v>0.01</v>
      </c>
      <c r="E19">
        <v>6.2</v>
      </c>
      <c r="F19" s="28">
        <f t="shared" si="0"/>
        <v>0.062000000000000006</v>
      </c>
      <c r="G19" s="28">
        <f t="shared" si="1"/>
        <v>6.2</v>
      </c>
      <c r="H19" s="28">
        <f t="shared" si="2"/>
        <v>0.062000000000000006</v>
      </c>
      <c r="I19"/>
      <c r="J19">
        <v>9.8</v>
      </c>
      <c r="K19" s="28">
        <f t="shared" si="3"/>
        <v>0.098</v>
      </c>
      <c r="L19" s="28">
        <f t="shared" si="7"/>
        <v>9.8</v>
      </c>
      <c r="M19" s="28">
        <f t="shared" si="4"/>
        <v>0.098</v>
      </c>
      <c r="O19">
        <v>4.7</v>
      </c>
      <c r="P19" s="36">
        <f t="shared" si="5"/>
        <v>0.047</v>
      </c>
      <c r="Q19" s="36">
        <f t="shared" si="8"/>
        <v>4.7</v>
      </c>
      <c r="R19" s="36">
        <f t="shared" si="6"/>
        <v>0.047</v>
      </c>
    </row>
    <row r="20" spans="1:18" ht="12.75">
      <c r="A20" s="23"/>
      <c r="B20" s="23" t="s">
        <v>90</v>
      </c>
      <c r="C20" s="25">
        <v>0</v>
      </c>
      <c r="E20">
        <v>17</v>
      </c>
      <c r="F20" s="36">
        <f t="shared" si="0"/>
        <v>0</v>
      </c>
      <c r="G20" s="36">
        <f>IF(E20=0,"",IF(D20="nd",E20/2,E20))</f>
        <v>17</v>
      </c>
      <c r="H20" s="36">
        <f t="shared" si="2"/>
        <v>0</v>
      </c>
      <c r="I20"/>
      <c r="J20">
        <v>25</v>
      </c>
      <c r="K20" s="28">
        <f t="shared" si="3"/>
        <v>0</v>
      </c>
      <c r="L20" s="36">
        <f>IF(J20=0,"",IF(I20="nd",J20/2,J20))</f>
        <v>25</v>
      </c>
      <c r="M20" s="28">
        <f t="shared" si="4"/>
        <v>0</v>
      </c>
      <c r="O20">
        <v>11</v>
      </c>
      <c r="P20" s="36">
        <f t="shared" si="5"/>
        <v>0</v>
      </c>
      <c r="Q20" s="36">
        <f>IF(O20=0,"",IF(N20="nd",O20/2,O20))</f>
        <v>11</v>
      </c>
      <c r="R20" s="36">
        <f t="shared" si="6"/>
        <v>0</v>
      </c>
    </row>
    <row r="21" spans="1:18" ht="12.75">
      <c r="A21" s="23"/>
      <c r="B21" s="23" t="s">
        <v>33</v>
      </c>
      <c r="C21" s="25">
        <v>0.001</v>
      </c>
      <c r="E21">
        <v>26</v>
      </c>
      <c r="F21" s="28">
        <f t="shared" si="0"/>
        <v>0.026000000000000002</v>
      </c>
      <c r="G21" s="28">
        <f t="shared" si="1"/>
        <v>26</v>
      </c>
      <c r="H21" s="28">
        <f t="shared" si="2"/>
        <v>0.026000000000000002</v>
      </c>
      <c r="I21"/>
      <c r="J21">
        <v>24</v>
      </c>
      <c r="K21" s="28">
        <f t="shared" si="3"/>
        <v>0.024</v>
      </c>
      <c r="L21" s="36">
        <f t="shared" si="7"/>
        <v>24</v>
      </c>
      <c r="M21" s="28">
        <f t="shared" si="4"/>
        <v>0.024</v>
      </c>
      <c r="O21">
        <v>29</v>
      </c>
      <c r="P21" s="36">
        <f t="shared" si="5"/>
        <v>0.029</v>
      </c>
      <c r="Q21" s="36">
        <f t="shared" si="8"/>
        <v>29</v>
      </c>
      <c r="R21" s="36">
        <f t="shared" si="6"/>
        <v>0.029</v>
      </c>
    </row>
    <row r="22" spans="1:18" ht="12.75">
      <c r="A22" s="23"/>
      <c r="B22" s="23" t="s">
        <v>34</v>
      </c>
      <c r="C22" s="25">
        <v>0.1</v>
      </c>
      <c r="E22">
        <v>1300</v>
      </c>
      <c r="F22" s="28">
        <f t="shared" si="0"/>
        <v>130</v>
      </c>
      <c r="G22" s="28">
        <f t="shared" si="1"/>
        <v>1300</v>
      </c>
      <c r="H22" s="28">
        <f t="shared" si="2"/>
        <v>130</v>
      </c>
      <c r="I22"/>
      <c r="J22">
        <v>2100</v>
      </c>
      <c r="K22" s="28">
        <f t="shared" si="3"/>
        <v>210</v>
      </c>
      <c r="L22" s="36">
        <f t="shared" si="7"/>
        <v>2100</v>
      </c>
      <c r="M22" s="28">
        <f t="shared" si="4"/>
        <v>210</v>
      </c>
      <c r="O22">
        <v>1900</v>
      </c>
      <c r="P22" s="36">
        <f t="shared" si="5"/>
        <v>190</v>
      </c>
      <c r="Q22" s="36">
        <f t="shared" si="8"/>
        <v>1900</v>
      </c>
      <c r="R22" s="36">
        <f t="shared" si="6"/>
        <v>190</v>
      </c>
    </row>
    <row r="23" spans="1:18" ht="12.75">
      <c r="A23" s="23"/>
      <c r="B23" s="23" t="s">
        <v>91</v>
      </c>
      <c r="C23" s="25">
        <v>0</v>
      </c>
      <c r="E23">
        <v>26000</v>
      </c>
      <c r="F23" s="36">
        <f t="shared" si="0"/>
        <v>0</v>
      </c>
      <c r="G23" s="36">
        <f>IF(E23=0,"",IF(D23="nd",E23/2,E23))</f>
        <v>26000</v>
      </c>
      <c r="H23" s="36">
        <f t="shared" si="2"/>
        <v>0</v>
      </c>
      <c r="I23"/>
      <c r="J23">
        <v>33000</v>
      </c>
      <c r="K23" s="28">
        <f t="shared" si="3"/>
        <v>0</v>
      </c>
      <c r="L23" s="36">
        <f>IF(J23=0,"",IF(I23="nd",J23/2,J23))</f>
        <v>33000</v>
      </c>
      <c r="M23" s="28">
        <f t="shared" si="4"/>
        <v>0</v>
      </c>
      <c r="O23">
        <v>27000</v>
      </c>
      <c r="P23" s="36">
        <f t="shared" si="5"/>
        <v>0</v>
      </c>
      <c r="Q23" s="36">
        <f>IF(O23=0,"",IF(N23="nd",O23/2,O23))</f>
        <v>27000</v>
      </c>
      <c r="R23" s="36">
        <f t="shared" si="6"/>
        <v>0</v>
      </c>
    </row>
    <row r="24" spans="1:18" ht="12.75">
      <c r="A24" s="23"/>
      <c r="B24" s="23" t="s">
        <v>35</v>
      </c>
      <c r="C24" s="25">
        <v>0.05</v>
      </c>
      <c r="E24">
        <v>200</v>
      </c>
      <c r="F24" s="36">
        <f t="shared" si="0"/>
        <v>10</v>
      </c>
      <c r="G24" s="36">
        <f t="shared" si="1"/>
        <v>200</v>
      </c>
      <c r="H24" s="36">
        <f t="shared" si="2"/>
        <v>10</v>
      </c>
      <c r="I24"/>
      <c r="J24">
        <v>340</v>
      </c>
      <c r="K24" s="28">
        <f t="shared" si="3"/>
        <v>17</v>
      </c>
      <c r="L24" s="36">
        <f t="shared" si="7"/>
        <v>340</v>
      </c>
      <c r="M24" s="28">
        <f t="shared" si="4"/>
        <v>17</v>
      </c>
      <c r="O24">
        <v>230</v>
      </c>
      <c r="P24" s="36">
        <f t="shared" si="5"/>
        <v>11.5</v>
      </c>
      <c r="Q24" s="36">
        <f t="shared" si="8"/>
        <v>230</v>
      </c>
      <c r="R24" s="36">
        <f t="shared" si="6"/>
        <v>11.5</v>
      </c>
    </row>
    <row r="25" spans="1:18" ht="12.75">
      <c r="A25" s="23"/>
      <c r="B25" s="23" t="s">
        <v>36</v>
      </c>
      <c r="C25" s="25">
        <v>0.5</v>
      </c>
      <c r="E25">
        <v>300</v>
      </c>
      <c r="F25" s="36">
        <f t="shared" si="0"/>
        <v>150</v>
      </c>
      <c r="G25" s="36">
        <f t="shared" si="1"/>
        <v>300</v>
      </c>
      <c r="H25" s="36">
        <f t="shared" si="2"/>
        <v>150</v>
      </c>
      <c r="I25"/>
      <c r="J25">
        <v>670</v>
      </c>
      <c r="K25" s="28">
        <f t="shared" si="3"/>
        <v>335</v>
      </c>
      <c r="L25" s="36">
        <f t="shared" si="7"/>
        <v>670</v>
      </c>
      <c r="M25" s="28">
        <f t="shared" si="4"/>
        <v>335</v>
      </c>
      <c r="O25">
        <v>460</v>
      </c>
      <c r="P25" s="36">
        <f t="shared" si="5"/>
        <v>230</v>
      </c>
      <c r="Q25" s="36">
        <f t="shared" si="8"/>
        <v>460</v>
      </c>
      <c r="R25" s="36">
        <f t="shared" si="6"/>
        <v>230</v>
      </c>
    </row>
    <row r="26" spans="1:18" ht="12.75">
      <c r="A26" s="23"/>
      <c r="B26" s="23" t="s">
        <v>92</v>
      </c>
      <c r="C26" s="25">
        <v>0</v>
      </c>
      <c r="E26">
        <v>7000</v>
      </c>
      <c r="F26" s="36">
        <f t="shared" si="0"/>
        <v>0</v>
      </c>
      <c r="G26" s="36">
        <f>IF(E26=0,"",IF(D26="nd",E26/2,E26))</f>
        <v>7000</v>
      </c>
      <c r="H26" s="36">
        <f t="shared" si="2"/>
        <v>0</v>
      </c>
      <c r="I26"/>
      <c r="J26">
        <v>10000</v>
      </c>
      <c r="K26" s="28">
        <f t="shared" si="3"/>
        <v>0</v>
      </c>
      <c r="L26" s="36">
        <f>IF(J26=0,"",IF(I26="nd",J26/2,J26))</f>
        <v>10000</v>
      </c>
      <c r="M26" s="28">
        <f t="shared" si="4"/>
        <v>0</v>
      </c>
      <c r="O26">
        <v>7000</v>
      </c>
      <c r="P26" s="36">
        <f t="shared" si="5"/>
        <v>0</v>
      </c>
      <c r="Q26" s="36">
        <f>IF(O26=0,"",IF(N26="nd",O26/2,O26))</f>
        <v>7000</v>
      </c>
      <c r="R26" s="36">
        <f t="shared" si="6"/>
        <v>0</v>
      </c>
    </row>
    <row r="27" spans="1:18" ht="12.75">
      <c r="A27" s="23"/>
      <c r="B27" s="23" t="s">
        <v>37</v>
      </c>
      <c r="C27" s="25">
        <v>0.1</v>
      </c>
      <c r="E27">
        <v>140</v>
      </c>
      <c r="F27" s="36">
        <f t="shared" si="0"/>
        <v>14</v>
      </c>
      <c r="G27" s="36">
        <f t="shared" si="1"/>
        <v>140</v>
      </c>
      <c r="H27" s="36">
        <f t="shared" si="2"/>
        <v>14</v>
      </c>
      <c r="I27"/>
      <c r="J27">
        <v>240</v>
      </c>
      <c r="K27" s="28">
        <f t="shared" si="3"/>
        <v>24</v>
      </c>
      <c r="L27" s="36">
        <f t="shared" si="7"/>
        <v>240</v>
      </c>
      <c r="M27" s="28">
        <f t="shared" si="4"/>
        <v>24</v>
      </c>
      <c r="O27">
        <v>120</v>
      </c>
      <c r="P27" s="36">
        <f t="shared" si="5"/>
        <v>12</v>
      </c>
      <c r="Q27" s="36">
        <f t="shared" si="8"/>
        <v>120</v>
      </c>
      <c r="R27" s="36">
        <f t="shared" si="6"/>
        <v>12</v>
      </c>
    </row>
    <row r="28" spans="1:18" ht="12.75">
      <c r="A28" s="23"/>
      <c r="B28" s="23" t="s">
        <v>38</v>
      </c>
      <c r="C28" s="25">
        <v>0.1</v>
      </c>
      <c r="E28">
        <v>78</v>
      </c>
      <c r="F28" s="36">
        <f t="shared" si="0"/>
        <v>7.800000000000001</v>
      </c>
      <c r="G28" s="36">
        <f t="shared" si="1"/>
        <v>78</v>
      </c>
      <c r="H28" s="36">
        <f t="shared" si="2"/>
        <v>7.800000000000001</v>
      </c>
      <c r="I28"/>
      <c r="J28">
        <v>120</v>
      </c>
      <c r="K28" s="28">
        <f t="shared" si="3"/>
        <v>12</v>
      </c>
      <c r="L28" s="36">
        <f t="shared" si="7"/>
        <v>120</v>
      </c>
      <c r="M28" s="28">
        <f t="shared" si="4"/>
        <v>12</v>
      </c>
      <c r="O28">
        <v>62</v>
      </c>
      <c r="P28" s="36">
        <f t="shared" si="5"/>
        <v>6.2</v>
      </c>
      <c r="Q28" s="36">
        <f t="shared" si="8"/>
        <v>62</v>
      </c>
      <c r="R28" s="36">
        <f t="shared" si="6"/>
        <v>6.2</v>
      </c>
    </row>
    <row r="29" spans="1:18" ht="12.75">
      <c r="A29" s="23"/>
      <c r="B29" s="23" t="s">
        <v>39</v>
      </c>
      <c r="C29" s="25">
        <v>0.1</v>
      </c>
      <c r="E29">
        <v>36</v>
      </c>
      <c r="F29" s="36">
        <f t="shared" si="0"/>
        <v>3.6</v>
      </c>
      <c r="G29" s="36">
        <f t="shared" si="1"/>
        <v>36</v>
      </c>
      <c r="H29" s="36">
        <f t="shared" si="2"/>
        <v>3.6</v>
      </c>
      <c r="I29"/>
      <c r="J29">
        <v>77</v>
      </c>
      <c r="K29" s="28">
        <f t="shared" si="3"/>
        <v>7.7</v>
      </c>
      <c r="L29" s="36">
        <f t="shared" si="7"/>
        <v>77</v>
      </c>
      <c r="M29" s="28">
        <f t="shared" si="4"/>
        <v>7.7</v>
      </c>
      <c r="O29">
        <v>44</v>
      </c>
      <c r="P29" s="36">
        <f t="shared" si="5"/>
        <v>4.4</v>
      </c>
      <c r="Q29" s="36">
        <f t="shared" si="8"/>
        <v>44</v>
      </c>
      <c r="R29" s="36">
        <f t="shared" si="6"/>
        <v>4.4</v>
      </c>
    </row>
    <row r="30" spans="1:18" ht="12.75">
      <c r="A30" s="23"/>
      <c r="B30" s="23" t="s">
        <v>40</v>
      </c>
      <c r="C30" s="25">
        <v>0.1</v>
      </c>
      <c r="E30">
        <v>12</v>
      </c>
      <c r="F30" s="36">
        <f t="shared" si="0"/>
        <v>1.2000000000000002</v>
      </c>
      <c r="G30" s="36">
        <f t="shared" si="1"/>
        <v>12</v>
      </c>
      <c r="H30" s="36">
        <f t="shared" si="2"/>
        <v>1.2000000000000002</v>
      </c>
      <c r="I30"/>
      <c r="J30">
        <v>20</v>
      </c>
      <c r="K30" s="28">
        <f t="shared" si="3"/>
        <v>2</v>
      </c>
      <c r="L30" s="36">
        <f t="shared" si="7"/>
        <v>20</v>
      </c>
      <c r="M30" s="28">
        <f t="shared" si="4"/>
        <v>2</v>
      </c>
      <c r="O30">
        <v>9.6</v>
      </c>
      <c r="P30" s="36">
        <f t="shared" si="5"/>
        <v>0.96</v>
      </c>
      <c r="Q30" s="36">
        <f t="shared" si="8"/>
        <v>9.6</v>
      </c>
      <c r="R30" s="36">
        <f t="shared" si="6"/>
        <v>0.96</v>
      </c>
    </row>
    <row r="31" spans="1:18" ht="12.75">
      <c r="A31" s="23"/>
      <c r="B31" s="23" t="s">
        <v>93</v>
      </c>
      <c r="C31" s="25">
        <v>0</v>
      </c>
      <c r="E31">
        <v>1500</v>
      </c>
      <c r="F31" s="36">
        <f t="shared" si="0"/>
        <v>0</v>
      </c>
      <c r="G31" s="36">
        <f>IF(E31=0,"",IF(D31="nd",E31/2,E31))</f>
        <v>1500</v>
      </c>
      <c r="H31" s="36">
        <f t="shared" si="2"/>
        <v>0</v>
      </c>
      <c r="I31"/>
      <c r="J31">
        <v>2200</v>
      </c>
      <c r="K31" s="28">
        <f t="shared" si="3"/>
        <v>0</v>
      </c>
      <c r="L31" s="36">
        <f>IF(J31=0,"",IF(I31="nd",J31/2,J31))</f>
        <v>2200</v>
      </c>
      <c r="M31" s="28">
        <f t="shared" si="4"/>
        <v>0</v>
      </c>
      <c r="O31">
        <v>1100</v>
      </c>
      <c r="P31" s="36">
        <f t="shared" si="5"/>
        <v>0</v>
      </c>
      <c r="Q31" s="36">
        <f>IF(O31=0,"",IF(N31="nd",O31/2,O31))</f>
        <v>1100</v>
      </c>
      <c r="R31" s="36">
        <f t="shared" si="6"/>
        <v>0</v>
      </c>
    </row>
    <row r="32" spans="1:18" ht="12.75">
      <c r="A32" s="23"/>
      <c r="B32" s="23" t="s">
        <v>41</v>
      </c>
      <c r="C32" s="25">
        <v>0.01</v>
      </c>
      <c r="E32">
        <v>110</v>
      </c>
      <c r="F32" s="36">
        <f t="shared" si="0"/>
        <v>1.1</v>
      </c>
      <c r="G32" s="36">
        <f t="shared" si="1"/>
        <v>110</v>
      </c>
      <c r="H32" s="36">
        <f t="shared" si="2"/>
        <v>1.1</v>
      </c>
      <c r="I32"/>
      <c r="J32">
        <v>180</v>
      </c>
      <c r="K32" s="28">
        <f t="shared" si="3"/>
        <v>1.8</v>
      </c>
      <c r="L32" s="36">
        <f t="shared" si="7"/>
        <v>180</v>
      </c>
      <c r="M32" s="28">
        <f t="shared" si="4"/>
        <v>1.8</v>
      </c>
      <c r="O32">
        <v>60</v>
      </c>
      <c r="P32" s="36">
        <f t="shared" si="5"/>
        <v>0.6</v>
      </c>
      <c r="Q32" s="36">
        <f t="shared" si="8"/>
        <v>60</v>
      </c>
      <c r="R32" s="36">
        <f t="shared" si="6"/>
        <v>0.6</v>
      </c>
    </row>
    <row r="33" spans="1:18" ht="12.75">
      <c r="A33" s="23"/>
      <c r="B33" s="23" t="s">
        <v>42</v>
      </c>
      <c r="C33" s="25">
        <v>0.01</v>
      </c>
      <c r="E33">
        <v>3.6</v>
      </c>
      <c r="F33" s="36">
        <f t="shared" si="0"/>
        <v>0.036000000000000004</v>
      </c>
      <c r="G33" s="36">
        <f t="shared" si="1"/>
        <v>3.6</v>
      </c>
      <c r="H33" s="36">
        <f t="shared" si="2"/>
        <v>0.036000000000000004</v>
      </c>
      <c r="I33"/>
      <c r="J33">
        <v>8.3</v>
      </c>
      <c r="K33" s="28">
        <f t="shared" si="3"/>
        <v>0.083</v>
      </c>
      <c r="L33" s="36">
        <f t="shared" si="7"/>
        <v>8.3</v>
      </c>
      <c r="M33" s="28">
        <f t="shared" si="4"/>
        <v>0.083</v>
      </c>
      <c r="O33">
        <v>2.5</v>
      </c>
      <c r="P33" s="36">
        <f t="shared" si="5"/>
        <v>0.025</v>
      </c>
      <c r="Q33" s="36">
        <f t="shared" si="8"/>
        <v>2.5</v>
      </c>
      <c r="R33" s="36">
        <f t="shared" si="6"/>
        <v>0.025</v>
      </c>
    </row>
    <row r="34" spans="1:18" ht="12.75">
      <c r="A34" s="23"/>
      <c r="B34" s="23" t="s">
        <v>94</v>
      </c>
      <c r="C34" s="25">
        <v>0</v>
      </c>
      <c r="E34">
        <v>140</v>
      </c>
      <c r="F34" s="36">
        <f t="shared" si="0"/>
        <v>0</v>
      </c>
      <c r="G34" s="36">
        <f>IF(E34=0,"",IF(D34="nd",E34/2,E34))</f>
        <v>140</v>
      </c>
      <c r="H34" s="36">
        <f t="shared" si="2"/>
        <v>0</v>
      </c>
      <c r="I34"/>
      <c r="J34">
        <v>240</v>
      </c>
      <c r="K34" s="28">
        <f t="shared" si="3"/>
        <v>0</v>
      </c>
      <c r="L34" s="36">
        <f>IF(J34=0,"",IF(I34="nd",J34/2,J34))</f>
        <v>240</v>
      </c>
      <c r="M34" s="28">
        <f t="shared" si="4"/>
        <v>0</v>
      </c>
      <c r="O34">
        <v>80</v>
      </c>
      <c r="P34" s="36">
        <f t="shared" si="5"/>
        <v>0</v>
      </c>
      <c r="Q34" s="36">
        <f>IF(O34=0,"",IF(N34="nd",O34/2,O34))</f>
        <v>80</v>
      </c>
      <c r="R34" s="36">
        <f t="shared" si="6"/>
        <v>0</v>
      </c>
    </row>
    <row r="35" spans="1:18" ht="12.75">
      <c r="A35" s="23"/>
      <c r="B35" s="23" t="s">
        <v>43</v>
      </c>
      <c r="C35" s="25">
        <v>0.001</v>
      </c>
      <c r="E35">
        <v>17</v>
      </c>
      <c r="F35" s="36">
        <f t="shared" si="0"/>
        <v>0.017</v>
      </c>
      <c r="G35" s="36">
        <f t="shared" si="1"/>
        <v>17</v>
      </c>
      <c r="H35" s="36">
        <f t="shared" si="2"/>
        <v>0.017</v>
      </c>
      <c r="I35"/>
      <c r="J35">
        <v>20</v>
      </c>
      <c r="K35" s="28">
        <f t="shared" si="3"/>
        <v>0.02</v>
      </c>
      <c r="L35" s="36">
        <f t="shared" si="7"/>
        <v>20</v>
      </c>
      <c r="M35" s="28">
        <f t="shared" si="4"/>
        <v>0.02</v>
      </c>
      <c r="O35">
        <v>11</v>
      </c>
      <c r="P35" s="36">
        <f t="shared" si="5"/>
        <v>0.011</v>
      </c>
      <c r="Q35" s="36">
        <f t="shared" si="8"/>
        <v>11</v>
      </c>
      <c r="R35" s="36">
        <f t="shared" si="6"/>
        <v>0.011</v>
      </c>
    </row>
    <row r="36" spans="1:18" ht="12.75">
      <c r="A36" s="23"/>
      <c r="B36" s="23"/>
      <c r="C36" s="23"/>
      <c r="D36" s="23"/>
      <c r="E36" s="28"/>
      <c r="F36" s="31"/>
      <c r="G36" s="28"/>
      <c r="H36" s="31"/>
      <c r="I36" s="47"/>
      <c r="J36" s="9"/>
      <c r="K36" s="26"/>
      <c r="L36" s="26"/>
      <c r="M36" s="26"/>
      <c r="N36" s="28"/>
      <c r="O36" s="9"/>
      <c r="P36" s="30"/>
      <c r="Q36" s="28"/>
      <c r="R36" s="30"/>
    </row>
    <row r="37" spans="1:18" ht="12.75">
      <c r="A37" s="23"/>
      <c r="B37" s="23" t="s">
        <v>44</v>
      </c>
      <c r="C37" s="23"/>
      <c r="D37" s="23"/>
      <c r="F37">
        <v>110.052</v>
      </c>
      <c r="G37">
        <v>110.052</v>
      </c>
      <c r="H37">
        <v>110.052</v>
      </c>
      <c r="I37"/>
      <c r="K37">
        <v>111.599</v>
      </c>
      <c r="L37">
        <v>111.599</v>
      </c>
      <c r="M37">
        <v>111.599</v>
      </c>
      <c r="P37">
        <v>111.519</v>
      </c>
      <c r="Q37">
        <v>111.519</v>
      </c>
      <c r="R37">
        <v>111.519</v>
      </c>
    </row>
    <row r="38" spans="1:18" ht="12.75">
      <c r="A38" s="23"/>
      <c r="B38" s="23" t="s">
        <v>57</v>
      </c>
      <c r="C38" s="23"/>
      <c r="D38" s="23"/>
      <c r="F38">
        <v>7.1</v>
      </c>
      <c r="G38">
        <v>7.1</v>
      </c>
      <c r="H38">
        <v>7.1</v>
      </c>
      <c r="I38"/>
      <c r="K38">
        <v>8.1</v>
      </c>
      <c r="L38">
        <v>8.1</v>
      </c>
      <c r="M38">
        <v>8.1</v>
      </c>
      <c r="P38">
        <v>8.2</v>
      </c>
      <c r="Q38">
        <v>8.2</v>
      </c>
      <c r="R38">
        <v>8.2</v>
      </c>
    </row>
    <row r="39" spans="1:18" ht="12.75">
      <c r="A39" s="23"/>
      <c r="B39" s="23"/>
      <c r="C39" s="23"/>
      <c r="D39" s="23"/>
      <c r="E39" s="28"/>
      <c r="F39" s="9"/>
      <c r="G39" s="28"/>
      <c r="H39" s="9"/>
      <c r="I39" s="42"/>
      <c r="J39" s="28"/>
      <c r="K39" s="29"/>
      <c r="L39" s="26"/>
      <c r="M39" s="29"/>
      <c r="N39" s="28"/>
      <c r="O39" s="28"/>
      <c r="P39" s="28"/>
      <c r="Q39" s="28"/>
      <c r="R39" s="28"/>
    </row>
    <row r="40" spans="1:18" ht="12.75">
      <c r="A40" s="23"/>
      <c r="B40" s="23" t="s">
        <v>95</v>
      </c>
      <c r="C40" s="31"/>
      <c r="D40" s="31"/>
      <c r="E40" s="26"/>
      <c r="F40" s="27">
        <f>SUM(F11:F35)/1000</f>
        <v>0.33271100000000003</v>
      </c>
      <c r="G40" s="26">
        <f>SUM(G35,G34,G31,G26,G23,G21,G20,G18,G14,G12)/1000</f>
        <v>35.469</v>
      </c>
      <c r="H40" s="27">
        <f>SUM(H11:H35)/1000</f>
        <v>0.33027600000000007</v>
      </c>
      <c r="I40" s="33"/>
      <c r="J40" s="26"/>
      <c r="K40" s="27">
        <f>SUM(K11:K35)/1000</f>
        <v>0.626915</v>
      </c>
      <c r="L40" s="26">
        <f>SUM(L35,L34,L31,L26,L23,L21,L20,L18,L14,L12)/1000</f>
        <v>46.539</v>
      </c>
      <c r="M40" s="27">
        <f>SUM(M11:M35)/1000</f>
        <v>0.62432</v>
      </c>
      <c r="N40" s="31"/>
      <c r="O40" s="28"/>
      <c r="P40" s="28">
        <f>SUM(P11:P35)/1000</f>
        <v>0.47018199999999993</v>
      </c>
      <c r="Q40" s="26">
        <f>SUM(Q35,Q34,Q31,Q26,Q23,Q21,Q20,Q18,Q14,Q12)/1000</f>
        <v>35.941</v>
      </c>
      <c r="R40" s="28">
        <f>SUM(R11:R35)/1000</f>
        <v>0.467777</v>
      </c>
    </row>
    <row r="41" spans="1:18" ht="12.75">
      <c r="A41" s="23"/>
      <c r="B41" s="23" t="s">
        <v>45</v>
      </c>
      <c r="C41" s="31"/>
      <c r="D41" s="26">
        <f>(F41-H41)*2/F41*100</f>
        <v>1.4637327891172625</v>
      </c>
      <c r="E41" s="28"/>
      <c r="F41" s="27">
        <f>(F40/F37/0.0283*(21-7)/(21-F38))</f>
        <v>0.10759597368508571</v>
      </c>
      <c r="G41" s="27">
        <f>(G40/G37/0.0283*(21-7)/(21-G38))</f>
        <v>11.47037997131536</v>
      </c>
      <c r="H41" s="27">
        <f>(H40/H37/0.0283*(21-7)/(21-H38))</f>
        <v>0.10680851491178642</v>
      </c>
      <c r="I41" s="26">
        <f>(K41-M41)*2/K41*100</f>
        <v>0.8278634264613137</v>
      </c>
      <c r="J41" s="28"/>
      <c r="K41" s="28">
        <f>K40/K37/0.0283*(21-7)/(21-K38)</f>
        <v>0.21542705675328352</v>
      </c>
      <c r="L41" s="28">
        <f>(L40/L37/0.0283*(21-7)/(21-L38))</f>
        <v>15.992215522424992</v>
      </c>
      <c r="M41" s="28">
        <f>M40/M37/0.0283*(21-7)/(21-M38)</f>
        <v>0.21453533584650228</v>
      </c>
      <c r="N41" s="26">
        <f>(P41-R41)*2/P41*100</f>
        <v>1.023008111752395</v>
      </c>
      <c r="O41" s="28"/>
      <c r="P41" s="28">
        <f>P40/P37/0.0283*(21-7)/(21-P38)</f>
        <v>0.16294789821265773</v>
      </c>
      <c r="Q41" s="28">
        <f>(Q40/Q37/0.0283*(21-7)/(21-Q38))</f>
        <v>12.455837121925413</v>
      </c>
      <c r="R41" s="28">
        <f>R40/R37/0.0283*(21-7)/(21-R38)</f>
        <v>0.16211441310433497</v>
      </c>
    </row>
    <row r="42" spans="1:18" ht="12.75">
      <c r="A42" s="23"/>
      <c r="B42" s="23"/>
      <c r="C42" s="23"/>
      <c r="D42" s="23"/>
      <c r="E42" s="27"/>
      <c r="F42" s="31"/>
      <c r="G42" s="27"/>
      <c r="H42" s="31"/>
      <c r="I42" s="48"/>
      <c r="J42" s="27"/>
      <c r="K42" s="27"/>
      <c r="L42" s="27"/>
      <c r="M42" s="27"/>
      <c r="N42" s="27"/>
      <c r="O42" s="27"/>
      <c r="P42" s="30"/>
      <c r="Q42" s="27"/>
      <c r="R42" s="30"/>
    </row>
    <row r="43" spans="1:18" ht="12.75">
      <c r="A43" s="28"/>
      <c r="B43" s="23" t="s">
        <v>58</v>
      </c>
      <c r="C43" s="31">
        <f>AVERAGE(H41,M41,R41)</f>
        <v>0.16115275462087456</v>
      </c>
      <c r="D43" s="28"/>
      <c r="E43" s="28"/>
      <c r="F43" s="31"/>
      <c r="G43" s="28"/>
      <c r="H43" s="31"/>
      <c r="I43" s="47"/>
      <c r="J43" s="28"/>
      <c r="K43" s="28"/>
      <c r="L43" s="28"/>
      <c r="M43" s="28"/>
      <c r="N43" s="28"/>
      <c r="O43" s="28"/>
      <c r="P43" s="30"/>
      <c r="Q43" s="28"/>
      <c r="R43" s="30"/>
    </row>
    <row r="44" spans="1:18" ht="12.75">
      <c r="A44" s="23"/>
      <c r="B44" s="23" t="s">
        <v>59</v>
      </c>
      <c r="C44" s="31">
        <f>AVERAGE(G41,L41,Q41)</f>
        <v>13.306144205221921</v>
      </c>
      <c r="D44" s="23"/>
      <c r="E44" s="30"/>
      <c r="F44" s="31"/>
      <c r="G44" s="30"/>
      <c r="H44" s="31"/>
      <c r="I44" s="34"/>
      <c r="J44" s="30"/>
      <c r="K44" s="30"/>
      <c r="L44" s="30"/>
      <c r="M44" s="30"/>
      <c r="N44" s="30"/>
      <c r="O44" s="30"/>
      <c r="P44" s="30"/>
      <c r="Q44" s="30"/>
      <c r="R44" s="30"/>
    </row>
    <row r="46" ht="12.75">
      <c r="I46"/>
    </row>
    <row r="47" spans="3:9" ht="12.75">
      <c r="C47" s="31"/>
      <c r="I47"/>
    </row>
    <row r="48" ht="12.75">
      <c r="I48"/>
    </row>
    <row r="49" ht="12.75">
      <c r="I49"/>
    </row>
    <row r="50" ht="12.75">
      <c r="I50"/>
    </row>
    <row r="51" ht="12.75">
      <c r="I51"/>
    </row>
    <row r="52" ht="12.75">
      <c r="I52"/>
    </row>
    <row r="53" ht="12.75">
      <c r="I53"/>
    </row>
    <row r="54" ht="12.75">
      <c r="I54"/>
    </row>
    <row r="55" ht="12.75">
      <c r="I55"/>
    </row>
    <row r="56" ht="12.75">
      <c r="I56"/>
    </row>
    <row r="57" ht="12.75">
      <c r="I57"/>
    </row>
    <row r="58" ht="12.75">
      <c r="I58"/>
    </row>
    <row r="59" ht="12.75">
      <c r="I59"/>
    </row>
    <row r="60" ht="12.75">
      <c r="I60"/>
    </row>
    <row r="61" ht="12.75">
      <c r="I61"/>
    </row>
    <row r="62" ht="12.75">
      <c r="I62"/>
    </row>
    <row r="63" ht="12.75">
      <c r="I63"/>
    </row>
    <row r="64" ht="12.75">
      <c r="I64"/>
    </row>
    <row r="65" ht="12.75">
      <c r="I65"/>
    </row>
    <row r="66" ht="12.75">
      <c r="I66"/>
    </row>
    <row r="67" ht="12.75">
      <c r="I67"/>
    </row>
    <row r="68" ht="12.75">
      <c r="I68"/>
    </row>
    <row r="69" ht="12.75">
      <c r="I69"/>
    </row>
    <row r="70" ht="12.75">
      <c r="I70"/>
    </row>
    <row r="71" ht="12.75">
      <c r="I71"/>
    </row>
    <row r="72" ht="12.75">
      <c r="I72"/>
    </row>
    <row r="73" ht="12.75">
      <c r="I73"/>
    </row>
    <row r="74" ht="12.75">
      <c r="I74"/>
    </row>
    <row r="75" ht="12.75">
      <c r="I75"/>
    </row>
    <row r="76" ht="12.75">
      <c r="I76"/>
    </row>
    <row r="77" ht="12.75">
      <c r="I77"/>
    </row>
    <row r="78" ht="12.75">
      <c r="I78"/>
    </row>
    <row r="79" ht="12.75">
      <c r="I79"/>
    </row>
    <row r="80" ht="12.75">
      <c r="I80"/>
    </row>
    <row r="81" ht="12.75">
      <c r="I81"/>
    </row>
    <row r="82" ht="12.75">
      <c r="I82"/>
    </row>
    <row r="83" ht="12.75">
      <c r="I83"/>
    </row>
    <row r="84" ht="12.75">
      <c r="I84"/>
    </row>
    <row r="85" ht="12.75">
      <c r="I85"/>
    </row>
    <row r="86" ht="12.75">
      <c r="I86"/>
    </row>
    <row r="87" ht="12.75">
      <c r="I87"/>
    </row>
    <row r="88" ht="12.75">
      <c r="I88"/>
    </row>
    <row r="89" ht="12.75">
      <c r="I89"/>
    </row>
    <row r="90" ht="12.75">
      <c r="I90"/>
    </row>
    <row r="91" ht="12.75">
      <c r="I91"/>
    </row>
    <row r="92" ht="12.75">
      <c r="I92"/>
    </row>
    <row r="93" ht="12.75">
      <c r="I93"/>
    </row>
    <row r="94" ht="12.75">
      <c r="I94"/>
    </row>
    <row r="95" ht="12.75">
      <c r="I95"/>
    </row>
    <row r="96" ht="12.75">
      <c r="I96"/>
    </row>
    <row r="97" ht="12.75">
      <c r="I97"/>
    </row>
    <row r="98" ht="12.75">
      <c r="I98"/>
    </row>
    <row r="99" ht="12.75">
      <c r="I99"/>
    </row>
    <row r="100" ht="12.75">
      <c r="I100"/>
    </row>
    <row r="101" ht="12.75">
      <c r="I101"/>
    </row>
    <row r="102" ht="12.75">
      <c r="I102"/>
    </row>
    <row r="103" ht="12.75">
      <c r="I103"/>
    </row>
    <row r="104" ht="12.75">
      <c r="I104"/>
    </row>
    <row r="105" ht="12.75">
      <c r="I105"/>
    </row>
    <row r="106" ht="12.75">
      <c r="I106"/>
    </row>
    <row r="107" ht="12.75">
      <c r="I107"/>
    </row>
    <row r="108" ht="12.75">
      <c r="I108"/>
    </row>
    <row r="109" ht="12.75">
      <c r="I109"/>
    </row>
    <row r="110" ht="12.75">
      <c r="I110"/>
    </row>
    <row r="111" ht="12.75">
      <c r="I111"/>
    </row>
    <row r="112" ht="12.75">
      <c r="I112"/>
    </row>
    <row r="113" ht="12.75">
      <c r="I113"/>
    </row>
    <row r="114" ht="12.75">
      <c r="I114"/>
    </row>
    <row r="115" ht="12.75">
      <c r="I115"/>
    </row>
    <row r="116" ht="12.75">
      <c r="I116"/>
    </row>
    <row r="117" ht="12.75">
      <c r="I117"/>
    </row>
    <row r="118" ht="12.75">
      <c r="I118"/>
    </row>
    <row r="119" ht="12.75">
      <c r="I119"/>
    </row>
    <row r="120" ht="12.75">
      <c r="I120"/>
    </row>
    <row r="121" ht="12.75">
      <c r="I121"/>
    </row>
    <row r="122" ht="12.75">
      <c r="I122"/>
    </row>
    <row r="123" ht="12.75">
      <c r="I123"/>
    </row>
    <row r="124" ht="12.75">
      <c r="I124"/>
    </row>
    <row r="125" ht="12.75">
      <c r="I125"/>
    </row>
    <row r="126" ht="12.75">
      <c r="I126"/>
    </row>
    <row r="127" ht="12.75">
      <c r="I127"/>
    </row>
    <row r="128" ht="12.75">
      <c r="I128"/>
    </row>
    <row r="129" ht="12.75">
      <c r="I129"/>
    </row>
    <row r="130" ht="12.75">
      <c r="I130"/>
    </row>
    <row r="131" ht="12.75">
      <c r="I131"/>
    </row>
    <row r="132" ht="12.75">
      <c r="I132"/>
    </row>
    <row r="133" ht="12.75">
      <c r="I133"/>
    </row>
    <row r="134" ht="12.75">
      <c r="I134"/>
    </row>
    <row r="135" ht="12.75">
      <c r="I135"/>
    </row>
    <row r="136" ht="12.75">
      <c r="I136"/>
    </row>
    <row r="137" ht="12.75">
      <c r="I137"/>
    </row>
    <row r="138" ht="12.75">
      <c r="I138"/>
    </row>
    <row r="139" ht="12.75">
      <c r="I139"/>
    </row>
    <row r="140" ht="12.75">
      <c r="I140"/>
    </row>
    <row r="141" ht="12.75">
      <c r="I141"/>
    </row>
    <row r="142" ht="12.75">
      <c r="I142"/>
    </row>
    <row r="143" ht="12.75">
      <c r="I143"/>
    </row>
    <row r="144" ht="12.75">
      <c r="I144"/>
    </row>
    <row r="145" ht="12.75">
      <c r="I145"/>
    </row>
    <row r="146" ht="12.75">
      <c r="I146"/>
    </row>
    <row r="147" ht="12.75">
      <c r="I147"/>
    </row>
    <row r="148" ht="12.75">
      <c r="I148"/>
    </row>
    <row r="149" ht="12.75">
      <c r="I149"/>
    </row>
    <row r="150" ht="12.75">
      <c r="I150"/>
    </row>
    <row r="151" ht="12.75">
      <c r="I151"/>
    </row>
    <row r="152" ht="12.75">
      <c r="I152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P39"/>
  <sheetViews>
    <sheetView workbookViewId="0" topLeftCell="C11">
      <selection activeCell="B35" sqref="B35"/>
    </sheetView>
  </sheetViews>
  <sheetFormatPr defaultColWidth="9.140625" defaultRowHeight="12.75"/>
  <cols>
    <col min="1" max="1" width="9.140625" style="0" hidden="1" customWidth="1"/>
    <col min="2" max="2" width="0" style="0" hidden="1" customWidth="1"/>
    <col min="3" max="3" width="13.00390625" style="0" customWidth="1"/>
    <col min="4" max="4" width="7.00390625" style="82" customWidth="1"/>
    <col min="5" max="5" width="3.421875" style="0" customWidth="1"/>
    <col min="7" max="7" width="7.7109375" style="61" customWidth="1"/>
    <col min="8" max="8" width="8.28125" style="61" customWidth="1"/>
    <col min="9" max="9" width="4.28125" style="0" customWidth="1"/>
    <col min="11" max="11" width="7.7109375" style="61" customWidth="1"/>
    <col min="12" max="12" width="8.28125" style="61" customWidth="1"/>
    <col min="13" max="13" width="3.57421875" style="0" customWidth="1"/>
    <col min="15" max="15" width="7.7109375" style="61" customWidth="1"/>
    <col min="16" max="16" width="8.28125" style="61" customWidth="1"/>
  </cols>
  <sheetData>
    <row r="1" ht="12.75">
      <c r="C1" s="3" t="s">
        <v>179</v>
      </c>
    </row>
    <row r="2" spans="6:16" ht="12.75">
      <c r="F2" s="107" t="s">
        <v>161</v>
      </c>
      <c r="G2" s="108"/>
      <c r="H2" s="108"/>
      <c r="J2" s="107" t="s">
        <v>120</v>
      </c>
      <c r="K2" s="108"/>
      <c r="L2" s="108"/>
      <c r="N2" s="107" t="s">
        <v>162</v>
      </c>
      <c r="O2" s="108"/>
      <c r="P2" s="108"/>
    </row>
    <row r="3" spans="3:16" ht="12.75">
      <c r="C3" t="s">
        <v>63</v>
      </c>
      <c r="D3" s="82" t="s">
        <v>22</v>
      </c>
      <c r="F3" s="46" t="s">
        <v>24</v>
      </c>
      <c r="G3" s="109" t="s">
        <v>24</v>
      </c>
      <c r="H3" s="109" t="s">
        <v>26</v>
      </c>
      <c r="I3" s="46"/>
      <c r="J3" s="46" t="s">
        <v>24</v>
      </c>
      <c r="K3" s="109" t="s">
        <v>24</v>
      </c>
      <c r="L3" s="109" t="s">
        <v>26</v>
      </c>
      <c r="M3" s="46"/>
      <c r="N3" s="46" t="s">
        <v>24</v>
      </c>
      <c r="O3" s="109" t="s">
        <v>24</v>
      </c>
      <c r="P3" s="109" t="s">
        <v>26</v>
      </c>
    </row>
    <row r="4" spans="4:16" ht="12.75">
      <c r="D4" s="82" t="s">
        <v>234</v>
      </c>
      <c r="F4" s="46" t="s">
        <v>235</v>
      </c>
      <c r="G4" s="109" t="s">
        <v>66</v>
      </c>
      <c r="H4" s="109" t="s">
        <v>66</v>
      </c>
      <c r="I4" s="46"/>
      <c r="J4" s="46" t="s">
        <v>235</v>
      </c>
      <c r="K4" s="109" t="s">
        <v>66</v>
      </c>
      <c r="L4" s="109" t="s">
        <v>66</v>
      </c>
      <c r="M4" s="46"/>
      <c r="N4" s="46" t="s">
        <v>235</v>
      </c>
      <c r="O4" s="109" t="s">
        <v>66</v>
      </c>
      <c r="P4" s="109" t="s">
        <v>66</v>
      </c>
    </row>
    <row r="5" spans="1:42" s="80" customFormat="1" ht="12.75">
      <c r="A5" s="80" t="s">
        <v>179</v>
      </c>
      <c r="B5" s="80">
        <v>1</v>
      </c>
      <c r="C5" s="80" t="s">
        <v>236</v>
      </c>
      <c r="D5" s="83">
        <v>1</v>
      </c>
      <c r="E5" s="81"/>
      <c r="F5" s="84">
        <v>0.006513086797227127</v>
      </c>
      <c r="G5" s="84">
        <f>IF(E5=1,F5/2,F5)</f>
        <v>0.006513086797227127</v>
      </c>
      <c r="H5" s="84">
        <f>G5*$D5</f>
        <v>0.006513086797227127</v>
      </c>
      <c r="I5" s="81">
        <v>1</v>
      </c>
      <c r="J5" s="84">
        <v>0.009667299841963562</v>
      </c>
      <c r="K5" s="84">
        <f>IF(I5=1,J5/2,J5)</f>
        <v>0.004833649920981781</v>
      </c>
      <c r="L5" s="84">
        <f>K5*$D5</f>
        <v>0.004833649920981781</v>
      </c>
      <c r="M5" s="81"/>
      <c r="N5" s="84">
        <v>0.007067386215669</v>
      </c>
      <c r="O5" s="84">
        <f>IF(M5=1,N5/2,N5)</f>
        <v>0.007067386215669</v>
      </c>
      <c r="P5" s="84">
        <f>O5*$D5</f>
        <v>0.007067386215669</v>
      </c>
      <c r="Q5" s="81"/>
      <c r="R5" s="84"/>
      <c r="S5" s="81"/>
      <c r="T5" s="84"/>
      <c r="U5" s="81"/>
      <c r="V5" s="84"/>
      <c r="W5" s="81"/>
      <c r="X5" s="84"/>
      <c r="Y5" s="81"/>
      <c r="Z5" s="84"/>
      <c r="AA5" s="81"/>
      <c r="AB5" s="85"/>
      <c r="AC5" s="81"/>
      <c r="AD5" s="85"/>
      <c r="AE5" s="81"/>
      <c r="AF5" s="85"/>
      <c r="AG5" s="81"/>
      <c r="AH5" s="85"/>
      <c r="AI5" s="81"/>
      <c r="AJ5" s="85"/>
      <c r="AK5" s="81"/>
      <c r="AL5" s="85"/>
      <c r="AM5" s="81"/>
      <c r="AN5" s="85"/>
      <c r="AO5" s="81"/>
      <c r="AP5" s="85"/>
    </row>
    <row r="6" spans="1:42" s="80" customFormat="1" ht="12.75">
      <c r="A6" s="80" t="s">
        <v>179</v>
      </c>
      <c r="B6" s="80">
        <v>2</v>
      </c>
      <c r="C6" s="80" t="s">
        <v>237</v>
      </c>
      <c r="D6" s="83">
        <v>0</v>
      </c>
      <c r="E6" s="81"/>
      <c r="F6" s="84">
        <v>1.4408395348088</v>
      </c>
      <c r="G6" s="84">
        <f aca="true" t="shared" si="0" ref="G6:G37">IF(E6=1,F6/2,F6)</f>
        <v>1.4408395348088</v>
      </c>
      <c r="H6" s="84">
        <f aca="true" t="shared" si="1" ref="H6:H37">G6*$D6</f>
        <v>0</v>
      </c>
      <c r="I6" s="81"/>
      <c r="J6" s="84">
        <v>0.7535405824183177</v>
      </c>
      <c r="K6" s="84">
        <f aca="true" t="shared" si="2" ref="K6:K37">IF(I6=1,J6/2,J6)</f>
        <v>0.7535405824183177</v>
      </c>
      <c r="L6" s="84">
        <f aca="true" t="shared" si="3" ref="L6:L37">K6*$D6</f>
        <v>0</v>
      </c>
      <c r="M6" s="81"/>
      <c r="N6" s="84">
        <v>0.81126154401969</v>
      </c>
      <c r="O6" s="84">
        <f aca="true" t="shared" si="4" ref="O6:O37">IF(M6=1,N6/2,N6)</f>
        <v>0.81126154401969</v>
      </c>
      <c r="P6" s="84">
        <f aca="true" t="shared" si="5" ref="P6:P37">O6*$D6</f>
        <v>0</v>
      </c>
      <c r="Q6" s="81"/>
      <c r="R6" s="84"/>
      <c r="S6" s="81"/>
      <c r="T6" s="84"/>
      <c r="U6" s="81"/>
      <c r="V6" s="84"/>
      <c r="W6" s="81"/>
      <c r="X6" s="84"/>
      <c r="Y6" s="81"/>
      <c r="Z6" s="84"/>
      <c r="AA6" s="81"/>
      <c r="AB6" s="85"/>
      <c r="AC6" s="81"/>
      <c r="AD6" s="85"/>
      <c r="AE6" s="81"/>
      <c r="AF6" s="85"/>
      <c r="AG6" s="81"/>
      <c r="AH6" s="85"/>
      <c r="AI6" s="81"/>
      <c r="AJ6" s="85"/>
      <c r="AK6" s="81"/>
      <c r="AL6" s="85"/>
      <c r="AM6" s="81"/>
      <c r="AN6" s="85"/>
      <c r="AO6" s="81"/>
      <c r="AP6" s="85"/>
    </row>
    <row r="7" spans="1:42" s="80" customFormat="1" ht="12.75">
      <c r="A7" s="80" t="s">
        <v>179</v>
      </c>
      <c r="B7" s="80">
        <v>3</v>
      </c>
      <c r="C7" s="80" t="s">
        <v>238</v>
      </c>
      <c r="D7" s="83">
        <v>0</v>
      </c>
      <c r="E7" s="81"/>
      <c r="F7" s="84">
        <v>1.4473526216060284</v>
      </c>
      <c r="G7" s="84">
        <f t="shared" si="0"/>
        <v>1.4473526216060284</v>
      </c>
      <c r="H7" s="84">
        <f t="shared" si="1"/>
        <v>0</v>
      </c>
      <c r="I7" s="81"/>
      <c r="J7" s="84">
        <v>0.7632078822602812</v>
      </c>
      <c r="K7" s="84">
        <f t="shared" si="2"/>
        <v>0.7632078822602812</v>
      </c>
      <c r="L7" s="84">
        <f t="shared" si="3"/>
        <v>0</v>
      </c>
      <c r="M7" s="81"/>
      <c r="N7" s="84">
        <v>0.8183289302353587</v>
      </c>
      <c r="O7" s="84">
        <f t="shared" si="4"/>
        <v>0.8183289302353587</v>
      </c>
      <c r="P7" s="84">
        <f t="shared" si="5"/>
        <v>0</v>
      </c>
      <c r="Q7" s="81"/>
      <c r="R7" s="84"/>
      <c r="S7" s="81"/>
      <c r="T7" s="84"/>
      <c r="U7" s="81"/>
      <c r="V7" s="84"/>
      <c r="W7" s="81"/>
      <c r="X7" s="84"/>
      <c r="Y7" s="81"/>
      <c r="Z7" s="84"/>
      <c r="AA7" s="81"/>
      <c r="AB7" s="85"/>
      <c r="AC7" s="81"/>
      <c r="AD7" s="85"/>
      <c r="AE7" s="81"/>
      <c r="AF7" s="85"/>
      <c r="AG7" s="81"/>
      <c r="AH7" s="85"/>
      <c r="AI7" s="81"/>
      <c r="AJ7" s="85"/>
      <c r="AK7" s="81"/>
      <c r="AL7" s="85"/>
      <c r="AM7" s="81"/>
      <c r="AN7" s="85"/>
      <c r="AO7" s="81"/>
      <c r="AP7" s="85"/>
    </row>
    <row r="8" spans="1:42" s="80" customFormat="1" ht="12.75">
      <c r="A8" s="80" t="s">
        <v>179</v>
      </c>
      <c r="B8" s="80">
        <v>4</v>
      </c>
      <c r="C8" s="80" t="s">
        <v>239</v>
      </c>
      <c r="D8" s="83">
        <v>0.5</v>
      </c>
      <c r="E8" s="81"/>
      <c r="F8" s="84">
        <v>0.0036183815540150703</v>
      </c>
      <c r="G8" s="84">
        <f t="shared" si="0"/>
        <v>0.0036183815540150703</v>
      </c>
      <c r="H8" s="84">
        <f t="shared" si="1"/>
        <v>0.0018091907770075352</v>
      </c>
      <c r="I8" s="81"/>
      <c r="J8" s="84">
        <v>0.03459875732913275</v>
      </c>
      <c r="K8" s="84">
        <f t="shared" si="2"/>
        <v>0.03459875732913275</v>
      </c>
      <c r="L8" s="84">
        <f t="shared" si="3"/>
        <v>0.017299378664566375</v>
      </c>
      <c r="M8" s="81">
        <v>1</v>
      </c>
      <c r="N8" s="84">
        <v>0.0026037738689306867</v>
      </c>
      <c r="O8" s="84">
        <f t="shared" si="4"/>
        <v>0.0013018869344653434</v>
      </c>
      <c r="P8" s="84">
        <f t="shared" si="5"/>
        <v>0.0006509434672326717</v>
      </c>
      <c r="Q8" s="81"/>
      <c r="R8" s="84"/>
      <c r="S8" s="81"/>
      <c r="T8" s="84"/>
      <c r="U8" s="81"/>
      <c r="V8" s="84"/>
      <c r="W8" s="81"/>
      <c r="X8" s="84"/>
      <c r="Y8" s="81"/>
      <c r="Z8" s="84"/>
      <c r="AA8" s="81"/>
      <c r="AB8" s="85"/>
      <c r="AC8" s="81"/>
      <c r="AD8" s="85"/>
      <c r="AE8" s="81"/>
      <c r="AF8" s="85"/>
      <c r="AG8" s="81"/>
      <c r="AH8" s="85"/>
      <c r="AI8" s="81"/>
      <c r="AJ8" s="85"/>
      <c r="AK8" s="81"/>
      <c r="AL8" s="85"/>
      <c r="AM8" s="81"/>
      <c r="AN8" s="85"/>
      <c r="AO8" s="81"/>
      <c r="AP8" s="85"/>
    </row>
    <row r="9" spans="1:42" s="80" customFormat="1" ht="12.75">
      <c r="A9" s="80" t="s">
        <v>179</v>
      </c>
      <c r="B9" s="80">
        <v>5</v>
      </c>
      <c r="C9" s="80" t="s">
        <v>240</v>
      </c>
      <c r="D9" s="83">
        <v>0</v>
      </c>
      <c r="E9" s="81"/>
      <c r="F9" s="84">
        <v>0.026776023499711525</v>
      </c>
      <c r="G9" s="84">
        <f t="shared" si="0"/>
        <v>0.026776023499711525</v>
      </c>
      <c r="H9" s="84">
        <f t="shared" si="1"/>
        <v>0</v>
      </c>
      <c r="I9" s="81"/>
      <c r="J9" s="84">
        <v>0</v>
      </c>
      <c r="K9" s="84">
        <f t="shared" si="2"/>
        <v>0</v>
      </c>
      <c r="L9" s="84">
        <f t="shared" si="3"/>
        <v>0</v>
      </c>
      <c r="M9" s="81"/>
      <c r="N9" s="84">
        <v>0.03831267264283724</v>
      </c>
      <c r="O9" s="84">
        <f t="shared" si="4"/>
        <v>0.03831267264283724</v>
      </c>
      <c r="P9" s="84">
        <f t="shared" si="5"/>
        <v>0</v>
      </c>
      <c r="Q9" s="81"/>
      <c r="R9" s="84"/>
      <c r="S9" s="81"/>
      <c r="T9" s="84"/>
      <c r="U9" s="81"/>
      <c r="V9" s="84"/>
      <c r="W9" s="81"/>
      <c r="X9" s="84"/>
      <c r="Y9" s="81"/>
      <c r="Z9" s="84"/>
      <c r="AA9" s="81"/>
      <c r="AB9" s="85"/>
      <c r="AC9" s="81"/>
      <c r="AD9" s="85"/>
      <c r="AE9" s="81"/>
      <c r="AF9" s="85"/>
      <c r="AG9" s="81"/>
      <c r="AH9" s="85"/>
      <c r="AI9" s="81"/>
      <c r="AJ9" s="85"/>
      <c r="AK9" s="81"/>
      <c r="AL9" s="85"/>
      <c r="AM9" s="81"/>
      <c r="AN9" s="85"/>
      <c r="AO9" s="81"/>
      <c r="AP9" s="85"/>
    </row>
    <row r="10" spans="1:42" s="80" customFormat="1" ht="12.75">
      <c r="A10" s="80" t="s">
        <v>179</v>
      </c>
      <c r="B10" s="80">
        <v>6</v>
      </c>
      <c r="C10" s="80" t="s">
        <v>241</v>
      </c>
      <c r="D10" s="83">
        <v>0</v>
      </c>
      <c r="E10" s="81"/>
      <c r="F10" s="84">
        <v>0.030394405053726595</v>
      </c>
      <c r="G10" s="84">
        <f t="shared" si="0"/>
        <v>0.030394405053726595</v>
      </c>
      <c r="H10" s="84">
        <f t="shared" si="1"/>
        <v>0</v>
      </c>
      <c r="I10" s="81"/>
      <c r="J10" s="84">
        <v>0.03459875732913275</v>
      </c>
      <c r="K10" s="84">
        <f t="shared" si="2"/>
        <v>0.03459875732913275</v>
      </c>
      <c r="L10" s="84">
        <f t="shared" si="3"/>
        <v>0</v>
      </c>
      <c r="M10" s="81"/>
      <c r="N10" s="84">
        <v>0.040916446511768</v>
      </c>
      <c r="O10" s="84">
        <f t="shared" si="4"/>
        <v>0.040916446511768</v>
      </c>
      <c r="P10" s="84">
        <f t="shared" si="5"/>
        <v>0</v>
      </c>
      <c r="Q10" s="81"/>
      <c r="R10" s="84"/>
      <c r="S10" s="81"/>
      <c r="T10" s="84"/>
      <c r="U10" s="81"/>
      <c r="V10" s="84"/>
      <c r="W10" s="81"/>
      <c r="X10" s="84"/>
      <c r="Y10" s="81"/>
      <c r="Z10" s="84"/>
      <c r="AA10" s="81"/>
      <c r="AB10" s="85"/>
      <c r="AC10" s="81"/>
      <c r="AD10" s="85"/>
      <c r="AE10" s="81"/>
      <c r="AF10" s="85"/>
      <c r="AG10" s="81"/>
      <c r="AH10" s="85"/>
      <c r="AI10" s="81"/>
      <c r="AJ10" s="85"/>
      <c r="AK10" s="81"/>
      <c r="AL10" s="85"/>
      <c r="AM10" s="81"/>
      <c r="AN10" s="85"/>
      <c r="AO10" s="81"/>
      <c r="AP10" s="85"/>
    </row>
    <row r="11" spans="1:42" s="80" customFormat="1" ht="12.75">
      <c r="A11" s="80" t="s">
        <v>179</v>
      </c>
      <c r="B11" s="80">
        <v>7</v>
      </c>
      <c r="C11" s="80" t="s">
        <v>242</v>
      </c>
      <c r="D11" s="83">
        <v>0.1</v>
      </c>
      <c r="E11" s="81">
        <v>1</v>
      </c>
      <c r="F11" s="84">
        <v>0.003328911029693865</v>
      </c>
      <c r="G11" s="84">
        <f t="shared" si="0"/>
        <v>0.0016644555148469325</v>
      </c>
      <c r="H11" s="84">
        <f t="shared" si="1"/>
        <v>0.00016644555148469326</v>
      </c>
      <c r="I11" s="81">
        <v>1</v>
      </c>
      <c r="J11" s="84">
        <v>0.0046810083445297255</v>
      </c>
      <c r="K11" s="84">
        <f t="shared" si="2"/>
        <v>0.0023405041722648627</v>
      </c>
      <c r="L11" s="84">
        <f t="shared" si="3"/>
        <v>0.0002340504172264863</v>
      </c>
      <c r="M11" s="81"/>
      <c r="N11" s="84">
        <v>0.002269002942925313</v>
      </c>
      <c r="O11" s="84">
        <f t="shared" si="4"/>
        <v>0.002269002942925313</v>
      </c>
      <c r="P11" s="84">
        <f t="shared" si="5"/>
        <v>0.0002269002942925313</v>
      </c>
      <c r="Q11" s="81"/>
      <c r="R11" s="84"/>
      <c r="S11" s="81"/>
      <c r="T11" s="84"/>
      <c r="U11" s="81"/>
      <c r="V11" s="84"/>
      <c r="W11" s="81"/>
      <c r="X11" s="84"/>
      <c r="Y11" s="81"/>
      <c r="Z11" s="84"/>
      <c r="AA11" s="81"/>
      <c r="AB11" s="85"/>
      <c r="AC11" s="81"/>
      <c r="AD11" s="85"/>
      <c r="AE11" s="81"/>
      <c r="AF11" s="85"/>
      <c r="AG11" s="81"/>
      <c r="AH11" s="85"/>
      <c r="AI11" s="81"/>
      <c r="AJ11" s="85"/>
      <c r="AK11" s="81"/>
      <c r="AL11" s="85"/>
      <c r="AM11" s="81"/>
      <c r="AN11" s="85"/>
      <c r="AO11" s="81"/>
      <c r="AP11" s="85"/>
    </row>
    <row r="12" spans="1:42" s="80" customFormat="1" ht="12.75">
      <c r="A12" s="80" t="s">
        <v>179</v>
      </c>
      <c r="B12" s="80">
        <v>8</v>
      </c>
      <c r="C12" s="80" t="s">
        <v>243</v>
      </c>
      <c r="D12" s="83">
        <v>0.1</v>
      </c>
      <c r="E12" s="81">
        <v>1</v>
      </c>
      <c r="F12" s="84">
        <v>0.003980219709416578</v>
      </c>
      <c r="G12" s="84">
        <f t="shared" si="0"/>
        <v>0.001990109854708289</v>
      </c>
      <c r="H12" s="84">
        <f t="shared" si="1"/>
        <v>0.0001990109854708289</v>
      </c>
      <c r="I12" s="81"/>
      <c r="J12" s="84">
        <v>0.004172203089689538</v>
      </c>
      <c r="K12" s="84">
        <f t="shared" si="2"/>
        <v>0.004172203089689538</v>
      </c>
      <c r="L12" s="84">
        <f t="shared" si="3"/>
        <v>0.0004172203089689538</v>
      </c>
      <c r="M12" s="81"/>
      <c r="N12" s="84">
        <v>0.0037196769556152665</v>
      </c>
      <c r="O12" s="84">
        <f t="shared" si="4"/>
        <v>0.0037196769556152665</v>
      </c>
      <c r="P12" s="84">
        <f t="shared" si="5"/>
        <v>0.0003719676955615267</v>
      </c>
      <c r="Q12" s="81"/>
      <c r="R12" s="84"/>
      <c r="S12" s="81"/>
      <c r="T12" s="84"/>
      <c r="U12" s="81"/>
      <c r="V12" s="84"/>
      <c r="W12" s="81"/>
      <c r="X12" s="84"/>
      <c r="Y12" s="81"/>
      <c r="Z12" s="84"/>
      <c r="AA12" s="81"/>
      <c r="AB12" s="85"/>
      <c r="AC12" s="81"/>
      <c r="AD12" s="85"/>
      <c r="AE12" s="81"/>
      <c r="AF12" s="85"/>
      <c r="AG12" s="81"/>
      <c r="AH12" s="85"/>
      <c r="AI12" s="81"/>
      <c r="AJ12" s="85"/>
      <c r="AK12" s="81"/>
      <c r="AL12" s="85"/>
      <c r="AM12" s="81"/>
      <c r="AN12" s="85"/>
      <c r="AO12" s="81"/>
      <c r="AP12" s="85"/>
    </row>
    <row r="13" spans="1:42" s="80" customFormat="1" ht="12.75">
      <c r="A13" s="80" t="s">
        <v>179</v>
      </c>
      <c r="B13" s="80">
        <v>9</v>
      </c>
      <c r="C13" s="80" t="s">
        <v>244</v>
      </c>
      <c r="D13" s="83">
        <v>0.1</v>
      </c>
      <c r="E13" s="81">
        <v>1</v>
      </c>
      <c r="F13" s="84">
        <v>0.0032203595830734132</v>
      </c>
      <c r="G13" s="84">
        <f t="shared" si="0"/>
        <v>0.0016101797915367066</v>
      </c>
      <c r="H13" s="84">
        <f t="shared" si="1"/>
        <v>0.00016101797915367067</v>
      </c>
      <c r="I13" s="81"/>
      <c r="J13" s="84">
        <v>0.005596857803242063</v>
      </c>
      <c r="K13" s="84">
        <f t="shared" si="2"/>
        <v>0.005596857803242063</v>
      </c>
      <c r="L13" s="84">
        <f t="shared" si="3"/>
        <v>0.0005596857803242064</v>
      </c>
      <c r="M13" s="81"/>
      <c r="N13" s="84">
        <v>0.0055795154334229</v>
      </c>
      <c r="O13" s="84">
        <f t="shared" si="4"/>
        <v>0.0055795154334229</v>
      </c>
      <c r="P13" s="84">
        <f t="shared" si="5"/>
        <v>0.00055795154334229</v>
      </c>
      <c r="Q13" s="81"/>
      <c r="R13" s="84"/>
      <c r="S13" s="81"/>
      <c r="T13" s="84"/>
      <c r="U13" s="81"/>
      <c r="V13" s="84"/>
      <c r="W13" s="81"/>
      <c r="X13" s="84"/>
      <c r="Y13" s="81"/>
      <c r="Z13" s="84"/>
      <c r="AA13" s="81"/>
      <c r="AB13" s="85"/>
      <c r="AC13" s="81"/>
      <c r="AD13" s="85"/>
      <c r="AE13" s="81"/>
      <c r="AF13" s="85"/>
      <c r="AG13" s="81"/>
      <c r="AH13" s="85"/>
      <c r="AI13" s="81"/>
      <c r="AJ13" s="85"/>
      <c r="AK13" s="81"/>
      <c r="AL13" s="85"/>
      <c r="AM13" s="81"/>
      <c r="AN13" s="85"/>
      <c r="AO13" s="81"/>
      <c r="AP13" s="85"/>
    </row>
    <row r="14" spans="1:42" s="80" customFormat="1" ht="12.75">
      <c r="A14" s="80" t="s">
        <v>179</v>
      </c>
      <c r="B14" s="80">
        <v>10</v>
      </c>
      <c r="C14" s="80" t="s">
        <v>245</v>
      </c>
      <c r="D14" s="83">
        <v>0</v>
      </c>
      <c r="E14" s="81"/>
      <c r="F14" s="84">
        <v>0.0014111688060658755</v>
      </c>
      <c r="G14" s="84">
        <f t="shared" si="0"/>
        <v>0.0014111688060658755</v>
      </c>
      <c r="H14" s="84">
        <f t="shared" si="1"/>
        <v>0</v>
      </c>
      <c r="I14" s="81"/>
      <c r="J14" s="84">
        <v>0.015060635543269557</v>
      </c>
      <c r="K14" s="84">
        <f t="shared" si="2"/>
        <v>0.015060635543269557</v>
      </c>
      <c r="L14" s="84">
        <f t="shared" si="3"/>
        <v>0</v>
      </c>
      <c r="M14" s="81"/>
      <c r="N14" s="84">
        <v>0.012237737183974227</v>
      </c>
      <c r="O14" s="84">
        <f t="shared" si="4"/>
        <v>0.012237737183974227</v>
      </c>
      <c r="P14" s="84">
        <f t="shared" si="5"/>
        <v>0</v>
      </c>
      <c r="Q14" s="81"/>
      <c r="R14" s="84"/>
      <c r="S14" s="81"/>
      <c r="T14" s="84"/>
      <c r="U14" s="81"/>
      <c r="V14" s="84"/>
      <c r="W14" s="81"/>
      <c r="X14" s="84"/>
      <c r="Y14" s="81"/>
      <c r="Z14" s="84"/>
      <c r="AA14" s="81"/>
      <c r="AB14" s="85"/>
      <c r="AC14" s="81"/>
      <c r="AD14" s="85"/>
      <c r="AE14" s="81"/>
      <c r="AF14" s="85"/>
      <c r="AG14" s="81"/>
      <c r="AH14" s="85"/>
      <c r="AI14" s="81"/>
      <c r="AJ14" s="85"/>
      <c r="AK14" s="81"/>
      <c r="AL14" s="85"/>
      <c r="AM14" s="81"/>
      <c r="AN14" s="85"/>
      <c r="AO14" s="81"/>
      <c r="AP14" s="85"/>
    </row>
    <row r="15" spans="1:42" s="80" customFormat="1" ht="12.75">
      <c r="A15" s="80" t="s">
        <v>179</v>
      </c>
      <c r="B15" s="80">
        <v>11</v>
      </c>
      <c r="C15" s="80" t="s">
        <v>246</v>
      </c>
      <c r="D15" s="83">
        <v>0</v>
      </c>
      <c r="E15" s="81"/>
      <c r="F15" s="84">
        <v>0.011940659128249731</v>
      </c>
      <c r="G15" s="84">
        <f t="shared" si="0"/>
        <v>0.011940659128249731</v>
      </c>
      <c r="H15" s="84">
        <f t="shared" si="1"/>
        <v>0</v>
      </c>
      <c r="I15" s="81"/>
      <c r="J15" s="84">
        <v>0.02951070478073088</v>
      </c>
      <c r="K15" s="84">
        <f t="shared" si="2"/>
        <v>0.02951070478073088</v>
      </c>
      <c r="L15" s="84">
        <f t="shared" si="3"/>
        <v>0</v>
      </c>
      <c r="M15" s="81"/>
      <c r="N15" s="84">
        <v>0.023805932515937704</v>
      </c>
      <c r="O15" s="84">
        <f t="shared" si="4"/>
        <v>0.023805932515937704</v>
      </c>
      <c r="P15" s="84">
        <f t="shared" si="5"/>
        <v>0</v>
      </c>
      <c r="Q15" s="81"/>
      <c r="R15" s="84"/>
      <c r="S15" s="81"/>
      <c r="T15" s="84"/>
      <c r="U15" s="81"/>
      <c r="V15" s="84"/>
      <c r="W15" s="81"/>
      <c r="X15" s="84"/>
      <c r="Y15" s="81"/>
      <c r="Z15" s="84"/>
      <c r="AA15" s="81"/>
      <c r="AB15" s="85"/>
      <c r="AC15" s="81"/>
      <c r="AD15" s="85"/>
      <c r="AE15" s="81"/>
      <c r="AF15" s="85"/>
      <c r="AG15" s="81"/>
      <c r="AH15" s="85"/>
      <c r="AI15" s="81"/>
      <c r="AJ15" s="85"/>
      <c r="AK15" s="81"/>
      <c r="AL15" s="85"/>
      <c r="AM15" s="81"/>
      <c r="AN15" s="85"/>
      <c r="AO15" s="81"/>
      <c r="AP15" s="85"/>
    </row>
    <row r="16" spans="1:42" s="80" customFormat="1" ht="12.75">
      <c r="A16" s="80" t="s">
        <v>179</v>
      </c>
      <c r="B16" s="80">
        <v>12</v>
      </c>
      <c r="C16" s="80" t="s">
        <v>247</v>
      </c>
      <c r="D16" s="83">
        <v>0.01</v>
      </c>
      <c r="E16" s="81"/>
      <c r="F16" s="84">
        <v>0.014835364371461792</v>
      </c>
      <c r="G16" s="84">
        <f t="shared" si="0"/>
        <v>0.014835364371461792</v>
      </c>
      <c r="H16" s="84">
        <f t="shared" si="1"/>
        <v>0.00014835364371461793</v>
      </c>
      <c r="I16" s="81"/>
      <c r="J16" s="84">
        <v>0.03561636783881313</v>
      </c>
      <c r="K16" s="84">
        <f t="shared" si="2"/>
        <v>0.03561636783881313</v>
      </c>
      <c r="L16" s="84">
        <f t="shared" si="3"/>
        <v>0.0003561636783881313</v>
      </c>
      <c r="M16" s="81"/>
      <c r="N16" s="84">
        <v>0.024177900211499237</v>
      </c>
      <c r="O16" s="84">
        <f t="shared" si="4"/>
        <v>0.024177900211499237</v>
      </c>
      <c r="P16" s="84">
        <f t="shared" si="5"/>
        <v>0.00024177900211499236</v>
      </c>
      <c r="Q16" s="81"/>
      <c r="R16" s="84"/>
      <c r="S16" s="81"/>
      <c r="T16" s="84"/>
      <c r="U16" s="81"/>
      <c r="V16" s="84"/>
      <c r="W16" s="81"/>
      <c r="X16" s="84"/>
      <c r="Y16" s="81"/>
      <c r="Z16" s="84"/>
      <c r="AA16" s="81"/>
      <c r="AB16" s="85"/>
      <c r="AC16" s="81"/>
      <c r="AD16" s="85"/>
      <c r="AE16" s="81"/>
      <c r="AF16" s="85"/>
      <c r="AG16" s="81"/>
      <c r="AH16" s="85"/>
      <c r="AI16" s="81"/>
      <c r="AJ16" s="85"/>
      <c r="AK16" s="81"/>
      <c r="AL16" s="85"/>
      <c r="AM16" s="81"/>
      <c r="AN16" s="85"/>
      <c r="AO16" s="81"/>
      <c r="AP16" s="85"/>
    </row>
    <row r="17" spans="1:42" s="80" customFormat="1" ht="12.75">
      <c r="A17" s="80" t="s">
        <v>179</v>
      </c>
      <c r="B17" s="80">
        <v>13</v>
      </c>
      <c r="C17" s="80" t="s">
        <v>248</v>
      </c>
      <c r="D17" s="83">
        <v>0</v>
      </c>
      <c r="E17" s="81"/>
      <c r="F17" s="84">
        <v>0.011216982817446715</v>
      </c>
      <c r="G17" s="84">
        <f t="shared" si="0"/>
        <v>0.011216982817446715</v>
      </c>
      <c r="H17" s="84">
        <f t="shared" si="1"/>
        <v>0</v>
      </c>
      <c r="I17" s="81"/>
      <c r="J17" s="84">
        <v>0.025440262742009376</v>
      </c>
      <c r="K17" s="84">
        <f t="shared" si="2"/>
        <v>0.025440262742009376</v>
      </c>
      <c r="L17" s="84">
        <f t="shared" si="3"/>
        <v>0</v>
      </c>
      <c r="M17" s="81"/>
      <c r="N17" s="84">
        <v>-0.00185983847780764</v>
      </c>
      <c r="O17" s="84">
        <f t="shared" si="4"/>
        <v>-0.00185983847780764</v>
      </c>
      <c r="P17" s="84">
        <f t="shared" si="5"/>
        <v>0</v>
      </c>
      <c r="Q17" s="81"/>
      <c r="R17" s="84"/>
      <c r="S17" s="81"/>
      <c r="T17" s="84"/>
      <c r="U17" s="81"/>
      <c r="V17" s="84"/>
      <c r="W17" s="81"/>
      <c r="X17" s="84"/>
      <c r="Y17" s="81"/>
      <c r="Z17" s="84"/>
      <c r="AA17" s="81"/>
      <c r="AB17" s="85"/>
      <c r="AC17" s="81"/>
      <c r="AD17" s="85"/>
      <c r="AE17" s="81"/>
      <c r="AF17" s="85"/>
      <c r="AG17" s="81"/>
      <c r="AH17" s="85"/>
      <c r="AI17" s="81"/>
      <c r="AJ17" s="85"/>
      <c r="AK17" s="81"/>
      <c r="AL17" s="85"/>
      <c r="AM17" s="81"/>
      <c r="AN17" s="85"/>
      <c r="AO17" s="81"/>
      <c r="AP17" s="85"/>
    </row>
    <row r="18" spans="1:42" s="80" customFormat="1" ht="12.75">
      <c r="A18" s="80" t="s">
        <v>179</v>
      </c>
      <c r="B18" s="80">
        <v>14</v>
      </c>
      <c r="C18" s="80" t="s">
        <v>249</v>
      </c>
      <c r="D18" s="83">
        <v>0</v>
      </c>
      <c r="E18" s="81"/>
      <c r="F18" s="84">
        <v>0.026052347188908507</v>
      </c>
      <c r="G18" s="84">
        <f t="shared" si="0"/>
        <v>0.026052347188908507</v>
      </c>
      <c r="H18" s="84">
        <f t="shared" si="1"/>
        <v>0</v>
      </c>
      <c r="I18" s="81"/>
      <c r="J18" s="84">
        <v>0.06105663058082251</v>
      </c>
      <c r="K18" s="84">
        <f t="shared" si="2"/>
        <v>0.06105663058082251</v>
      </c>
      <c r="L18" s="84">
        <f t="shared" si="3"/>
        <v>0</v>
      </c>
      <c r="M18" s="81"/>
      <c r="N18" s="84">
        <v>0.022318061733691597</v>
      </c>
      <c r="O18" s="84">
        <f t="shared" si="4"/>
        <v>0.022318061733691597</v>
      </c>
      <c r="P18" s="84">
        <f t="shared" si="5"/>
        <v>0</v>
      </c>
      <c r="Q18" s="81"/>
      <c r="R18" s="84"/>
      <c r="S18" s="81"/>
      <c r="T18" s="84"/>
      <c r="U18" s="81"/>
      <c r="V18" s="84"/>
      <c r="W18" s="81"/>
      <c r="X18" s="84"/>
      <c r="Y18" s="81"/>
      <c r="Z18" s="84"/>
      <c r="AA18" s="81"/>
      <c r="AB18" s="85"/>
      <c r="AC18" s="81"/>
      <c r="AD18" s="85"/>
      <c r="AE18" s="81"/>
      <c r="AF18" s="85"/>
      <c r="AG18" s="81"/>
      <c r="AH18" s="85"/>
      <c r="AI18" s="81"/>
      <c r="AJ18" s="85"/>
      <c r="AK18" s="81"/>
      <c r="AL18" s="85"/>
      <c r="AM18" s="81"/>
      <c r="AN18" s="85"/>
      <c r="AO18" s="81"/>
      <c r="AP18" s="85"/>
    </row>
    <row r="19" spans="1:42" s="80" customFormat="1" ht="12.75">
      <c r="A19" s="80" t="s">
        <v>179</v>
      </c>
      <c r="B19" s="80">
        <v>15</v>
      </c>
      <c r="C19" s="80" t="s">
        <v>250</v>
      </c>
      <c r="D19" s="83">
        <v>0.001</v>
      </c>
      <c r="E19" s="81"/>
      <c r="F19" s="84">
        <v>0.15197202526863296</v>
      </c>
      <c r="G19" s="84">
        <f t="shared" si="0"/>
        <v>0.15197202526863296</v>
      </c>
      <c r="H19" s="84">
        <f t="shared" si="1"/>
        <v>0.00015197202526863297</v>
      </c>
      <c r="I19" s="81"/>
      <c r="J19" s="84">
        <v>1.6281768154886</v>
      </c>
      <c r="K19" s="84">
        <f t="shared" si="2"/>
        <v>1.6281768154886</v>
      </c>
      <c r="L19" s="84">
        <f t="shared" si="3"/>
        <v>0.0016281768154886</v>
      </c>
      <c r="M19" s="81"/>
      <c r="N19" s="84">
        <v>1.1530998562407329</v>
      </c>
      <c r="O19" s="84">
        <f t="shared" si="4"/>
        <v>1.1530998562407329</v>
      </c>
      <c r="P19" s="84">
        <f t="shared" si="5"/>
        <v>0.001153099856240733</v>
      </c>
      <c r="Q19" s="81"/>
      <c r="R19" s="84"/>
      <c r="S19" s="81"/>
      <c r="T19" s="84"/>
      <c r="U19" s="81"/>
      <c r="V19" s="84"/>
      <c r="W19" s="81"/>
      <c r="X19" s="84"/>
      <c r="Y19" s="81"/>
      <c r="Z19" s="84"/>
      <c r="AA19" s="81"/>
      <c r="AB19" s="85"/>
      <c r="AC19" s="81"/>
      <c r="AD19" s="85"/>
      <c r="AE19" s="81"/>
      <c r="AF19" s="85"/>
      <c r="AG19" s="81"/>
      <c r="AH19" s="85"/>
      <c r="AI19" s="81"/>
      <c r="AJ19" s="85"/>
      <c r="AK19" s="81"/>
      <c r="AL19" s="85"/>
      <c r="AM19" s="81"/>
      <c r="AN19" s="85"/>
      <c r="AO19" s="81"/>
      <c r="AP19" s="85"/>
    </row>
    <row r="20" spans="1:42" s="80" customFormat="1" ht="12.75">
      <c r="A20" s="80" t="s">
        <v>179</v>
      </c>
      <c r="B20" s="80">
        <v>16</v>
      </c>
      <c r="C20" s="80" t="s">
        <v>251</v>
      </c>
      <c r="D20" s="83">
        <v>0.1</v>
      </c>
      <c r="E20" s="81"/>
      <c r="F20" s="84">
        <v>2.388131825649947</v>
      </c>
      <c r="G20" s="84">
        <f t="shared" si="0"/>
        <v>2.388131825649947</v>
      </c>
      <c r="H20" s="84">
        <f t="shared" si="1"/>
        <v>0.23881318256499473</v>
      </c>
      <c r="I20" s="81"/>
      <c r="J20" s="84">
        <v>0.5037172022917857</v>
      </c>
      <c r="K20" s="84">
        <f t="shared" si="2"/>
        <v>0.5037172022917857</v>
      </c>
      <c r="L20" s="84">
        <f t="shared" si="3"/>
        <v>0.050371720229178574</v>
      </c>
      <c r="M20" s="81"/>
      <c r="N20" s="84">
        <v>0.2640970638486839</v>
      </c>
      <c r="O20" s="84">
        <f t="shared" si="4"/>
        <v>0.2640970638486839</v>
      </c>
      <c r="P20" s="84">
        <f t="shared" si="5"/>
        <v>0.026409706384868392</v>
      </c>
      <c r="Q20" s="81"/>
      <c r="R20" s="84"/>
      <c r="S20" s="81"/>
      <c r="T20" s="84"/>
      <c r="U20" s="81"/>
      <c r="V20" s="84"/>
      <c r="W20" s="81"/>
      <c r="X20" s="84"/>
      <c r="Y20" s="81"/>
      <c r="Z20" s="84"/>
      <c r="AA20" s="81"/>
      <c r="AB20" s="85"/>
      <c r="AC20" s="81"/>
      <c r="AD20" s="85"/>
      <c r="AE20" s="81"/>
      <c r="AF20" s="85"/>
      <c r="AG20" s="81"/>
      <c r="AH20" s="85"/>
      <c r="AI20" s="81"/>
      <c r="AJ20" s="85"/>
      <c r="AK20" s="81"/>
      <c r="AL20" s="85"/>
      <c r="AM20" s="81"/>
      <c r="AN20" s="85"/>
      <c r="AO20" s="81"/>
      <c r="AP20" s="85"/>
    </row>
    <row r="21" spans="1:42" s="80" customFormat="1" ht="12.75">
      <c r="A21" s="80" t="s">
        <v>179</v>
      </c>
      <c r="B21" s="80">
        <v>17</v>
      </c>
      <c r="C21" s="80" t="s">
        <v>252</v>
      </c>
      <c r="D21" s="83">
        <v>0</v>
      </c>
      <c r="E21" s="81"/>
      <c r="F21" s="84">
        <v>11.361718079607321</v>
      </c>
      <c r="G21" s="84">
        <f t="shared" si="0"/>
        <v>11.361718079607321</v>
      </c>
      <c r="H21" s="84">
        <f t="shared" si="1"/>
        <v>0</v>
      </c>
      <c r="I21" s="81"/>
      <c r="J21" s="84">
        <v>2.1420701228772</v>
      </c>
      <c r="K21" s="84">
        <f t="shared" si="2"/>
        <v>2.1420701228772</v>
      </c>
      <c r="L21" s="84">
        <f t="shared" si="3"/>
        <v>0</v>
      </c>
      <c r="M21" s="81"/>
      <c r="N21" s="84">
        <v>1.8561188008520177</v>
      </c>
      <c r="O21" s="84">
        <f t="shared" si="4"/>
        <v>1.8561188008520177</v>
      </c>
      <c r="P21" s="84">
        <f t="shared" si="5"/>
        <v>0</v>
      </c>
      <c r="Q21" s="81"/>
      <c r="R21" s="84"/>
      <c r="S21" s="81"/>
      <c r="T21" s="84"/>
      <c r="U21" s="81"/>
      <c r="V21" s="84"/>
      <c r="W21" s="81"/>
      <c r="X21" s="84"/>
      <c r="Y21" s="81"/>
      <c r="Z21" s="84"/>
      <c r="AA21" s="81"/>
      <c r="AB21" s="85"/>
      <c r="AC21" s="81"/>
      <c r="AD21" s="85"/>
      <c r="AE21" s="81"/>
      <c r="AF21" s="85"/>
      <c r="AG21" s="81"/>
      <c r="AH21" s="85"/>
      <c r="AI21" s="81"/>
      <c r="AJ21" s="85"/>
      <c r="AK21" s="81"/>
      <c r="AL21" s="85"/>
      <c r="AM21" s="81"/>
      <c r="AN21" s="85"/>
      <c r="AO21" s="81"/>
      <c r="AP21" s="85"/>
    </row>
    <row r="22" spans="1:42" s="80" customFormat="1" ht="12.75">
      <c r="A22" s="80" t="s">
        <v>179</v>
      </c>
      <c r="B22" s="80">
        <v>18</v>
      </c>
      <c r="C22" s="80" t="s">
        <v>253</v>
      </c>
      <c r="D22" s="83">
        <v>0</v>
      </c>
      <c r="E22" s="81"/>
      <c r="F22" s="84">
        <v>13.74984990525727</v>
      </c>
      <c r="G22" s="84">
        <f t="shared" si="0"/>
        <v>13.74984990525727</v>
      </c>
      <c r="H22" s="84">
        <f t="shared" si="1"/>
        <v>0</v>
      </c>
      <c r="I22" s="81"/>
      <c r="J22" s="84">
        <v>2.6457873251689756</v>
      </c>
      <c r="K22" s="84">
        <f t="shared" si="2"/>
        <v>2.6457873251689756</v>
      </c>
      <c r="L22" s="84">
        <f t="shared" si="3"/>
        <v>0</v>
      </c>
      <c r="M22" s="81"/>
      <c r="N22" s="84">
        <v>2.1202158647007</v>
      </c>
      <c r="O22" s="84">
        <f t="shared" si="4"/>
        <v>2.1202158647007</v>
      </c>
      <c r="P22" s="84">
        <f t="shared" si="5"/>
        <v>0</v>
      </c>
      <c r="Q22" s="81"/>
      <c r="R22" s="84"/>
      <c r="S22" s="81"/>
      <c r="T22" s="84"/>
      <c r="U22" s="81"/>
      <c r="V22" s="84"/>
      <c r="W22" s="81"/>
      <c r="X22" s="84"/>
      <c r="Y22" s="81"/>
      <c r="Z22" s="84"/>
      <c r="AA22" s="81"/>
      <c r="AB22" s="85"/>
      <c r="AC22" s="81"/>
      <c r="AD22" s="85"/>
      <c r="AE22" s="81"/>
      <c r="AF22" s="85"/>
      <c r="AG22" s="81"/>
      <c r="AH22" s="85"/>
      <c r="AI22" s="81"/>
      <c r="AJ22" s="85"/>
      <c r="AK22" s="81"/>
      <c r="AL22" s="85"/>
      <c r="AM22" s="81"/>
      <c r="AN22" s="85"/>
      <c r="AO22" s="81"/>
      <c r="AP22" s="85"/>
    </row>
    <row r="23" spans="1:42" s="80" customFormat="1" ht="12.75">
      <c r="A23" s="80" t="s">
        <v>179</v>
      </c>
      <c r="B23" s="80">
        <v>19</v>
      </c>
      <c r="C23" s="80" t="s">
        <v>254</v>
      </c>
      <c r="D23" s="83">
        <v>0.05</v>
      </c>
      <c r="E23" s="81"/>
      <c r="F23" s="84">
        <v>0.22072127479492</v>
      </c>
      <c r="G23" s="84">
        <f t="shared" si="0"/>
        <v>0.22072127479492</v>
      </c>
      <c r="H23" s="84">
        <f t="shared" si="1"/>
        <v>0.011036063739746001</v>
      </c>
      <c r="I23" s="81"/>
      <c r="J23" s="84">
        <v>0.03561636783881313</v>
      </c>
      <c r="K23" s="84">
        <f t="shared" si="2"/>
        <v>0.03561636783881313</v>
      </c>
      <c r="L23" s="84">
        <f t="shared" si="3"/>
        <v>0.0017808183919406568</v>
      </c>
      <c r="M23" s="81"/>
      <c r="N23" s="84">
        <v>0.01711051399583022</v>
      </c>
      <c r="O23" s="84">
        <f t="shared" si="4"/>
        <v>0.01711051399583022</v>
      </c>
      <c r="P23" s="84">
        <f t="shared" si="5"/>
        <v>0.0008555256997915111</v>
      </c>
      <c r="Q23" s="81"/>
      <c r="R23" s="84"/>
      <c r="S23" s="81"/>
      <c r="T23" s="84"/>
      <c r="U23" s="81"/>
      <c r="V23" s="84"/>
      <c r="W23" s="81"/>
      <c r="X23" s="84"/>
      <c r="Y23" s="81"/>
      <c r="Z23" s="84"/>
      <c r="AA23" s="81"/>
      <c r="AB23" s="85"/>
      <c r="AC23" s="81"/>
      <c r="AD23" s="85"/>
      <c r="AE23" s="81"/>
      <c r="AF23" s="85"/>
      <c r="AG23" s="81"/>
      <c r="AH23" s="85"/>
      <c r="AI23" s="81"/>
      <c r="AJ23" s="85"/>
      <c r="AK23" s="81"/>
      <c r="AL23" s="85"/>
      <c r="AM23" s="81"/>
      <c r="AN23" s="85"/>
      <c r="AO23" s="81"/>
      <c r="AP23" s="85"/>
    </row>
    <row r="24" spans="1:42" s="80" customFormat="1" ht="12.75">
      <c r="A24" s="80" t="s">
        <v>179</v>
      </c>
      <c r="B24" s="80">
        <v>20</v>
      </c>
      <c r="C24" s="80" t="s">
        <v>255</v>
      </c>
      <c r="D24" s="83">
        <v>0.5</v>
      </c>
      <c r="E24" s="81"/>
      <c r="F24" s="84">
        <v>0.3509830107394619</v>
      </c>
      <c r="G24" s="84">
        <f t="shared" si="0"/>
        <v>0.3509830107394619</v>
      </c>
      <c r="H24" s="84">
        <f t="shared" si="1"/>
        <v>0.17549150536973096</v>
      </c>
      <c r="I24" s="81"/>
      <c r="J24" s="84">
        <v>0.06105663058082251</v>
      </c>
      <c r="K24" s="84">
        <f t="shared" si="2"/>
        <v>0.06105663058082251</v>
      </c>
      <c r="L24" s="84">
        <f t="shared" si="3"/>
        <v>0.030528315290411254</v>
      </c>
      <c r="M24" s="81"/>
      <c r="N24" s="84">
        <v>0.03570889877390656</v>
      </c>
      <c r="O24" s="84">
        <f t="shared" si="4"/>
        <v>0.03570889877390656</v>
      </c>
      <c r="P24" s="84">
        <f t="shared" si="5"/>
        <v>0.01785444938695328</v>
      </c>
      <c r="Q24" s="81"/>
      <c r="R24" s="84"/>
      <c r="S24" s="81"/>
      <c r="T24" s="84"/>
      <c r="U24" s="81"/>
      <c r="V24" s="84"/>
      <c r="W24" s="81"/>
      <c r="X24" s="84"/>
      <c r="Y24" s="81"/>
      <c r="Z24" s="84"/>
      <c r="AA24" s="81"/>
      <c r="AB24" s="85"/>
      <c r="AC24" s="81"/>
      <c r="AD24" s="85"/>
      <c r="AE24" s="81"/>
      <c r="AF24" s="85"/>
      <c r="AG24" s="81"/>
      <c r="AH24" s="85"/>
      <c r="AI24" s="81"/>
      <c r="AJ24" s="85"/>
      <c r="AK24" s="81"/>
      <c r="AL24" s="85"/>
      <c r="AM24" s="81"/>
      <c r="AN24" s="85"/>
      <c r="AO24" s="81"/>
      <c r="AP24" s="85"/>
    </row>
    <row r="25" spans="1:42" s="80" customFormat="1" ht="12.75">
      <c r="A25" s="80" t="s">
        <v>179</v>
      </c>
      <c r="B25" s="80">
        <v>21</v>
      </c>
      <c r="C25" s="80" t="s">
        <v>256</v>
      </c>
      <c r="D25" s="83">
        <v>0</v>
      </c>
      <c r="E25" s="81"/>
      <c r="F25" s="84">
        <v>2.64865529753903</v>
      </c>
      <c r="G25" s="84">
        <f t="shared" si="0"/>
        <v>2.64865529753903</v>
      </c>
      <c r="H25" s="84">
        <f t="shared" si="1"/>
        <v>0</v>
      </c>
      <c r="I25" s="81"/>
      <c r="J25" s="84">
        <v>0.33581146819452373</v>
      </c>
      <c r="K25" s="84">
        <f t="shared" si="2"/>
        <v>0.33581146819452373</v>
      </c>
      <c r="L25" s="84">
        <f t="shared" si="3"/>
        <v>0</v>
      </c>
      <c r="M25" s="81"/>
      <c r="N25" s="84">
        <v>0.307989251924944</v>
      </c>
      <c r="O25" s="84">
        <f t="shared" si="4"/>
        <v>0.307989251924944</v>
      </c>
      <c r="P25" s="84">
        <f t="shared" si="5"/>
        <v>0</v>
      </c>
      <c r="Q25" s="81"/>
      <c r="R25" s="84"/>
      <c r="S25" s="81"/>
      <c r="T25" s="84"/>
      <c r="U25" s="81"/>
      <c r="V25" s="84"/>
      <c r="W25" s="81"/>
      <c r="X25" s="84"/>
      <c r="Y25" s="81"/>
      <c r="Z25" s="84"/>
      <c r="AA25" s="81"/>
      <c r="AB25" s="85"/>
      <c r="AC25" s="81"/>
      <c r="AD25" s="85"/>
      <c r="AE25" s="81"/>
      <c r="AF25" s="85"/>
      <c r="AG25" s="81"/>
      <c r="AH25" s="85"/>
      <c r="AI25" s="81"/>
      <c r="AJ25" s="85"/>
      <c r="AK25" s="81"/>
      <c r="AL25" s="85"/>
      <c r="AM25" s="81"/>
      <c r="AN25" s="85"/>
      <c r="AO25" s="81"/>
      <c r="AP25" s="85"/>
    </row>
    <row r="26" spans="1:42" s="80" customFormat="1" ht="12.75">
      <c r="A26" s="80" t="s">
        <v>179</v>
      </c>
      <c r="B26" s="80">
        <v>22</v>
      </c>
      <c r="C26" s="80" t="s">
        <v>257</v>
      </c>
      <c r="D26" s="83">
        <v>0</v>
      </c>
      <c r="E26" s="81"/>
      <c r="F26" s="84">
        <v>3.2203595830734124</v>
      </c>
      <c r="G26" s="84">
        <f t="shared" si="0"/>
        <v>3.2203595830734124</v>
      </c>
      <c r="H26" s="84">
        <f t="shared" si="1"/>
        <v>0</v>
      </c>
      <c r="I26" s="81"/>
      <c r="J26" s="84">
        <v>0.43248446661416</v>
      </c>
      <c r="K26" s="84">
        <f t="shared" si="2"/>
        <v>0.43248446661416</v>
      </c>
      <c r="L26" s="84">
        <f t="shared" si="3"/>
        <v>0</v>
      </c>
      <c r="M26" s="81"/>
      <c r="N26" s="84">
        <v>0.36080866469468</v>
      </c>
      <c r="O26" s="84">
        <f t="shared" si="4"/>
        <v>0.36080866469468</v>
      </c>
      <c r="P26" s="84">
        <f t="shared" si="5"/>
        <v>0</v>
      </c>
      <c r="Q26" s="81"/>
      <c r="R26" s="84"/>
      <c r="S26" s="81"/>
      <c r="T26" s="84"/>
      <c r="U26" s="81"/>
      <c r="V26" s="84"/>
      <c r="W26" s="81"/>
      <c r="X26" s="84"/>
      <c r="Y26" s="81"/>
      <c r="Z26" s="84"/>
      <c r="AA26" s="81"/>
      <c r="AB26" s="85"/>
      <c r="AC26" s="81"/>
      <c r="AD26" s="85"/>
      <c r="AE26" s="81"/>
      <c r="AF26" s="85"/>
      <c r="AG26" s="81"/>
      <c r="AH26" s="85"/>
      <c r="AI26" s="81"/>
      <c r="AJ26" s="85"/>
      <c r="AK26" s="81"/>
      <c r="AL26" s="85"/>
      <c r="AM26" s="81"/>
      <c r="AN26" s="85"/>
      <c r="AO26" s="81"/>
      <c r="AP26" s="85"/>
    </row>
    <row r="27" spans="1:42" s="80" customFormat="1" ht="12.75">
      <c r="A27" s="80" t="s">
        <v>179</v>
      </c>
      <c r="B27" s="80">
        <v>23</v>
      </c>
      <c r="C27" s="80" t="s">
        <v>258</v>
      </c>
      <c r="D27" s="83">
        <v>0.1</v>
      </c>
      <c r="E27" s="81"/>
      <c r="F27" s="84">
        <v>0.16644555148469328</v>
      </c>
      <c r="G27" s="84">
        <f t="shared" si="0"/>
        <v>0.16644555148469328</v>
      </c>
      <c r="H27" s="84">
        <f t="shared" si="1"/>
        <v>0.01664455514846933</v>
      </c>
      <c r="I27" s="81"/>
      <c r="J27" s="84">
        <v>0.030019510035571</v>
      </c>
      <c r="K27" s="84">
        <f t="shared" si="2"/>
        <v>0.030019510035571</v>
      </c>
      <c r="L27" s="84">
        <f t="shared" si="3"/>
        <v>0.0030019510035571</v>
      </c>
      <c r="M27" s="81"/>
      <c r="N27" s="84">
        <v>0.015250675518022592</v>
      </c>
      <c r="O27" s="84">
        <f t="shared" si="4"/>
        <v>0.015250675518022592</v>
      </c>
      <c r="P27" s="84">
        <f t="shared" si="5"/>
        <v>0.0015250675518022592</v>
      </c>
      <c r="Q27" s="81"/>
      <c r="R27" s="84"/>
      <c r="S27" s="81"/>
      <c r="T27" s="84"/>
      <c r="U27" s="81"/>
      <c r="V27" s="84"/>
      <c r="W27" s="81"/>
      <c r="X27" s="84"/>
      <c r="Y27" s="81"/>
      <c r="Z27" s="84"/>
      <c r="AA27" s="81"/>
      <c r="AB27" s="85"/>
      <c r="AC27" s="81"/>
      <c r="AD27" s="85"/>
      <c r="AE27" s="81"/>
      <c r="AF27" s="85"/>
      <c r="AG27" s="81"/>
      <c r="AH27" s="85"/>
      <c r="AI27" s="81"/>
      <c r="AJ27" s="85"/>
      <c r="AK27" s="81"/>
      <c r="AL27" s="85"/>
      <c r="AM27" s="81"/>
      <c r="AN27" s="85"/>
      <c r="AO27" s="81"/>
      <c r="AP27" s="85"/>
    </row>
    <row r="28" spans="1:42" s="80" customFormat="1" ht="12.75">
      <c r="A28" s="80" t="s">
        <v>179</v>
      </c>
      <c r="B28" s="80">
        <v>24</v>
      </c>
      <c r="C28" s="80" t="s">
        <v>259</v>
      </c>
      <c r="D28" s="83">
        <v>0.1</v>
      </c>
      <c r="E28" s="81"/>
      <c r="F28" s="84">
        <v>0.03618381554015071</v>
      </c>
      <c r="G28" s="84">
        <f t="shared" si="0"/>
        <v>0.03618381554015071</v>
      </c>
      <c r="H28" s="84">
        <f t="shared" si="1"/>
        <v>0.003618381554015071</v>
      </c>
      <c r="I28" s="81"/>
      <c r="J28" s="84">
        <v>0.009158494587123376</v>
      </c>
      <c r="K28" s="84">
        <f t="shared" si="2"/>
        <v>0.009158494587123376</v>
      </c>
      <c r="L28" s="84">
        <f t="shared" si="3"/>
        <v>0.0009158494587123376</v>
      </c>
      <c r="M28" s="81"/>
      <c r="N28" s="84">
        <v>0.005951483128984426</v>
      </c>
      <c r="O28" s="84">
        <f t="shared" si="4"/>
        <v>0.005951483128984426</v>
      </c>
      <c r="P28" s="84">
        <f t="shared" si="5"/>
        <v>0.0005951483128984426</v>
      </c>
      <c r="Q28" s="81"/>
      <c r="R28" s="84"/>
      <c r="S28" s="81"/>
      <c r="T28" s="84"/>
      <c r="U28" s="81"/>
      <c r="V28" s="84"/>
      <c r="W28" s="81"/>
      <c r="X28" s="84"/>
      <c r="Y28" s="81"/>
      <c r="Z28" s="84"/>
      <c r="AA28" s="81"/>
      <c r="AB28" s="85"/>
      <c r="AC28" s="81"/>
      <c r="AD28" s="85"/>
      <c r="AE28" s="81"/>
      <c r="AF28" s="85"/>
      <c r="AG28" s="81"/>
      <c r="AH28" s="85"/>
      <c r="AI28" s="81"/>
      <c r="AJ28" s="85"/>
      <c r="AK28" s="81"/>
      <c r="AL28" s="85"/>
      <c r="AM28" s="81"/>
      <c r="AN28" s="85"/>
      <c r="AO28" s="81"/>
      <c r="AP28" s="85"/>
    </row>
    <row r="29" spans="1:42" s="80" customFormat="1" ht="12.75">
      <c r="A29" s="80" t="s">
        <v>179</v>
      </c>
      <c r="B29" s="80">
        <v>25</v>
      </c>
      <c r="C29" s="80" t="s">
        <v>260</v>
      </c>
      <c r="D29" s="83">
        <v>0.1</v>
      </c>
      <c r="E29" s="81"/>
      <c r="F29" s="84">
        <v>0.029670728742923584</v>
      </c>
      <c r="G29" s="84">
        <f t="shared" si="0"/>
        <v>0.029670728742923584</v>
      </c>
      <c r="H29" s="84">
        <f t="shared" si="1"/>
        <v>0.0029670728742923584</v>
      </c>
      <c r="I29" s="81"/>
      <c r="J29" s="84">
        <v>0.008140884077443</v>
      </c>
      <c r="K29" s="84">
        <f t="shared" si="2"/>
        <v>0.008140884077443</v>
      </c>
      <c r="L29" s="84">
        <f t="shared" si="3"/>
        <v>0.0008140884077442999</v>
      </c>
      <c r="M29" s="81"/>
      <c r="N29" s="84">
        <v>0.0055795154334229</v>
      </c>
      <c r="O29" s="84">
        <f t="shared" si="4"/>
        <v>0.0055795154334229</v>
      </c>
      <c r="P29" s="84">
        <f t="shared" si="5"/>
        <v>0.00055795154334229</v>
      </c>
      <c r="Q29" s="81"/>
      <c r="R29" s="84"/>
      <c r="S29" s="81"/>
      <c r="T29" s="84"/>
      <c r="U29" s="81"/>
      <c r="V29" s="84"/>
      <c r="W29" s="81"/>
      <c r="X29" s="84"/>
      <c r="Y29" s="81"/>
      <c r="Z29" s="84"/>
      <c r="AA29" s="81"/>
      <c r="AB29" s="85"/>
      <c r="AC29" s="81"/>
      <c r="AD29" s="85"/>
      <c r="AE29" s="81"/>
      <c r="AF29" s="85"/>
      <c r="AG29" s="81"/>
      <c r="AH29" s="85"/>
      <c r="AI29" s="81"/>
      <c r="AJ29" s="85"/>
      <c r="AK29" s="81"/>
      <c r="AL29" s="85"/>
      <c r="AM29" s="81"/>
      <c r="AN29" s="85"/>
      <c r="AO29" s="81"/>
      <c r="AP29" s="85"/>
    </row>
    <row r="30" spans="1:42" s="80" customFormat="1" ht="12.75">
      <c r="A30" s="80" t="s">
        <v>179</v>
      </c>
      <c r="B30" s="80">
        <v>26</v>
      </c>
      <c r="C30" s="80" t="s">
        <v>261</v>
      </c>
      <c r="D30" s="83">
        <v>0.1</v>
      </c>
      <c r="E30" s="81"/>
      <c r="F30" s="84">
        <v>0.0009045953885037676</v>
      </c>
      <c r="G30" s="84">
        <f t="shared" si="0"/>
        <v>0.0009045953885037676</v>
      </c>
      <c r="H30" s="84">
        <f t="shared" si="1"/>
        <v>9.045953885037676E-05</v>
      </c>
      <c r="I30" s="81"/>
      <c r="J30" s="84">
        <v>0.002086101544844769</v>
      </c>
      <c r="K30" s="84">
        <f t="shared" si="2"/>
        <v>0.002086101544844769</v>
      </c>
      <c r="L30" s="84">
        <f t="shared" si="3"/>
        <v>0.0002086101544844769</v>
      </c>
      <c r="M30" s="81"/>
      <c r="N30" s="84">
        <v>0.0020830190951445487</v>
      </c>
      <c r="O30" s="84">
        <f t="shared" si="4"/>
        <v>0.0020830190951445487</v>
      </c>
      <c r="P30" s="84">
        <f t="shared" si="5"/>
        <v>0.0002083019095144549</v>
      </c>
      <c r="Q30" s="81"/>
      <c r="R30" s="84"/>
      <c r="S30" s="81"/>
      <c r="T30" s="84"/>
      <c r="U30" s="81"/>
      <c r="V30" s="84"/>
      <c r="W30" s="81"/>
      <c r="X30" s="84"/>
      <c r="Y30" s="81"/>
      <c r="Z30" s="84"/>
      <c r="AA30" s="81"/>
      <c r="AB30" s="85"/>
      <c r="AC30" s="81"/>
      <c r="AD30" s="85"/>
      <c r="AE30" s="81"/>
      <c r="AF30" s="85"/>
      <c r="AG30" s="81"/>
      <c r="AH30" s="85"/>
      <c r="AI30" s="81"/>
      <c r="AJ30" s="85"/>
      <c r="AK30" s="81"/>
      <c r="AL30" s="85"/>
      <c r="AM30" s="81"/>
      <c r="AN30" s="85"/>
      <c r="AO30" s="81"/>
      <c r="AP30" s="85"/>
    </row>
    <row r="31" spans="1:42" s="80" customFormat="1" ht="12.75">
      <c r="A31" s="80" t="s">
        <v>179</v>
      </c>
      <c r="B31" s="80">
        <v>27</v>
      </c>
      <c r="C31" s="80" t="s">
        <v>262</v>
      </c>
      <c r="D31" s="83">
        <v>0</v>
      </c>
      <c r="E31" s="81"/>
      <c r="F31" s="84">
        <v>0.2371849108656878</v>
      </c>
      <c r="G31" s="84">
        <f t="shared" si="0"/>
        <v>0.2371849108656878</v>
      </c>
      <c r="H31" s="84">
        <f t="shared" si="1"/>
        <v>0</v>
      </c>
      <c r="I31" s="81"/>
      <c r="J31" s="84">
        <v>0.021827745432644</v>
      </c>
      <c r="K31" s="84">
        <f t="shared" si="2"/>
        <v>0.021827745432644</v>
      </c>
      <c r="L31" s="84">
        <f t="shared" si="3"/>
        <v>0</v>
      </c>
      <c r="M31" s="81"/>
      <c r="N31" s="84">
        <v>0.02321078420303926</v>
      </c>
      <c r="O31" s="84">
        <f t="shared" si="4"/>
        <v>0.02321078420303926</v>
      </c>
      <c r="P31" s="84">
        <f t="shared" si="5"/>
        <v>0</v>
      </c>
      <c r="Q31" s="81"/>
      <c r="R31" s="84"/>
      <c r="S31" s="81"/>
      <c r="T31" s="84"/>
      <c r="U31" s="81"/>
      <c r="V31" s="84"/>
      <c r="W31" s="81"/>
      <c r="X31" s="84"/>
      <c r="Y31" s="81"/>
      <c r="Z31" s="84"/>
      <c r="AA31" s="81"/>
      <c r="AB31" s="85"/>
      <c r="AC31" s="81"/>
      <c r="AD31" s="85"/>
      <c r="AE31" s="81"/>
      <c r="AF31" s="85"/>
      <c r="AG31" s="81"/>
      <c r="AH31" s="85"/>
      <c r="AI31" s="81"/>
      <c r="AJ31" s="85"/>
      <c r="AK31" s="81"/>
      <c r="AL31" s="85"/>
      <c r="AM31" s="81"/>
      <c r="AN31" s="85"/>
      <c r="AO31" s="81"/>
      <c r="AP31" s="85"/>
    </row>
    <row r="32" spans="1:42" s="80" customFormat="1" ht="12.75">
      <c r="A32" s="80" t="s">
        <v>179</v>
      </c>
      <c r="B32" s="80">
        <v>28</v>
      </c>
      <c r="C32" s="80" t="s">
        <v>263</v>
      </c>
      <c r="D32" s="83">
        <v>0</v>
      </c>
      <c r="E32" s="81"/>
      <c r="F32" s="84">
        <v>0.47038960202196</v>
      </c>
      <c r="G32" s="84">
        <f t="shared" si="0"/>
        <v>0.47038960202196</v>
      </c>
      <c r="H32" s="84">
        <f t="shared" si="1"/>
        <v>0</v>
      </c>
      <c r="I32" s="81"/>
      <c r="J32" s="84">
        <v>0.07123273567762627</v>
      </c>
      <c r="K32" s="84">
        <f t="shared" si="2"/>
        <v>0.07123273567762627</v>
      </c>
      <c r="L32" s="84">
        <f t="shared" si="3"/>
        <v>0</v>
      </c>
      <c r="M32" s="81"/>
      <c r="N32" s="84">
        <v>0.05207547737861373</v>
      </c>
      <c r="O32" s="84">
        <f t="shared" si="4"/>
        <v>0.05207547737861373</v>
      </c>
      <c r="P32" s="84">
        <f t="shared" si="5"/>
        <v>0</v>
      </c>
      <c r="Q32" s="81"/>
      <c r="R32" s="84"/>
      <c r="S32" s="81"/>
      <c r="T32" s="84"/>
      <c r="U32" s="81"/>
      <c r="V32" s="84"/>
      <c r="W32" s="81"/>
      <c r="X32" s="84"/>
      <c r="Y32" s="81"/>
      <c r="Z32" s="84"/>
      <c r="AA32" s="81"/>
      <c r="AB32" s="85"/>
      <c r="AC32" s="81"/>
      <c r="AD32" s="85"/>
      <c r="AE32" s="81"/>
      <c r="AF32" s="85"/>
      <c r="AG32" s="81"/>
      <c r="AH32" s="85"/>
      <c r="AI32" s="81"/>
      <c r="AJ32" s="85"/>
      <c r="AK32" s="81"/>
      <c r="AL32" s="85"/>
      <c r="AM32" s="81"/>
      <c r="AN32" s="85"/>
      <c r="AO32" s="81"/>
      <c r="AP32" s="85"/>
    </row>
    <row r="33" spans="1:42" s="80" customFormat="1" ht="12.75">
      <c r="A33" s="80" t="s">
        <v>179</v>
      </c>
      <c r="B33" s="80">
        <v>29</v>
      </c>
      <c r="C33" s="80" t="s">
        <v>264</v>
      </c>
      <c r="D33" s="83">
        <v>0.01</v>
      </c>
      <c r="E33" s="81"/>
      <c r="F33" s="84">
        <v>0.03328911029693865</v>
      </c>
      <c r="G33" s="84">
        <f t="shared" si="0"/>
        <v>0.03328911029693865</v>
      </c>
      <c r="H33" s="84">
        <f t="shared" si="1"/>
        <v>0.0003328911029693865</v>
      </c>
      <c r="I33" s="81"/>
      <c r="J33" s="84">
        <v>0.014246547135525253</v>
      </c>
      <c r="K33" s="84">
        <f t="shared" si="2"/>
        <v>0.014246547135525253</v>
      </c>
      <c r="L33" s="84">
        <f t="shared" si="3"/>
        <v>0.00014246547135525253</v>
      </c>
      <c r="M33" s="81"/>
      <c r="N33" s="84">
        <v>0.013018869344653433</v>
      </c>
      <c r="O33" s="84">
        <f t="shared" si="4"/>
        <v>0.013018869344653433</v>
      </c>
      <c r="P33" s="84">
        <f t="shared" si="5"/>
        <v>0.00013018869344653435</v>
      </c>
      <c r="Q33" s="81"/>
      <c r="R33" s="84"/>
      <c r="S33" s="81"/>
      <c r="T33" s="84"/>
      <c r="U33" s="81"/>
      <c r="V33" s="84"/>
      <c r="W33" s="81"/>
      <c r="X33" s="84"/>
      <c r="Y33" s="81"/>
      <c r="Z33" s="84"/>
      <c r="AA33" s="81"/>
      <c r="AB33" s="85"/>
      <c r="AC33" s="81"/>
      <c r="AD33" s="85"/>
      <c r="AE33" s="81"/>
      <c r="AF33" s="85"/>
      <c r="AG33" s="81"/>
      <c r="AH33" s="85"/>
      <c r="AI33" s="81"/>
      <c r="AJ33" s="85"/>
      <c r="AK33" s="81"/>
      <c r="AL33" s="85"/>
      <c r="AM33" s="81"/>
      <c r="AN33" s="85"/>
      <c r="AO33" s="81"/>
      <c r="AP33" s="85"/>
    </row>
    <row r="34" spans="1:42" s="80" customFormat="1" ht="12.75">
      <c r="A34" s="80" t="s">
        <v>179</v>
      </c>
      <c r="B34" s="80">
        <v>30</v>
      </c>
      <c r="C34" s="80" t="s">
        <v>265</v>
      </c>
      <c r="D34" s="83">
        <v>0.01</v>
      </c>
      <c r="E34" s="81"/>
      <c r="F34" s="84">
        <v>0.0036183815540150703</v>
      </c>
      <c r="G34" s="84">
        <f t="shared" si="0"/>
        <v>0.0036183815540150703</v>
      </c>
      <c r="H34" s="84">
        <f t="shared" si="1"/>
        <v>3.6183815540150707E-05</v>
      </c>
      <c r="I34" s="81"/>
      <c r="J34" s="84">
        <v>0.004019561513237482</v>
      </c>
      <c r="K34" s="84">
        <f t="shared" si="2"/>
        <v>0.004019561513237482</v>
      </c>
      <c r="L34" s="84">
        <f t="shared" si="3"/>
        <v>4.019561513237482E-05</v>
      </c>
      <c r="M34" s="81"/>
      <c r="N34" s="84">
        <v>0.0031617254122729764</v>
      </c>
      <c r="O34" s="84">
        <f t="shared" si="4"/>
        <v>0.0031617254122729764</v>
      </c>
      <c r="P34" s="84">
        <f t="shared" si="5"/>
        <v>3.161725412272976E-05</v>
      </c>
      <c r="Q34" s="81"/>
      <c r="R34" s="84"/>
      <c r="S34" s="81"/>
      <c r="T34" s="84"/>
      <c r="U34" s="81"/>
      <c r="V34" s="84"/>
      <c r="W34" s="81"/>
      <c r="X34" s="84"/>
      <c r="Y34" s="81"/>
      <c r="Z34" s="84"/>
      <c r="AA34" s="81"/>
      <c r="AB34" s="85"/>
      <c r="AC34" s="81"/>
      <c r="AD34" s="85"/>
      <c r="AE34" s="81"/>
      <c r="AF34" s="85"/>
      <c r="AG34" s="81"/>
      <c r="AH34" s="85"/>
      <c r="AI34" s="81"/>
      <c r="AJ34" s="85"/>
      <c r="AK34" s="81"/>
      <c r="AL34" s="85"/>
      <c r="AM34" s="81"/>
      <c r="AN34" s="85"/>
      <c r="AO34" s="81"/>
      <c r="AP34" s="85"/>
    </row>
    <row r="35" spans="1:42" s="80" customFormat="1" ht="12.75">
      <c r="A35" s="80" t="s">
        <v>179</v>
      </c>
      <c r="B35" s="80">
        <v>31</v>
      </c>
      <c r="C35" s="80" t="s">
        <v>266</v>
      </c>
      <c r="D35" s="83">
        <v>0</v>
      </c>
      <c r="E35" s="81"/>
      <c r="F35" s="84">
        <v>0.013749849905257266</v>
      </c>
      <c r="G35" s="84">
        <f t="shared" si="0"/>
        <v>0.013749849905257266</v>
      </c>
      <c r="H35" s="84">
        <f t="shared" si="1"/>
        <v>0</v>
      </c>
      <c r="I35" s="81"/>
      <c r="J35" s="84">
        <v>5.0880525484017E-05</v>
      </c>
      <c r="K35" s="84">
        <f t="shared" si="2"/>
        <v>5.0880525484017E-05</v>
      </c>
      <c r="L35" s="84">
        <f t="shared" si="3"/>
        <v>0</v>
      </c>
      <c r="M35" s="81"/>
      <c r="N35" s="84">
        <v>0.006137466976765187</v>
      </c>
      <c r="O35" s="84">
        <f t="shared" si="4"/>
        <v>0.006137466976765187</v>
      </c>
      <c r="P35" s="84">
        <f t="shared" si="5"/>
        <v>0</v>
      </c>
      <c r="Q35" s="81"/>
      <c r="R35" s="84"/>
      <c r="S35" s="81"/>
      <c r="T35" s="84"/>
      <c r="U35" s="81"/>
      <c r="V35" s="84"/>
      <c r="W35" s="81"/>
      <c r="X35" s="84"/>
      <c r="Y35" s="81"/>
      <c r="Z35" s="84"/>
      <c r="AA35" s="81"/>
      <c r="AB35" s="85"/>
      <c r="AC35" s="81"/>
      <c r="AD35" s="85"/>
      <c r="AE35" s="81"/>
      <c r="AF35" s="85"/>
      <c r="AG35" s="81"/>
      <c r="AH35" s="85"/>
      <c r="AI35" s="81"/>
      <c r="AJ35" s="85"/>
      <c r="AK35" s="81"/>
      <c r="AL35" s="85"/>
      <c r="AM35" s="81"/>
      <c r="AN35" s="85"/>
      <c r="AO35" s="81"/>
      <c r="AP35" s="85"/>
    </row>
    <row r="36" spans="1:42" s="80" customFormat="1" ht="12.75">
      <c r="A36" s="80" t="s">
        <v>179</v>
      </c>
      <c r="B36" s="80">
        <v>32</v>
      </c>
      <c r="C36" s="80" t="s">
        <v>267</v>
      </c>
      <c r="D36" s="83">
        <v>0</v>
      </c>
      <c r="E36" s="81"/>
      <c r="F36" s="84">
        <v>0.050657341756211</v>
      </c>
      <c r="G36" s="84">
        <f t="shared" si="0"/>
        <v>0.050657341756211</v>
      </c>
      <c r="H36" s="84">
        <f t="shared" si="1"/>
        <v>0</v>
      </c>
      <c r="I36" s="81"/>
      <c r="J36" s="84">
        <v>0.01831698917424675</v>
      </c>
      <c r="K36" s="84">
        <f t="shared" si="2"/>
        <v>0.01831698917424675</v>
      </c>
      <c r="L36" s="84">
        <f t="shared" si="3"/>
        <v>0</v>
      </c>
      <c r="M36" s="81"/>
      <c r="N36" s="84">
        <v>0.022318061733691597</v>
      </c>
      <c r="O36" s="84">
        <f t="shared" si="4"/>
        <v>0.022318061733691597</v>
      </c>
      <c r="P36" s="84">
        <f t="shared" si="5"/>
        <v>0</v>
      </c>
      <c r="Q36" s="81"/>
      <c r="R36" s="84"/>
      <c r="S36" s="81"/>
      <c r="T36" s="84"/>
      <c r="U36" s="81"/>
      <c r="V36" s="84"/>
      <c r="W36" s="81"/>
      <c r="X36" s="84"/>
      <c r="Y36" s="81"/>
      <c r="Z36" s="84"/>
      <c r="AA36" s="81"/>
      <c r="AB36" s="85"/>
      <c r="AC36" s="81"/>
      <c r="AD36" s="85"/>
      <c r="AE36" s="81"/>
      <c r="AF36" s="85"/>
      <c r="AG36" s="81"/>
      <c r="AH36" s="85"/>
      <c r="AI36" s="81"/>
      <c r="AJ36" s="85"/>
      <c r="AK36" s="81"/>
      <c r="AL36" s="85"/>
      <c r="AM36" s="81"/>
      <c r="AN36" s="85"/>
      <c r="AO36" s="81"/>
      <c r="AP36" s="85"/>
    </row>
    <row r="37" spans="1:42" s="80" customFormat="1" ht="12.75">
      <c r="A37" s="80" t="s">
        <v>179</v>
      </c>
      <c r="B37" s="80">
        <v>33</v>
      </c>
      <c r="C37" s="80" t="s">
        <v>268</v>
      </c>
      <c r="D37" s="83">
        <v>0.001</v>
      </c>
      <c r="E37" s="81"/>
      <c r="F37" s="84">
        <v>0.007236763108030141</v>
      </c>
      <c r="G37" s="84">
        <f t="shared" si="0"/>
        <v>0.007236763108030141</v>
      </c>
      <c r="H37" s="84">
        <f t="shared" si="1"/>
        <v>7.236763108030141E-06</v>
      </c>
      <c r="I37" s="81"/>
      <c r="J37" s="84">
        <v>0.01017610509680375</v>
      </c>
      <c r="K37" s="84">
        <f t="shared" si="2"/>
        <v>0.01017610509680375</v>
      </c>
      <c r="L37" s="84">
        <f t="shared" si="3"/>
        <v>1.0176105096803751E-05</v>
      </c>
      <c r="M37" s="81"/>
      <c r="N37" s="84">
        <v>0.011159030866845799</v>
      </c>
      <c r="O37" s="84">
        <f t="shared" si="4"/>
        <v>0.011159030866845799</v>
      </c>
      <c r="P37" s="84">
        <f t="shared" si="5"/>
        <v>1.1159030866845798E-05</v>
      </c>
      <c r="Q37" s="81"/>
      <c r="R37" s="84"/>
      <c r="S37" s="81"/>
      <c r="T37" s="84"/>
      <c r="U37" s="81"/>
      <c r="V37" s="84"/>
      <c r="W37" s="81"/>
      <c r="X37" s="84"/>
      <c r="Y37" s="81"/>
      <c r="Z37" s="84"/>
      <c r="AA37" s="81"/>
      <c r="AB37" s="85"/>
      <c r="AC37" s="81"/>
      <c r="AD37" s="85"/>
      <c r="AE37" s="81"/>
      <c r="AF37" s="85"/>
      <c r="AG37" s="81"/>
      <c r="AH37" s="85"/>
      <c r="AI37" s="81"/>
      <c r="AJ37" s="85"/>
      <c r="AK37" s="81"/>
      <c r="AL37" s="85"/>
      <c r="AM37" s="81"/>
      <c r="AN37" s="85"/>
      <c r="AO37" s="81"/>
      <c r="AP37" s="85"/>
    </row>
    <row r="38" spans="1:42" s="80" customFormat="1" ht="12.75">
      <c r="A38" s="80" t="s">
        <v>179</v>
      </c>
      <c r="B38" s="80">
        <v>34</v>
      </c>
      <c r="C38" s="80" t="s">
        <v>269</v>
      </c>
      <c r="D38" s="83"/>
      <c r="E38" s="81"/>
      <c r="F38" s="84">
        <v>19.16620525346243</v>
      </c>
      <c r="G38" s="84">
        <f>SUM(G37,G36,G32,G26,G22,G19,G18,G15,G10,G7)</f>
        <v>19.166205253462433</v>
      </c>
      <c r="H38" s="84"/>
      <c r="I38" s="81"/>
      <c r="J38" s="84">
        <v>5.694548412171379</v>
      </c>
      <c r="K38" s="84">
        <f>SUM(K37,K36,K32,K26,K22,K19,K18,K15,K10,K7)</f>
        <v>5.69454841217138</v>
      </c>
      <c r="L38" s="84"/>
      <c r="M38" s="81"/>
      <c r="N38" s="84">
        <v>4.625046326612022</v>
      </c>
      <c r="O38" s="84">
        <f>SUM(O37,O36,O32,O26,O22,O19,O18,O15,O10,O7)</f>
        <v>4.62504632661202</v>
      </c>
      <c r="P38" s="84"/>
      <c r="Q38" s="81"/>
      <c r="R38" s="84"/>
      <c r="S38" s="81"/>
      <c r="T38" s="84"/>
      <c r="U38" s="81"/>
      <c r="V38" s="84"/>
      <c r="W38" s="81"/>
      <c r="X38" s="84"/>
      <c r="Y38" s="81"/>
      <c r="Z38" s="84"/>
      <c r="AA38" s="81"/>
      <c r="AB38" s="85"/>
      <c r="AC38" s="81"/>
      <c r="AD38" s="85"/>
      <c r="AE38" s="81"/>
      <c r="AF38" s="85"/>
      <c r="AG38" s="81"/>
      <c r="AH38" s="85"/>
      <c r="AI38" s="81"/>
      <c r="AJ38" s="85"/>
      <c r="AK38" s="81"/>
      <c r="AL38" s="85"/>
      <c r="AM38" s="81"/>
      <c r="AN38" s="85"/>
      <c r="AO38" s="81"/>
      <c r="AP38" s="85"/>
    </row>
    <row r="39" spans="1:42" s="80" customFormat="1" ht="12.75">
      <c r="A39" s="80" t="s">
        <v>179</v>
      </c>
      <c r="B39" s="80">
        <v>35</v>
      </c>
      <c r="C39" s="80" t="s">
        <v>26</v>
      </c>
      <c r="D39" s="83"/>
      <c r="E39" s="103">
        <f>(F39-H39)*2/F39*100</f>
        <v>0.22954414583538033</v>
      </c>
      <c r="F39" s="84">
        <v>0.4587130847471526</v>
      </c>
      <c r="G39" s="84"/>
      <c r="H39" s="84">
        <f>SUM(H5:H37)</f>
        <v>0.4581866102310436</v>
      </c>
      <c r="I39" s="103">
        <f>(J39-L39)*2/J39*100</f>
        <v>8.574048009503889</v>
      </c>
      <c r="J39" s="84">
        <v>0.118210216051766</v>
      </c>
      <c r="K39" s="84"/>
      <c r="L39" s="84">
        <f>SUM(L5:L37)</f>
        <v>0.11314251571355766</v>
      </c>
      <c r="M39" s="103">
        <f>(N39-P39)*2/N39*100</f>
        <v>2.2028511187336473</v>
      </c>
      <c r="N39" s="84">
        <v>0.059100087309293156</v>
      </c>
      <c r="O39" s="84"/>
      <c r="P39" s="84">
        <f>SUM(P5:P37)</f>
        <v>0.05844914384206049</v>
      </c>
      <c r="Q39" s="81"/>
      <c r="R39" s="84"/>
      <c r="S39" s="81"/>
      <c r="T39" s="84"/>
      <c r="U39" s="81"/>
      <c r="V39" s="84"/>
      <c r="W39" s="81"/>
      <c r="X39" s="84"/>
      <c r="Y39" s="81"/>
      <c r="Z39" s="84"/>
      <c r="AA39" s="81"/>
      <c r="AB39" s="85"/>
      <c r="AC39" s="81"/>
      <c r="AD39" s="85"/>
      <c r="AE39" s="81"/>
      <c r="AF39" s="85"/>
      <c r="AG39" s="81"/>
      <c r="AH39" s="85"/>
      <c r="AI39" s="81"/>
      <c r="AJ39" s="85"/>
      <c r="AK39" s="81"/>
      <c r="AL39" s="85"/>
      <c r="AM39" s="81"/>
      <c r="AN39" s="85"/>
      <c r="AO39" s="81"/>
      <c r="AP39" s="85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I39"/>
  <sheetViews>
    <sheetView workbookViewId="0" topLeftCell="C11">
      <selection activeCell="B35" sqref="B35"/>
    </sheetView>
  </sheetViews>
  <sheetFormatPr defaultColWidth="9.140625" defaultRowHeight="12.75"/>
  <cols>
    <col min="1" max="1" width="9.140625" style="0" hidden="1" customWidth="1"/>
    <col min="2" max="2" width="6.140625" style="0" hidden="1" customWidth="1"/>
    <col min="3" max="3" width="14.421875" style="0" customWidth="1"/>
    <col min="4" max="4" width="7.00390625" style="82" customWidth="1"/>
    <col min="5" max="5" width="4.00390625" style="0" customWidth="1"/>
    <col min="7" max="7" width="7.7109375" style="61" customWidth="1"/>
    <col min="8" max="8" width="8.28125" style="61" customWidth="1"/>
    <col min="9" max="9" width="4.28125" style="0" customWidth="1"/>
    <col min="11" max="11" width="7.7109375" style="61" customWidth="1"/>
    <col min="12" max="12" width="8.28125" style="61" customWidth="1"/>
    <col min="13" max="13" width="2.140625" style="0" customWidth="1"/>
  </cols>
  <sheetData>
    <row r="1" ht="12.75">
      <c r="C1" s="3" t="s">
        <v>188</v>
      </c>
    </row>
    <row r="2" spans="6:12" ht="12.75">
      <c r="F2" s="107" t="s">
        <v>161</v>
      </c>
      <c r="G2" s="108"/>
      <c r="H2" s="108"/>
      <c r="J2" s="107" t="s">
        <v>120</v>
      </c>
      <c r="K2" s="108"/>
      <c r="L2" s="108"/>
    </row>
    <row r="3" spans="3:13" ht="12.75">
      <c r="C3" t="s">
        <v>63</v>
      </c>
      <c r="D3" s="82" t="s">
        <v>22</v>
      </c>
      <c r="F3" s="46" t="s">
        <v>24</v>
      </c>
      <c r="G3" s="109" t="s">
        <v>24</v>
      </c>
      <c r="H3" s="109" t="s">
        <v>26</v>
      </c>
      <c r="I3" s="46"/>
      <c r="J3" s="46" t="s">
        <v>24</v>
      </c>
      <c r="K3" s="109" t="s">
        <v>24</v>
      </c>
      <c r="L3" s="109" t="s">
        <v>26</v>
      </c>
      <c r="M3" s="46"/>
    </row>
    <row r="4" spans="4:12" ht="12.75">
      <c r="D4" s="82" t="s">
        <v>234</v>
      </c>
      <c r="F4" s="46" t="s">
        <v>235</v>
      </c>
      <c r="G4" s="61" t="s">
        <v>66</v>
      </c>
      <c r="H4" s="61" t="s">
        <v>66</v>
      </c>
      <c r="J4" s="46" t="s">
        <v>235</v>
      </c>
      <c r="K4" s="61" t="s">
        <v>66</v>
      </c>
      <c r="L4" s="61" t="s">
        <v>66</v>
      </c>
    </row>
    <row r="5" spans="1:35" s="80" customFormat="1" ht="12.75">
      <c r="A5" s="80" t="s">
        <v>188</v>
      </c>
      <c r="B5" s="80">
        <v>1</v>
      </c>
      <c r="C5" s="80" t="s">
        <v>236</v>
      </c>
      <c r="D5" s="83">
        <v>1</v>
      </c>
      <c r="E5" s="81"/>
      <c r="F5" s="84">
        <v>0.0058364635778307</v>
      </c>
      <c r="G5" s="84">
        <f>IF(E5=1,F5/2,F5)</f>
        <v>0.0058364635778307</v>
      </c>
      <c r="H5" s="84">
        <f>G5*$D5</f>
        <v>0.0058364635778307</v>
      </c>
      <c r="I5" s="81"/>
      <c r="J5" s="84">
        <v>0.01595881615211889</v>
      </c>
      <c r="K5" s="84">
        <f>IF(I5=1,J5/2,J5)</f>
        <v>0.01595881615211889</v>
      </c>
      <c r="L5" s="84">
        <f>K5*$D5</f>
        <v>0.01595881615211889</v>
      </c>
      <c r="M5" s="81"/>
      <c r="N5" s="81"/>
      <c r="O5" s="84"/>
      <c r="P5" s="81"/>
      <c r="Q5" s="84"/>
      <c r="R5" s="81"/>
      <c r="S5" s="84"/>
      <c r="T5" s="81"/>
      <c r="U5" s="85"/>
      <c r="V5" s="81"/>
      <c r="W5" s="85"/>
      <c r="X5" s="81"/>
      <c r="Y5" s="85"/>
      <c r="Z5" s="81"/>
      <c r="AA5" s="85"/>
      <c r="AB5" s="81"/>
      <c r="AC5" s="85"/>
      <c r="AD5" s="81"/>
      <c r="AE5" s="85"/>
      <c r="AF5" s="81"/>
      <c r="AG5" s="85"/>
      <c r="AH5" s="81"/>
      <c r="AI5" s="85"/>
    </row>
    <row r="6" spans="1:35" s="80" customFormat="1" ht="12.75">
      <c r="A6" s="80" t="s">
        <v>188</v>
      </c>
      <c r="B6" s="80">
        <v>2</v>
      </c>
      <c r="C6" s="80" t="s">
        <v>237</v>
      </c>
      <c r="D6" s="83">
        <v>0</v>
      </c>
      <c r="E6" s="81"/>
      <c r="F6" s="84">
        <v>1.8545363018557</v>
      </c>
      <c r="G6" s="84">
        <f aca="true" t="shared" si="0" ref="G6:G37">IF(E6=1,F6/2,F6)</f>
        <v>1.8545363018557</v>
      </c>
      <c r="H6" s="84">
        <f aca="true" t="shared" si="1" ref="H6:H37">G6*$D6</f>
        <v>0</v>
      </c>
      <c r="I6" s="81"/>
      <c r="J6" s="84">
        <v>1.5799227990597704</v>
      </c>
      <c r="K6" s="84">
        <f aca="true" t="shared" si="2" ref="K6:K37">IF(I6=1,J6/2,J6)</f>
        <v>1.5799227990597704</v>
      </c>
      <c r="L6" s="84">
        <f aca="true" t="shared" si="3" ref="L6:L37">K6*$D6</f>
        <v>0</v>
      </c>
      <c r="M6" s="81"/>
      <c r="N6" s="81"/>
      <c r="O6" s="84"/>
      <c r="P6" s="81"/>
      <c r="Q6" s="84"/>
      <c r="R6" s="81"/>
      <c r="S6" s="84"/>
      <c r="T6" s="81"/>
      <c r="U6" s="85"/>
      <c r="V6" s="81"/>
      <c r="W6" s="85"/>
      <c r="X6" s="81"/>
      <c r="Y6" s="85"/>
      <c r="Z6" s="81"/>
      <c r="AA6" s="85"/>
      <c r="AB6" s="81"/>
      <c r="AC6" s="85"/>
      <c r="AD6" s="81"/>
      <c r="AE6" s="85"/>
      <c r="AF6" s="81"/>
      <c r="AG6" s="85"/>
      <c r="AH6" s="81"/>
      <c r="AI6" s="85"/>
    </row>
    <row r="7" spans="1:35" s="80" customFormat="1" ht="12.75">
      <c r="A7" s="80" t="s">
        <v>188</v>
      </c>
      <c r="B7" s="80">
        <v>3</v>
      </c>
      <c r="C7" s="80" t="s">
        <v>238</v>
      </c>
      <c r="D7" s="83">
        <v>0</v>
      </c>
      <c r="E7" s="81"/>
      <c r="F7" s="84">
        <v>1.8603727654335385</v>
      </c>
      <c r="G7" s="84">
        <f t="shared" si="0"/>
        <v>1.8603727654335385</v>
      </c>
      <c r="H7" s="84">
        <f t="shared" si="1"/>
        <v>0</v>
      </c>
      <c r="I7" s="81"/>
      <c r="J7" s="84">
        <v>1.5958816152118893</v>
      </c>
      <c r="K7" s="84">
        <f t="shared" si="2"/>
        <v>1.5958816152118893</v>
      </c>
      <c r="L7" s="84">
        <f t="shared" si="3"/>
        <v>0</v>
      </c>
      <c r="M7" s="81"/>
      <c r="N7" s="81"/>
      <c r="O7" s="84"/>
      <c r="P7" s="81"/>
      <c r="Q7" s="84"/>
      <c r="R7" s="81"/>
      <c r="S7" s="84"/>
      <c r="T7" s="81"/>
      <c r="U7" s="85"/>
      <c r="V7" s="81"/>
      <c r="W7" s="85"/>
      <c r="X7" s="81"/>
      <c r="Y7" s="85"/>
      <c r="Z7" s="81"/>
      <c r="AA7" s="85"/>
      <c r="AB7" s="81"/>
      <c r="AC7" s="85"/>
      <c r="AD7" s="81"/>
      <c r="AE7" s="85"/>
      <c r="AF7" s="81"/>
      <c r="AG7" s="85"/>
      <c r="AH7" s="81"/>
      <c r="AI7" s="85"/>
    </row>
    <row r="8" spans="1:35" s="80" customFormat="1" ht="12.75">
      <c r="A8" s="80" t="s">
        <v>188</v>
      </c>
      <c r="B8" s="80">
        <v>4</v>
      </c>
      <c r="C8" s="80" t="s">
        <v>239</v>
      </c>
      <c r="D8" s="83">
        <v>0.5</v>
      </c>
      <c r="E8" s="81"/>
      <c r="F8" s="84">
        <v>0.005106905630601871</v>
      </c>
      <c r="G8" s="84">
        <f t="shared" si="0"/>
        <v>0.005106905630601871</v>
      </c>
      <c r="H8" s="84">
        <f t="shared" si="1"/>
        <v>0.0025534528153009356</v>
      </c>
      <c r="I8" s="81"/>
      <c r="J8" s="84">
        <v>0.004453623112219226</v>
      </c>
      <c r="K8" s="84">
        <f t="shared" si="2"/>
        <v>0.004453623112219226</v>
      </c>
      <c r="L8" s="84">
        <f t="shared" si="3"/>
        <v>0.002226811556109613</v>
      </c>
      <c r="M8" s="81"/>
      <c r="N8" s="81"/>
      <c r="O8" s="84"/>
      <c r="P8" s="81"/>
      <c r="Q8" s="84"/>
      <c r="R8" s="81"/>
      <c r="S8" s="84"/>
      <c r="T8" s="81"/>
      <c r="U8" s="85"/>
      <c r="V8" s="81"/>
      <c r="W8" s="85"/>
      <c r="X8" s="81"/>
      <c r="Y8" s="85"/>
      <c r="Z8" s="81"/>
      <c r="AA8" s="85"/>
      <c r="AB8" s="81"/>
      <c r="AC8" s="85"/>
      <c r="AD8" s="81"/>
      <c r="AE8" s="85"/>
      <c r="AF8" s="81"/>
      <c r="AG8" s="85"/>
      <c r="AH8" s="81"/>
      <c r="AI8" s="85"/>
    </row>
    <row r="9" spans="1:35" s="80" customFormat="1" ht="12.75">
      <c r="A9" s="80" t="s">
        <v>188</v>
      </c>
      <c r="B9" s="80">
        <v>5</v>
      </c>
      <c r="C9" s="80" t="s">
        <v>240</v>
      </c>
      <c r="D9" s="83">
        <v>0</v>
      </c>
      <c r="E9" s="81"/>
      <c r="F9" s="84">
        <v>0.08973562750914717</v>
      </c>
      <c r="G9" s="84">
        <f t="shared" si="0"/>
        <v>0.08973562750914717</v>
      </c>
      <c r="H9" s="84">
        <f t="shared" si="1"/>
        <v>0</v>
      </c>
      <c r="I9" s="81"/>
      <c r="J9" s="84">
        <v>0.08833019172568132</v>
      </c>
      <c r="K9" s="84">
        <f t="shared" si="2"/>
        <v>0.08833019172568132</v>
      </c>
      <c r="L9" s="84">
        <f t="shared" si="3"/>
        <v>0</v>
      </c>
      <c r="M9" s="81"/>
      <c r="N9" s="81"/>
      <c r="O9" s="84"/>
      <c r="P9" s="81"/>
      <c r="Q9" s="84"/>
      <c r="R9" s="81"/>
      <c r="S9" s="84"/>
      <c r="T9" s="81"/>
      <c r="U9" s="85"/>
      <c r="V9" s="81"/>
      <c r="W9" s="85"/>
      <c r="X9" s="81"/>
      <c r="Y9" s="85"/>
      <c r="Z9" s="81"/>
      <c r="AA9" s="85"/>
      <c r="AB9" s="81"/>
      <c r="AC9" s="85"/>
      <c r="AD9" s="81"/>
      <c r="AE9" s="85"/>
      <c r="AF9" s="81"/>
      <c r="AG9" s="85"/>
      <c r="AH9" s="81"/>
      <c r="AI9" s="85"/>
    </row>
    <row r="10" spans="1:35" s="80" customFormat="1" ht="12.75">
      <c r="A10" s="80" t="s">
        <v>188</v>
      </c>
      <c r="B10" s="80">
        <v>6</v>
      </c>
      <c r="C10" s="80" t="s">
        <v>241</v>
      </c>
      <c r="D10" s="83">
        <v>0</v>
      </c>
      <c r="E10" s="81"/>
      <c r="F10" s="84">
        <v>0.094842533139749</v>
      </c>
      <c r="G10" s="84">
        <f t="shared" si="0"/>
        <v>0.094842533139749</v>
      </c>
      <c r="H10" s="84">
        <f t="shared" si="1"/>
        <v>0</v>
      </c>
      <c r="I10" s="81"/>
      <c r="J10" s="84">
        <v>0.09278381483790055</v>
      </c>
      <c r="K10" s="84">
        <f t="shared" si="2"/>
        <v>0.09278381483790055</v>
      </c>
      <c r="L10" s="84">
        <f t="shared" si="3"/>
        <v>0</v>
      </c>
      <c r="M10" s="81"/>
      <c r="N10" s="81"/>
      <c r="O10" s="84"/>
      <c r="P10" s="81"/>
      <c r="Q10" s="84"/>
      <c r="R10" s="81"/>
      <c r="S10" s="84"/>
      <c r="T10" s="81"/>
      <c r="U10" s="85"/>
      <c r="V10" s="81"/>
      <c r="W10" s="85"/>
      <c r="X10" s="81"/>
      <c r="Y10" s="85"/>
      <c r="Z10" s="81"/>
      <c r="AA10" s="85"/>
      <c r="AB10" s="81"/>
      <c r="AC10" s="85"/>
      <c r="AD10" s="81"/>
      <c r="AE10" s="85"/>
      <c r="AF10" s="81"/>
      <c r="AG10" s="85"/>
      <c r="AH10" s="81"/>
      <c r="AI10" s="85"/>
    </row>
    <row r="11" spans="1:35" s="80" customFormat="1" ht="12.75">
      <c r="A11" s="80" t="s">
        <v>188</v>
      </c>
      <c r="B11" s="80">
        <v>7</v>
      </c>
      <c r="C11" s="80" t="s">
        <v>242</v>
      </c>
      <c r="D11" s="83">
        <v>0.1</v>
      </c>
      <c r="E11" s="81"/>
      <c r="F11" s="84">
        <v>0.0016415053812648868</v>
      </c>
      <c r="G11" s="84">
        <f t="shared" si="0"/>
        <v>0.0016415053812648868</v>
      </c>
      <c r="H11" s="84">
        <f t="shared" si="1"/>
        <v>0.0001641505381264887</v>
      </c>
      <c r="I11" s="81">
        <v>1</v>
      </c>
      <c r="J11" s="84">
        <v>0.003303103808229259</v>
      </c>
      <c r="K11" s="84">
        <f t="shared" si="2"/>
        <v>0.0016515519041146295</v>
      </c>
      <c r="L11" s="84">
        <f t="shared" si="3"/>
        <v>0.00016515519041146296</v>
      </c>
      <c r="M11" s="81"/>
      <c r="N11" s="81"/>
      <c r="O11" s="84"/>
      <c r="P11" s="81"/>
      <c r="Q11" s="84"/>
      <c r="R11" s="81"/>
      <c r="S11" s="84"/>
      <c r="T11" s="81"/>
      <c r="U11" s="85"/>
      <c r="V11" s="81"/>
      <c r="W11" s="85"/>
      <c r="X11" s="81"/>
      <c r="Y11" s="85"/>
      <c r="Z11" s="81"/>
      <c r="AA11" s="85"/>
      <c r="AB11" s="81"/>
      <c r="AC11" s="85"/>
      <c r="AD11" s="81"/>
      <c r="AE11" s="85"/>
      <c r="AF11" s="81"/>
      <c r="AG11" s="85"/>
      <c r="AH11" s="81"/>
      <c r="AI11" s="85"/>
    </row>
    <row r="12" spans="1:35" s="80" customFormat="1" ht="12.75">
      <c r="A12" s="80" t="s">
        <v>188</v>
      </c>
      <c r="B12" s="80">
        <v>8</v>
      </c>
      <c r="C12" s="80" t="s">
        <v>243</v>
      </c>
      <c r="D12" s="83">
        <v>0.1</v>
      </c>
      <c r="E12" s="81"/>
      <c r="F12" s="84">
        <v>0.0033924444546141</v>
      </c>
      <c r="G12" s="84">
        <f t="shared" si="0"/>
        <v>0.0033924444546141</v>
      </c>
      <c r="H12" s="84">
        <f t="shared" si="1"/>
        <v>0.00033924444546141</v>
      </c>
      <c r="I12" s="81">
        <v>1</v>
      </c>
      <c r="J12" s="84">
        <v>0.0037113525935160217</v>
      </c>
      <c r="K12" s="84">
        <f t="shared" si="2"/>
        <v>0.0018556762967580109</v>
      </c>
      <c r="L12" s="84">
        <f t="shared" si="3"/>
        <v>0.0001855676296758011</v>
      </c>
      <c r="M12" s="81"/>
      <c r="N12" s="81"/>
      <c r="O12" s="84"/>
      <c r="P12" s="81"/>
      <c r="Q12" s="84"/>
      <c r="R12" s="81"/>
      <c r="S12" s="84"/>
      <c r="T12" s="81"/>
      <c r="U12" s="85"/>
      <c r="V12" s="81"/>
      <c r="W12" s="85"/>
      <c r="X12" s="81"/>
      <c r="Y12" s="85"/>
      <c r="Z12" s="81"/>
      <c r="AA12" s="85"/>
      <c r="AB12" s="81"/>
      <c r="AC12" s="85"/>
      <c r="AD12" s="81"/>
      <c r="AE12" s="85"/>
      <c r="AF12" s="81"/>
      <c r="AG12" s="85"/>
      <c r="AH12" s="81"/>
      <c r="AI12" s="85"/>
    </row>
    <row r="13" spans="1:35" s="80" customFormat="1" ht="12.75">
      <c r="A13" s="80" t="s">
        <v>188</v>
      </c>
      <c r="B13" s="80">
        <v>9</v>
      </c>
      <c r="C13" s="80" t="s">
        <v>244</v>
      </c>
      <c r="D13" s="83">
        <v>0.1</v>
      </c>
      <c r="E13" s="81"/>
      <c r="F13" s="84">
        <v>0.002626408610023819</v>
      </c>
      <c r="G13" s="84">
        <f t="shared" si="0"/>
        <v>0.002626408610023819</v>
      </c>
      <c r="H13" s="84">
        <f t="shared" si="1"/>
        <v>0.00026264086100238193</v>
      </c>
      <c r="I13" s="81"/>
      <c r="J13" s="84">
        <v>0.0028948550229425</v>
      </c>
      <c r="K13" s="84">
        <f t="shared" si="2"/>
        <v>0.0028948550229425</v>
      </c>
      <c r="L13" s="84">
        <f t="shared" si="3"/>
        <v>0.00028948550229425</v>
      </c>
      <c r="M13" s="81"/>
      <c r="N13" s="81"/>
      <c r="O13" s="84"/>
      <c r="P13" s="81"/>
      <c r="Q13" s="84"/>
      <c r="R13" s="81"/>
      <c r="S13" s="84"/>
      <c r="T13" s="81"/>
      <c r="U13" s="85"/>
      <c r="V13" s="81"/>
      <c r="W13" s="85"/>
      <c r="X13" s="81"/>
      <c r="Y13" s="85"/>
      <c r="Z13" s="81"/>
      <c r="AA13" s="85"/>
      <c r="AB13" s="81"/>
      <c r="AC13" s="85"/>
      <c r="AD13" s="81"/>
      <c r="AE13" s="85"/>
      <c r="AF13" s="81"/>
      <c r="AG13" s="85"/>
      <c r="AH13" s="81"/>
      <c r="AI13" s="85"/>
    </row>
    <row r="14" spans="1:35" s="80" customFormat="1" ht="12.75">
      <c r="A14" s="80" t="s">
        <v>188</v>
      </c>
      <c r="B14" s="80">
        <v>10</v>
      </c>
      <c r="C14" s="80" t="s">
        <v>245</v>
      </c>
      <c r="D14" s="83">
        <v>0</v>
      </c>
      <c r="E14" s="81"/>
      <c r="F14" s="84">
        <v>0.021886738416865167</v>
      </c>
      <c r="G14" s="84">
        <f t="shared" si="0"/>
        <v>0.021886738416865167</v>
      </c>
      <c r="H14" s="84">
        <f t="shared" si="1"/>
        <v>0</v>
      </c>
      <c r="I14" s="81"/>
      <c r="J14" s="84">
        <v>0.008647451542892332</v>
      </c>
      <c r="K14" s="84">
        <f t="shared" si="2"/>
        <v>0.008647451542892332</v>
      </c>
      <c r="L14" s="84">
        <f t="shared" si="3"/>
        <v>0</v>
      </c>
      <c r="M14" s="81"/>
      <c r="N14" s="81"/>
      <c r="O14" s="84"/>
      <c r="P14" s="81"/>
      <c r="Q14" s="84"/>
      <c r="R14" s="81"/>
      <c r="S14" s="84"/>
      <c r="T14" s="81"/>
      <c r="U14" s="85"/>
      <c r="V14" s="81"/>
      <c r="W14" s="85"/>
      <c r="X14" s="81"/>
      <c r="Y14" s="85"/>
      <c r="Z14" s="81"/>
      <c r="AA14" s="85"/>
      <c r="AB14" s="81"/>
      <c r="AC14" s="85"/>
      <c r="AD14" s="81"/>
      <c r="AE14" s="85"/>
      <c r="AF14" s="81"/>
      <c r="AG14" s="85"/>
      <c r="AH14" s="81"/>
      <c r="AI14" s="85"/>
    </row>
    <row r="15" spans="1:35" s="80" customFormat="1" ht="12.75">
      <c r="A15" s="80" t="s">
        <v>188</v>
      </c>
      <c r="B15" s="80">
        <v>11</v>
      </c>
      <c r="C15" s="80" t="s">
        <v>246</v>
      </c>
      <c r="D15" s="83">
        <v>0</v>
      </c>
      <c r="E15" s="81"/>
      <c r="F15" s="84">
        <v>0.029547096862768</v>
      </c>
      <c r="G15" s="84">
        <f t="shared" si="0"/>
        <v>0.029547096862768</v>
      </c>
      <c r="H15" s="84">
        <f t="shared" si="1"/>
        <v>0</v>
      </c>
      <c r="I15" s="81"/>
      <c r="J15" s="84">
        <v>0.01855676296758011</v>
      </c>
      <c r="K15" s="84">
        <f t="shared" si="2"/>
        <v>0.01855676296758011</v>
      </c>
      <c r="L15" s="84">
        <f t="shared" si="3"/>
        <v>0</v>
      </c>
      <c r="M15" s="81"/>
      <c r="N15" s="81"/>
      <c r="O15" s="84"/>
      <c r="P15" s="81"/>
      <c r="Q15" s="84"/>
      <c r="R15" s="81"/>
      <c r="S15" s="84"/>
      <c r="T15" s="81"/>
      <c r="U15" s="85"/>
      <c r="V15" s="81"/>
      <c r="W15" s="85"/>
      <c r="X15" s="81"/>
      <c r="Y15" s="85"/>
      <c r="Z15" s="81"/>
      <c r="AA15" s="85"/>
      <c r="AB15" s="81"/>
      <c r="AC15" s="85"/>
      <c r="AD15" s="81"/>
      <c r="AE15" s="85"/>
      <c r="AF15" s="81"/>
      <c r="AG15" s="85"/>
      <c r="AH15" s="81"/>
      <c r="AI15" s="85"/>
    </row>
    <row r="16" spans="1:35" s="80" customFormat="1" ht="12.75">
      <c r="A16" s="80" t="s">
        <v>188</v>
      </c>
      <c r="B16" s="80">
        <v>12</v>
      </c>
      <c r="C16" s="80" t="s">
        <v>247</v>
      </c>
      <c r="D16" s="83">
        <v>0.01</v>
      </c>
      <c r="E16" s="81"/>
      <c r="F16" s="84">
        <v>0.012767264076504678</v>
      </c>
      <c r="G16" s="84">
        <f t="shared" si="0"/>
        <v>0.012767264076504678</v>
      </c>
      <c r="H16" s="84">
        <f t="shared" si="1"/>
        <v>0.00012767264076504677</v>
      </c>
      <c r="I16" s="81"/>
      <c r="J16" s="84">
        <v>0.016701086670822</v>
      </c>
      <c r="K16" s="84">
        <f t="shared" si="2"/>
        <v>0.016701086670822</v>
      </c>
      <c r="L16" s="84">
        <f t="shared" si="3"/>
        <v>0.00016701086670822</v>
      </c>
      <c r="M16" s="81"/>
      <c r="N16" s="81"/>
      <c r="O16" s="84"/>
      <c r="P16" s="81"/>
      <c r="Q16" s="84"/>
      <c r="R16" s="81"/>
      <c r="S16" s="84"/>
      <c r="T16" s="81"/>
      <c r="U16" s="85"/>
      <c r="V16" s="81"/>
      <c r="W16" s="85"/>
      <c r="X16" s="81"/>
      <c r="Y16" s="85"/>
      <c r="Z16" s="81"/>
      <c r="AA16" s="85"/>
      <c r="AB16" s="81"/>
      <c r="AC16" s="85"/>
      <c r="AD16" s="81"/>
      <c r="AE16" s="85"/>
      <c r="AF16" s="81"/>
      <c r="AG16" s="85"/>
      <c r="AH16" s="81"/>
      <c r="AI16" s="85"/>
    </row>
    <row r="17" spans="1:35" s="80" customFormat="1" ht="12.75">
      <c r="A17" s="80" t="s">
        <v>188</v>
      </c>
      <c r="B17" s="80">
        <v>13</v>
      </c>
      <c r="C17" s="80" t="s">
        <v>248</v>
      </c>
      <c r="D17" s="83">
        <v>0</v>
      </c>
      <c r="E17" s="81"/>
      <c r="F17" s="84">
        <v>0.01167292715566142</v>
      </c>
      <c r="G17" s="84">
        <f t="shared" si="0"/>
        <v>0.01167292715566142</v>
      </c>
      <c r="H17" s="84">
        <f t="shared" si="1"/>
        <v>0</v>
      </c>
      <c r="I17" s="81"/>
      <c r="J17" s="84">
        <v>0.013360869336657678</v>
      </c>
      <c r="K17" s="84">
        <f t="shared" si="2"/>
        <v>0.013360869336657678</v>
      </c>
      <c r="L17" s="84">
        <f t="shared" si="3"/>
        <v>0</v>
      </c>
      <c r="M17" s="81"/>
      <c r="N17" s="81"/>
      <c r="O17" s="84"/>
      <c r="P17" s="81"/>
      <c r="Q17" s="84"/>
      <c r="R17" s="81"/>
      <c r="S17" s="84"/>
      <c r="T17" s="81"/>
      <c r="U17" s="85"/>
      <c r="V17" s="81"/>
      <c r="W17" s="85"/>
      <c r="X17" s="81"/>
      <c r="Y17" s="85"/>
      <c r="Z17" s="81"/>
      <c r="AA17" s="85"/>
      <c r="AB17" s="81"/>
      <c r="AC17" s="85"/>
      <c r="AD17" s="81"/>
      <c r="AE17" s="85"/>
      <c r="AF17" s="81"/>
      <c r="AG17" s="85"/>
      <c r="AH17" s="81"/>
      <c r="AI17" s="85"/>
    </row>
    <row r="18" spans="1:35" s="80" customFormat="1" ht="12.75">
      <c r="A18" s="80" t="s">
        <v>188</v>
      </c>
      <c r="B18" s="80">
        <v>14</v>
      </c>
      <c r="C18" s="80" t="s">
        <v>249</v>
      </c>
      <c r="D18" s="83">
        <v>0</v>
      </c>
      <c r="E18" s="81"/>
      <c r="F18" s="84">
        <v>0.024440191232166</v>
      </c>
      <c r="G18" s="84">
        <f t="shared" si="0"/>
        <v>0.024440191232166</v>
      </c>
      <c r="H18" s="84">
        <f t="shared" si="1"/>
        <v>0</v>
      </c>
      <c r="I18" s="81"/>
      <c r="J18" s="84">
        <v>0.03006195600747977</v>
      </c>
      <c r="K18" s="84">
        <f t="shared" si="2"/>
        <v>0.03006195600747977</v>
      </c>
      <c r="L18" s="84">
        <f t="shared" si="3"/>
        <v>0</v>
      </c>
      <c r="M18" s="81"/>
      <c r="N18" s="81"/>
      <c r="O18" s="84"/>
      <c r="P18" s="81"/>
      <c r="Q18" s="84"/>
      <c r="R18" s="81"/>
      <c r="S18" s="84"/>
      <c r="T18" s="81"/>
      <c r="U18" s="85"/>
      <c r="V18" s="81"/>
      <c r="W18" s="85"/>
      <c r="X18" s="81"/>
      <c r="Y18" s="85"/>
      <c r="Z18" s="81"/>
      <c r="AA18" s="85"/>
      <c r="AB18" s="81"/>
      <c r="AC18" s="85"/>
      <c r="AD18" s="81"/>
      <c r="AE18" s="85"/>
      <c r="AF18" s="81"/>
      <c r="AG18" s="85"/>
      <c r="AH18" s="81"/>
      <c r="AI18" s="85"/>
    </row>
    <row r="19" spans="1:35" s="80" customFormat="1" ht="12.75">
      <c r="A19" s="80" t="s">
        <v>188</v>
      </c>
      <c r="B19" s="80">
        <v>15</v>
      </c>
      <c r="C19" s="80" t="s">
        <v>250</v>
      </c>
      <c r="D19" s="83">
        <v>0.001</v>
      </c>
      <c r="E19" s="81"/>
      <c r="F19" s="84">
        <v>0.17144611759877706</v>
      </c>
      <c r="G19" s="84">
        <f t="shared" si="0"/>
        <v>0.17144611759877706</v>
      </c>
      <c r="H19" s="84">
        <f t="shared" si="1"/>
        <v>0.00017144611759877705</v>
      </c>
      <c r="I19" s="81"/>
      <c r="J19" s="84">
        <v>1.187632829925127</v>
      </c>
      <c r="K19" s="84">
        <f t="shared" si="2"/>
        <v>1.187632829925127</v>
      </c>
      <c r="L19" s="84">
        <f t="shared" si="3"/>
        <v>0.0011876328299251272</v>
      </c>
      <c r="M19" s="81"/>
      <c r="N19" s="81"/>
      <c r="O19" s="84"/>
      <c r="P19" s="81"/>
      <c r="Q19" s="84"/>
      <c r="R19" s="81"/>
      <c r="S19" s="84"/>
      <c r="T19" s="81"/>
      <c r="U19" s="85"/>
      <c r="V19" s="81"/>
      <c r="W19" s="85"/>
      <c r="X19" s="81"/>
      <c r="Y19" s="85"/>
      <c r="Z19" s="81"/>
      <c r="AA19" s="85"/>
      <c r="AB19" s="81"/>
      <c r="AC19" s="85"/>
      <c r="AD19" s="81"/>
      <c r="AE19" s="85"/>
      <c r="AF19" s="81"/>
      <c r="AG19" s="85"/>
      <c r="AH19" s="81"/>
      <c r="AI19" s="85"/>
    </row>
    <row r="20" spans="1:35" s="80" customFormat="1" ht="12.75">
      <c r="A20" s="80" t="s">
        <v>188</v>
      </c>
      <c r="B20" s="80">
        <v>16</v>
      </c>
      <c r="C20" s="80" t="s">
        <v>251</v>
      </c>
      <c r="D20" s="83">
        <v>0.1</v>
      </c>
      <c r="E20" s="81"/>
      <c r="F20" s="84">
        <v>2.9547096862768</v>
      </c>
      <c r="G20" s="84">
        <f t="shared" si="0"/>
        <v>2.9547096862768</v>
      </c>
      <c r="H20" s="84">
        <f t="shared" si="1"/>
        <v>0.29547096862768</v>
      </c>
      <c r="I20" s="81"/>
      <c r="J20" s="84">
        <v>2.1896980301744526</v>
      </c>
      <c r="K20" s="84">
        <f t="shared" si="2"/>
        <v>2.1896980301744526</v>
      </c>
      <c r="L20" s="84">
        <f t="shared" si="3"/>
        <v>0.21896980301744529</v>
      </c>
      <c r="M20" s="81"/>
      <c r="N20" s="81"/>
      <c r="O20" s="84"/>
      <c r="P20" s="81"/>
      <c r="Q20" s="84"/>
      <c r="R20" s="81"/>
      <c r="S20" s="84"/>
      <c r="T20" s="81"/>
      <c r="U20" s="85"/>
      <c r="V20" s="81"/>
      <c r="W20" s="85"/>
      <c r="X20" s="81"/>
      <c r="Y20" s="85"/>
      <c r="Z20" s="81"/>
      <c r="AA20" s="85"/>
      <c r="AB20" s="81"/>
      <c r="AC20" s="85"/>
      <c r="AD20" s="81"/>
      <c r="AE20" s="85"/>
      <c r="AF20" s="81"/>
      <c r="AG20" s="85"/>
      <c r="AH20" s="81"/>
      <c r="AI20" s="85"/>
    </row>
    <row r="21" spans="1:35" s="80" customFormat="1" ht="12.75">
      <c r="A21" s="80" t="s">
        <v>188</v>
      </c>
      <c r="B21" s="80">
        <v>17</v>
      </c>
      <c r="C21" s="80" t="s">
        <v>252</v>
      </c>
      <c r="D21" s="83">
        <v>0</v>
      </c>
      <c r="E21" s="81"/>
      <c r="F21" s="84">
        <v>20.026365651431625</v>
      </c>
      <c r="G21" s="84">
        <f t="shared" si="0"/>
        <v>20.026365651431625</v>
      </c>
      <c r="H21" s="84">
        <f t="shared" si="1"/>
        <v>0</v>
      </c>
      <c r="I21" s="81"/>
      <c r="J21" s="84">
        <v>10.42890078778</v>
      </c>
      <c r="K21" s="84">
        <f t="shared" si="2"/>
        <v>10.42890078778</v>
      </c>
      <c r="L21" s="84">
        <f t="shared" si="3"/>
        <v>0</v>
      </c>
      <c r="M21" s="81"/>
      <c r="N21" s="81"/>
      <c r="O21" s="84"/>
      <c r="P21" s="81"/>
      <c r="Q21" s="84"/>
      <c r="R21" s="81"/>
      <c r="S21" s="84"/>
      <c r="T21" s="81"/>
      <c r="U21" s="85"/>
      <c r="V21" s="81"/>
      <c r="W21" s="85"/>
      <c r="X21" s="81"/>
      <c r="Y21" s="85"/>
      <c r="Z21" s="81"/>
      <c r="AA21" s="85"/>
      <c r="AB21" s="81"/>
      <c r="AC21" s="85"/>
      <c r="AD21" s="81"/>
      <c r="AE21" s="85"/>
      <c r="AF21" s="81"/>
      <c r="AG21" s="85"/>
      <c r="AH21" s="81"/>
      <c r="AI21" s="85"/>
    </row>
    <row r="22" spans="1:35" s="80" customFormat="1" ht="12.75">
      <c r="A22" s="80" t="s">
        <v>188</v>
      </c>
      <c r="B22" s="80">
        <v>18</v>
      </c>
      <c r="C22" s="80" t="s">
        <v>253</v>
      </c>
      <c r="D22" s="83">
        <v>0</v>
      </c>
      <c r="E22" s="81"/>
      <c r="F22" s="84">
        <v>22.981075337708422</v>
      </c>
      <c r="G22" s="84">
        <f t="shared" si="0"/>
        <v>22.981075337708422</v>
      </c>
      <c r="H22" s="84">
        <f t="shared" si="1"/>
        <v>0</v>
      </c>
      <c r="I22" s="81"/>
      <c r="J22" s="84">
        <v>12.618598817954473</v>
      </c>
      <c r="K22" s="84">
        <f t="shared" si="2"/>
        <v>12.618598817954473</v>
      </c>
      <c r="L22" s="84">
        <f t="shared" si="3"/>
        <v>0</v>
      </c>
      <c r="M22" s="81"/>
      <c r="N22" s="81"/>
      <c r="O22" s="84"/>
      <c r="P22" s="81"/>
      <c r="Q22" s="84"/>
      <c r="R22" s="81"/>
      <c r="S22" s="84"/>
      <c r="T22" s="81"/>
      <c r="U22" s="85"/>
      <c r="V22" s="81"/>
      <c r="W22" s="85"/>
      <c r="X22" s="81"/>
      <c r="Y22" s="85"/>
      <c r="Z22" s="81"/>
      <c r="AA22" s="85"/>
      <c r="AB22" s="81"/>
      <c r="AC22" s="85"/>
      <c r="AD22" s="81"/>
      <c r="AE22" s="85"/>
      <c r="AF22" s="81"/>
      <c r="AG22" s="85"/>
      <c r="AH22" s="81"/>
      <c r="AI22" s="85"/>
    </row>
    <row r="23" spans="1:35" s="80" customFormat="1" ht="12.75">
      <c r="A23" s="80" t="s">
        <v>188</v>
      </c>
      <c r="B23" s="80">
        <v>19</v>
      </c>
      <c r="C23" s="80" t="s">
        <v>254</v>
      </c>
      <c r="D23" s="83">
        <v>0.05</v>
      </c>
      <c r="E23" s="81"/>
      <c r="F23" s="84">
        <v>0.22981075337708418</v>
      </c>
      <c r="G23" s="84">
        <f t="shared" si="0"/>
        <v>0.22981075337708418</v>
      </c>
      <c r="H23" s="84">
        <f t="shared" si="1"/>
        <v>0.01149053766885421</v>
      </c>
      <c r="I23" s="81"/>
      <c r="J23" s="84">
        <v>0.16329951411470495</v>
      </c>
      <c r="K23" s="84">
        <f t="shared" si="2"/>
        <v>0.16329951411470495</v>
      </c>
      <c r="L23" s="84">
        <f t="shared" si="3"/>
        <v>0.008164975705735248</v>
      </c>
      <c r="M23" s="81"/>
      <c r="N23" s="81"/>
      <c r="O23" s="84"/>
      <c r="P23" s="81"/>
      <c r="Q23" s="84"/>
      <c r="R23" s="81"/>
      <c r="S23" s="84"/>
      <c r="T23" s="81"/>
      <c r="U23" s="85"/>
      <c r="V23" s="81"/>
      <c r="W23" s="85"/>
      <c r="X23" s="81"/>
      <c r="Y23" s="85"/>
      <c r="Z23" s="81"/>
      <c r="AA23" s="85"/>
      <c r="AB23" s="81"/>
      <c r="AC23" s="85"/>
      <c r="AD23" s="81"/>
      <c r="AE23" s="85"/>
      <c r="AF23" s="81"/>
      <c r="AG23" s="85"/>
      <c r="AH23" s="81"/>
      <c r="AI23" s="85"/>
    </row>
    <row r="24" spans="1:35" s="80" customFormat="1" ht="12.75">
      <c r="A24" s="80" t="s">
        <v>188</v>
      </c>
      <c r="B24" s="80">
        <v>20</v>
      </c>
      <c r="C24" s="80" t="s">
        <v>255</v>
      </c>
      <c r="D24" s="83">
        <v>0.5</v>
      </c>
      <c r="E24" s="81"/>
      <c r="F24" s="84">
        <v>0.510690563060187</v>
      </c>
      <c r="G24" s="84">
        <f t="shared" si="0"/>
        <v>0.510690563060187</v>
      </c>
      <c r="H24" s="84">
        <f t="shared" si="1"/>
        <v>0.2553452815300935</v>
      </c>
      <c r="I24" s="81"/>
      <c r="J24" s="84">
        <v>0.36371255416457</v>
      </c>
      <c r="K24" s="84">
        <f t="shared" si="2"/>
        <v>0.36371255416457</v>
      </c>
      <c r="L24" s="84">
        <f t="shared" si="3"/>
        <v>0.181856277082285</v>
      </c>
      <c r="M24" s="81"/>
      <c r="N24" s="81"/>
      <c r="O24" s="84"/>
      <c r="P24" s="81"/>
      <c r="Q24" s="84"/>
      <c r="R24" s="81"/>
      <c r="S24" s="84"/>
      <c r="T24" s="81"/>
      <c r="U24" s="85"/>
      <c r="V24" s="81"/>
      <c r="W24" s="85"/>
      <c r="X24" s="81"/>
      <c r="Y24" s="85"/>
      <c r="Z24" s="81"/>
      <c r="AA24" s="85"/>
      <c r="AB24" s="81"/>
      <c r="AC24" s="85"/>
      <c r="AD24" s="81"/>
      <c r="AE24" s="85"/>
      <c r="AF24" s="81"/>
      <c r="AG24" s="85"/>
      <c r="AH24" s="81"/>
      <c r="AI24" s="85"/>
    </row>
    <row r="25" spans="1:35" s="80" customFormat="1" ht="12.75">
      <c r="A25" s="80" t="s">
        <v>188</v>
      </c>
      <c r="B25" s="80">
        <v>21</v>
      </c>
      <c r="C25" s="80" t="s">
        <v>256</v>
      </c>
      <c r="D25" s="83">
        <v>0</v>
      </c>
      <c r="E25" s="81"/>
      <c r="F25" s="84">
        <v>5.460741235007858</v>
      </c>
      <c r="G25" s="84">
        <f t="shared" si="0"/>
        <v>5.460741235007858</v>
      </c>
      <c r="H25" s="84">
        <f t="shared" si="1"/>
        <v>0</v>
      </c>
      <c r="I25" s="81"/>
      <c r="J25" s="84">
        <v>3.1843405252367467</v>
      </c>
      <c r="K25" s="84">
        <f t="shared" si="2"/>
        <v>3.1843405252367467</v>
      </c>
      <c r="L25" s="84">
        <f t="shared" si="3"/>
        <v>0</v>
      </c>
      <c r="M25" s="81"/>
      <c r="N25" s="81"/>
      <c r="O25" s="84"/>
      <c r="P25" s="81"/>
      <c r="Q25" s="84"/>
      <c r="R25" s="81"/>
      <c r="S25" s="84"/>
      <c r="T25" s="81"/>
      <c r="U25" s="85"/>
      <c r="V25" s="81"/>
      <c r="W25" s="85"/>
      <c r="X25" s="81"/>
      <c r="Y25" s="85"/>
      <c r="Z25" s="81"/>
      <c r="AA25" s="85"/>
      <c r="AB25" s="81"/>
      <c r="AC25" s="85"/>
      <c r="AD25" s="81"/>
      <c r="AE25" s="85"/>
      <c r="AF25" s="81"/>
      <c r="AG25" s="85"/>
      <c r="AH25" s="81"/>
      <c r="AI25" s="85"/>
    </row>
    <row r="26" spans="1:35" s="80" customFormat="1" ht="12.75">
      <c r="A26" s="80" t="s">
        <v>188</v>
      </c>
      <c r="B26" s="80">
        <v>22</v>
      </c>
      <c r="C26" s="80" t="s">
        <v>257</v>
      </c>
      <c r="D26" s="83">
        <v>0</v>
      </c>
      <c r="E26" s="81"/>
      <c r="F26" s="84">
        <v>6.201242551445129</v>
      </c>
      <c r="G26" s="84">
        <f t="shared" si="0"/>
        <v>6.201242551445129</v>
      </c>
      <c r="H26" s="84">
        <f t="shared" si="1"/>
        <v>0</v>
      </c>
      <c r="I26" s="81"/>
      <c r="J26" s="84">
        <v>3.711352593516022</v>
      </c>
      <c r="K26" s="84">
        <f t="shared" si="2"/>
        <v>3.711352593516022</v>
      </c>
      <c r="L26" s="84">
        <f t="shared" si="3"/>
        <v>0</v>
      </c>
      <c r="M26" s="81"/>
      <c r="N26" s="81"/>
      <c r="O26" s="84"/>
      <c r="P26" s="81"/>
      <c r="Q26" s="84"/>
      <c r="R26" s="81"/>
      <c r="S26" s="84"/>
      <c r="T26" s="81"/>
      <c r="U26" s="85"/>
      <c r="V26" s="81"/>
      <c r="W26" s="85"/>
      <c r="X26" s="81"/>
      <c r="Y26" s="85"/>
      <c r="Z26" s="81"/>
      <c r="AA26" s="85"/>
      <c r="AB26" s="81"/>
      <c r="AC26" s="85"/>
      <c r="AD26" s="81"/>
      <c r="AE26" s="85"/>
      <c r="AF26" s="81"/>
      <c r="AG26" s="85"/>
      <c r="AH26" s="81"/>
      <c r="AI26" s="85"/>
    </row>
    <row r="27" spans="1:35" s="80" customFormat="1" ht="12.75">
      <c r="A27" s="80" t="s">
        <v>188</v>
      </c>
      <c r="B27" s="80">
        <v>23</v>
      </c>
      <c r="C27" s="80" t="s">
        <v>258</v>
      </c>
      <c r="D27" s="83">
        <v>0.1</v>
      </c>
      <c r="E27" s="81"/>
      <c r="F27" s="84">
        <v>0.17144611759877706</v>
      </c>
      <c r="G27" s="84">
        <f t="shared" si="0"/>
        <v>0.17144611759877706</v>
      </c>
      <c r="H27" s="84">
        <f t="shared" si="1"/>
        <v>0.017144611759877706</v>
      </c>
      <c r="I27" s="81"/>
      <c r="J27" s="84">
        <v>0.12247463558602872</v>
      </c>
      <c r="K27" s="84">
        <f t="shared" si="2"/>
        <v>0.12247463558602872</v>
      </c>
      <c r="L27" s="84">
        <f t="shared" si="3"/>
        <v>0.012247463558602872</v>
      </c>
      <c r="M27" s="81"/>
      <c r="N27" s="81"/>
      <c r="O27" s="84"/>
      <c r="P27" s="81"/>
      <c r="Q27" s="84"/>
      <c r="R27" s="81"/>
      <c r="S27" s="84"/>
      <c r="T27" s="81"/>
      <c r="U27" s="85"/>
      <c r="V27" s="81"/>
      <c r="W27" s="85"/>
      <c r="X27" s="81"/>
      <c r="Y27" s="85"/>
      <c r="Z27" s="81"/>
      <c r="AA27" s="85"/>
      <c r="AB27" s="81"/>
      <c r="AC27" s="85"/>
      <c r="AD27" s="81"/>
      <c r="AE27" s="85"/>
      <c r="AF27" s="81"/>
      <c r="AG27" s="85"/>
      <c r="AH27" s="81"/>
      <c r="AI27" s="85"/>
    </row>
    <row r="28" spans="1:35" s="80" customFormat="1" ht="12.75">
      <c r="A28" s="80" t="s">
        <v>188</v>
      </c>
      <c r="B28" s="80">
        <v>24</v>
      </c>
      <c r="C28" s="80" t="s">
        <v>259</v>
      </c>
      <c r="D28" s="83">
        <v>0.1</v>
      </c>
      <c r="E28" s="81"/>
      <c r="F28" s="84">
        <v>0.04377347683373032</v>
      </c>
      <c r="G28" s="84">
        <f t="shared" si="0"/>
        <v>0.04377347683373032</v>
      </c>
      <c r="H28" s="84">
        <f t="shared" si="1"/>
        <v>0.004377347683373032</v>
      </c>
      <c r="I28" s="81"/>
      <c r="J28" s="84">
        <v>0.0348867143790506</v>
      </c>
      <c r="K28" s="84">
        <f t="shared" si="2"/>
        <v>0.0348867143790506</v>
      </c>
      <c r="L28" s="84">
        <f t="shared" si="3"/>
        <v>0.0034886714379050603</v>
      </c>
      <c r="M28" s="81"/>
      <c r="N28" s="81"/>
      <c r="O28" s="84"/>
      <c r="P28" s="81"/>
      <c r="Q28" s="84"/>
      <c r="R28" s="81"/>
      <c r="S28" s="84"/>
      <c r="T28" s="81"/>
      <c r="U28" s="85"/>
      <c r="V28" s="81"/>
      <c r="W28" s="85"/>
      <c r="X28" s="81"/>
      <c r="Y28" s="85"/>
      <c r="Z28" s="81"/>
      <c r="AA28" s="85"/>
      <c r="AB28" s="81"/>
      <c r="AC28" s="85"/>
      <c r="AD28" s="81"/>
      <c r="AE28" s="85"/>
      <c r="AF28" s="81"/>
      <c r="AG28" s="85"/>
      <c r="AH28" s="81"/>
      <c r="AI28" s="85"/>
    </row>
    <row r="29" spans="1:35" s="80" customFormat="1" ht="12.75">
      <c r="A29" s="80" t="s">
        <v>188</v>
      </c>
      <c r="B29" s="80">
        <v>25</v>
      </c>
      <c r="C29" s="80" t="s">
        <v>260</v>
      </c>
      <c r="D29" s="83">
        <v>0.1</v>
      </c>
      <c r="E29" s="81"/>
      <c r="F29" s="84">
        <v>0.04377347683373032</v>
      </c>
      <c r="G29" s="84">
        <f t="shared" si="0"/>
        <v>0.04377347683373032</v>
      </c>
      <c r="H29" s="84">
        <f t="shared" si="1"/>
        <v>0.004377347683373032</v>
      </c>
      <c r="I29" s="81"/>
      <c r="J29" s="84">
        <v>0.030804226526183</v>
      </c>
      <c r="K29" s="84">
        <f t="shared" si="2"/>
        <v>0.030804226526183</v>
      </c>
      <c r="L29" s="84">
        <f t="shared" si="3"/>
        <v>0.0030804226526183003</v>
      </c>
      <c r="M29" s="81"/>
      <c r="N29" s="81"/>
      <c r="O29" s="84"/>
      <c r="P29" s="81"/>
      <c r="Q29" s="84"/>
      <c r="R29" s="81"/>
      <c r="S29" s="84"/>
      <c r="T29" s="81"/>
      <c r="U29" s="85"/>
      <c r="V29" s="81"/>
      <c r="W29" s="85"/>
      <c r="X29" s="81"/>
      <c r="Y29" s="85"/>
      <c r="Z29" s="81"/>
      <c r="AA29" s="85"/>
      <c r="AB29" s="81"/>
      <c r="AC29" s="85"/>
      <c r="AD29" s="81"/>
      <c r="AE29" s="85"/>
      <c r="AF29" s="81"/>
      <c r="AG29" s="85"/>
      <c r="AH29" s="81"/>
      <c r="AI29" s="85"/>
    </row>
    <row r="30" spans="1:35" s="80" customFormat="1" ht="12.75">
      <c r="A30" s="80" t="s">
        <v>188</v>
      </c>
      <c r="B30" s="80">
        <v>26</v>
      </c>
      <c r="C30" s="80" t="s">
        <v>261</v>
      </c>
      <c r="D30" s="83">
        <v>0.1</v>
      </c>
      <c r="E30" s="81"/>
      <c r="F30" s="84">
        <v>0.0016050274839034453</v>
      </c>
      <c r="G30" s="84">
        <f t="shared" si="0"/>
        <v>0.0016050274839034453</v>
      </c>
      <c r="H30" s="84">
        <f t="shared" si="1"/>
        <v>0.00016050274839034454</v>
      </c>
      <c r="I30" s="81"/>
      <c r="J30" s="84">
        <v>0.0019299033486283312</v>
      </c>
      <c r="K30" s="84">
        <f t="shared" si="2"/>
        <v>0.0019299033486283312</v>
      </c>
      <c r="L30" s="84">
        <f t="shared" si="3"/>
        <v>0.00019299033486283313</v>
      </c>
      <c r="M30" s="81"/>
      <c r="N30" s="81"/>
      <c r="O30" s="84"/>
      <c r="P30" s="81"/>
      <c r="Q30" s="84"/>
      <c r="R30" s="81"/>
      <c r="S30" s="84"/>
      <c r="T30" s="81"/>
      <c r="U30" s="85"/>
      <c r="V30" s="81"/>
      <c r="W30" s="85"/>
      <c r="X30" s="81"/>
      <c r="Y30" s="85"/>
      <c r="Z30" s="81"/>
      <c r="AA30" s="85"/>
      <c r="AB30" s="81"/>
      <c r="AC30" s="85"/>
      <c r="AD30" s="81"/>
      <c r="AE30" s="85"/>
      <c r="AF30" s="81"/>
      <c r="AG30" s="85"/>
      <c r="AH30" s="81"/>
      <c r="AI30" s="85"/>
    </row>
    <row r="31" spans="1:35" s="80" customFormat="1" ht="12.75">
      <c r="A31" s="80" t="s">
        <v>188</v>
      </c>
      <c r="B31" s="80">
        <v>27</v>
      </c>
      <c r="C31" s="80" t="s">
        <v>262</v>
      </c>
      <c r="D31" s="83">
        <v>0</v>
      </c>
      <c r="E31" s="81"/>
      <c r="F31" s="84">
        <v>0.4324819511172554</v>
      </c>
      <c r="G31" s="84">
        <f t="shared" si="0"/>
        <v>0.4324819511172554</v>
      </c>
      <c r="H31" s="84">
        <f t="shared" si="1"/>
        <v>0</v>
      </c>
      <c r="I31" s="81"/>
      <c r="J31" s="84">
        <v>0.255266831382032</v>
      </c>
      <c r="K31" s="84">
        <f t="shared" si="2"/>
        <v>0.255266831382032</v>
      </c>
      <c r="L31" s="84">
        <f t="shared" si="3"/>
        <v>0</v>
      </c>
      <c r="M31" s="81"/>
      <c r="N31" s="81"/>
      <c r="O31" s="84"/>
      <c r="P31" s="81"/>
      <c r="Q31" s="84"/>
      <c r="R31" s="81"/>
      <c r="S31" s="84"/>
      <c r="T31" s="81"/>
      <c r="U31" s="85"/>
      <c r="V31" s="81"/>
      <c r="W31" s="85"/>
      <c r="X31" s="81"/>
      <c r="Y31" s="85"/>
      <c r="Z31" s="81"/>
      <c r="AA31" s="85"/>
      <c r="AB31" s="81"/>
      <c r="AC31" s="85"/>
      <c r="AD31" s="81"/>
      <c r="AE31" s="85"/>
      <c r="AF31" s="81"/>
      <c r="AG31" s="85"/>
      <c r="AH31" s="81"/>
      <c r="AI31" s="85"/>
    </row>
    <row r="32" spans="1:35" s="80" customFormat="1" ht="12.75">
      <c r="A32" s="80" t="s">
        <v>188</v>
      </c>
      <c r="B32" s="80">
        <v>28</v>
      </c>
      <c r="C32" s="80" t="s">
        <v>263</v>
      </c>
      <c r="D32" s="83">
        <v>0</v>
      </c>
      <c r="E32" s="81"/>
      <c r="F32" s="84">
        <v>0.6930800498673966</v>
      </c>
      <c r="G32" s="84">
        <f t="shared" si="0"/>
        <v>0.6930800498673966</v>
      </c>
      <c r="H32" s="84">
        <f t="shared" si="1"/>
        <v>0</v>
      </c>
      <c r="I32" s="81"/>
      <c r="J32" s="84">
        <v>0.4453623112219226</v>
      </c>
      <c r="K32" s="84">
        <f t="shared" si="2"/>
        <v>0.4453623112219226</v>
      </c>
      <c r="L32" s="84">
        <f t="shared" si="3"/>
        <v>0</v>
      </c>
      <c r="M32" s="81"/>
      <c r="N32" s="81"/>
      <c r="O32" s="84"/>
      <c r="P32" s="81"/>
      <c r="Q32" s="84"/>
      <c r="R32" s="81"/>
      <c r="S32" s="84"/>
      <c r="T32" s="81"/>
      <c r="U32" s="85"/>
      <c r="V32" s="81"/>
      <c r="W32" s="85"/>
      <c r="X32" s="81"/>
      <c r="Y32" s="85"/>
      <c r="Z32" s="81"/>
      <c r="AA32" s="85"/>
      <c r="AB32" s="81"/>
      <c r="AC32" s="85"/>
      <c r="AD32" s="81"/>
      <c r="AE32" s="85"/>
      <c r="AF32" s="81"/>
      <c r="AG32" s="85"/>
      <c r="AH32" s="81"/>
      <c r="AI32" s="85"/>
    </row>
    <row r="33" spans="1:35" s="80" customFormat="1" ht="12.75">
      <c r="A33" s="80" t="s">
        <v>188</v>
      </c>
      <c r="B33" s="80">
        <v>29</v>
      </c>
      <c r="C33" s="80" t="s">
        <v>264</v>
      </c>
      <c r="D33" s="83">
        <v>0.01</v>
      </c>
      <c r="E33" s="81"/>
      <c r="F33" s="84">
        <v>0.030641433783611227</v>
      </c>
      <c r="G33" s="84">
        <f t="shared" si="0"/>
        <v>0.030641433783611227</v>
      </c>
      <c r="H33" s="84">
        <f t="shared" si="1"/>
        <v>0.0003064143378361123</v>
      </c>
      <c r="I33" s="81"/>
      <c r="J33" s="84">
        <v>0.026721738673315353</v>
      </c>
      <c r="K33" s="84">
        <f t="shared" si="2"/>
        <v>0.026721738673315353</v>
      </c>
      <c r="L33" s="84">
        <f t="shared" si="3"/>
        <v>0.0002672173867331535</v>
      </c>
      <c r="M33" s="81"/>
      <c r="N33" s="81"/>
      <c r="O33" s="84"/>
      <c r="P33" s="81"/>
      <c r="Q33" s="84"/>
      <c r="R33" s="81"/>
      <c r="S33" s="84"/>
      <c r="T33" s="81"/>
      <c r="U33" s="85"/>
      <c r="V33" s="81"/>
      <c r="W33" s="85"/>
      <c r="X33" s="81"/>
      <c r="Y33" s="85"/>
      <c r="Z33" s="81"/>
      <c r="AA33" s="85"/>
      <c r="AB33" s="81"/>
      <c r="AC33" s="85"/>
      <c r="AD33" s="81"/>
      <c r="AE33" s="85"/>
      <c r="AF33" s="81"/>
      <c r="AG33" s="85"/>
      <c r="AH33" s="81"/>
      <c r="AI33" s="85"/>
    </row>
    <row r="34" spans="1:35" s="80" customFormat="1" ht="12.75">
      <c r="A34" s="80" t="s">
        <v>188</v>
      </c>
      <c r="B34" s="80">
        <v>30</v>
      </c>
      <c r="C34" s="80" t="s">
        <v>265</v>
      </c>
      <c r="D34" s="83">
        <v>0.01</v>
      </c>
      <c r="E34" s="81"/>
      <c r="F34" s="84">
        <v>0.005106905630601871</v>
      </c>
      <c r="G34" s="84">
        <f t="shared" si="0"/>
        <v>0.005106905630601871</v>
      </c>
      <c r="H34" s="84">
        <f t="shared" si="1"/>
        <v>5.1069056306018714E-05</v>
      </c>
      <c r="I34" s="81"/>
      <c r="J34" s="84">
        <v>0.002635060341396375</v>
      </c>
      <c r="K34" s="84">
        <f t="shared" si="2"/>
        <v>0.002635060341396375</v>
      </c>
      <c r="L34" s="84">
        <f t="shared" si="3"/>
        <v>2.635060341396375E-05</v>
      </c>
      <c r="M34" s="81"/>
      <c r="N34" s="81"/>
      <c r="O34" s="84"/>
      <c r="P34" s="81"/>
      <c r="Q34" s="84"/>
      <c r="R34" s="81"/>
      <c r="S34" s="84"/>
      <c r="T34" s="81"/>
      <c r="U34" s="85"/>
      <c r="V34" s="81"/>
      <c r="W34" s="85"/>
      <c r="X34" s="81"/>
      <c r="Y34" s="85"/>
      <c r="Z34" s="81"/>
      <c r="AA34" s="85"/>
      <c r="AB34" s="81"/>
      <c r="AC34" s="85"/>
      <c r="AD34" s="81"/>
      <c r="AE34" s="85"/>
      <c r="AF34" s="81"/>
      <c r="AG34" s="85"/>
      <c r="AH34" s="81"/>
      <c r="AI34" s="85"/>
    </row>
    <row r="35" spans="1:35" s="80" customFormat="1" ht="12.75">
      <c r="A35" s="80" t="s">
        <v>188</v>
      </c>
      <c r="B35" s="80">
        <v>31</v>
      </c>
      <c r="C35" s="80" t="s">
        <v>266</v>
      </c>
      <c r="D35" s="83">
        <v>0</v>
      </c>
      <c r="E35" s="81"/>
      <c r="F35" s="84">
        <v>0.01167292715566142</v>
      </c>
      <c r="G35" s="84">
        <f t="shared" si="0"/>
        <v>0.01167292715566142</v>
      </c>
      <c r="H35" s="84">
        <f t="shared" si="1"/>
        <v>0</v>
      </c>
      <c r="I35" s="81"/>
      <c r="J35" s="84">
        <v>0.0114680795139645</v>
      </c>
      <c r="K35" s="84">
        <f t="shared" si="2"/>
        <v>0.0114680795139645</v>
      </c>
      <c r="L35" s="84">
        <f t="shared" si="3"/>
        <v>0</v>
      </c>
      <c r="M35" s="81"/>
      <c r="N35" s="81"/>
      <c r="O35" s="84"/>
      <c r="P35" s="81"/>
      <c r="Q35" s="84"/>
      <c r="R35" s="81"/>
      <c r="S35" s="84"/>
      <c r="T35" s="81"/>
      <c r="U35" s="85"/>
      <c r="V35" s="81"/>
      <c r="W35" s="85"/>
      <c r="X35" s="81"/>
      <c r="Y35" s="85"/>
      <c r="Z35" s="81"/>
      <c r="AA35" s="85"/>
      <c r="AB35" s="81"/>
      <c r="AC35" s="85"/>
      <c r="AD35" s="81"/>
      <c r="AE35" s="85"/>
      <c r="AF35" s="81"/>
      <c r="AG35" s="85"/>
      <c r="AH35" s="81"/>
      <c r="AI35" s="85"/>
    </row>
    <row r="36" spans="1:35" s="80" customFormat="1" ht="12.75">
      <c r="A36" s="80" t="s">
        <v>188</v>
      </c>
      <c r="B36" s="80">
        <v>32</v>
      </c>
      <c r="C36" s="80" t="s">
        <v>267</v>
      </c>
      <c r="D36" s="83">
        <v>0</v>
      </c>
      <c r="E36" s="81"/>
      <c r="F36" s="84">
        <v>0.04742126656987452</v>
      </c>
      <c r="G36" s="84">
        <f t="shared" si="0"/>
        <v>0.04742126656987452</v>
      </c>
      <c r="H36" s="84">
        <f t="shared" si="1"/>
        <v>0</v>
      </c>
      <c r="I36" s="81"/>
      <c r="J36" s="84">
        <v>0.04082487852867624</v>
      </c>
      <c r="K36" s="84">
        <f t="shared" si="2"/>
        <v>0.04082487852867624</v>
      </c>
      <c r="L36" s="84">
        <f t="shared" si="3"/>
        <v>0</v>
      </c>
      <c r="M36" s="81"/>
      <c r="N36" s="81"/>
      <c r="O36" s="84"/>
      <c r="P36" s="81"/>
      <c r="Q36" s="84"/>
      <c r="R36" s="81"/>
      <c r="S36" s="84"/>
      <c r="T36" s="81"/>
      <c r="U36" s="85"/>
      <c r="V36" s="81"/>
      <c r="W36" s="85"/>
      <c r="X36" s="81"/>
      <c r="Y36" s="85"/>
      <c r="Z36" s="81"/>
      <c r="AA36" s="85"/>
      <c r="AB36" s="81"/>
      <c r="AC36" s="85"/>
      <c r="AD36" s="81"/>
      <c r="AE36" s="85"/>
      <c r="AF36" s="81"/>
      <c r="AG36" s="85"/>
      <c r="AH36" s="81"/>
      <c r="AI36" s="85"/>
    </row>
    <row r="37" spans="1:35" s="80" customFormat="1" ht="12.75">
      <c r="A37" s="80" t="s">
        <v>188</v>
      </c>
      <c r="B37" s="80">
        <v>33</v>
      </c>
      <c r="C37" s="80" t="s">
        <v>268</v>
      </c>
      <c r="D37" s="83">
        <v>0.001</v>
      </c>
      <c r="E37" s="81"/>
      <c r="F37" s="84">
        <v>0.006566021525059547</v>
      </c>
      <c r="G37" s="84">
        <f t="shared" si="0"/>
        <v>0.006566021525059547</v>
      </c>
      <c r="H37" s="84">
        <f t="shared" si="1"/>
        <v>6.566021525059547E-06</v>
      </c>
      <c r="I37" s="81"/>
      <c r="J37" s="84">
        <v>0.007051569927680441</v>
      </c>
      <c r="K37" s="84">
        <f t="shared" si="2"/>
        <v>0.007051569927680441</v>
      </c>
      <c r="L37" s="84">
        <f t="shared" si="3"/>
        <v>7.051569927680441E-06</v>
      </c>
      <c r="M37" s="81"/>
      <c r="N37" s="81"/>
      <c r="O37" s="84"/>
      <c r="P37" s="81"/>
      <c r="Q37" s="84"/>
      <c r="R37" s="81"/>
      <c r="S37" s="84"/>
      <c r="T37" s="81"/>
      <c r="U37" s="85"/>
      <c r="V37" s="81"/>
      <c r="W37" s="85"/>
      <c r="X37" s="81"/>
      <c r="Y37" s="85"/>
      <c r="Z37" s="81"/>
      <c r="AA37" s="85"/>
      <c r="AB37" s="81"/>
      <c r="AC37" s="85"/>
      <c r="AD37" s="81"/>
      <c r="AE37" s="85"/>
      <c r="AF37" s="81"/>
      <c r="AG37" s="85"/>
      <c r="AH37" s="81"/>
      <c r="AI37" s="85"/>
    </row>
    <row r="38" spans="1:35" s="80" customFormat="1" ht="12.75">
      <c r="A38" s="80" t="s">
        <v>188</v>
      </c>
      <c r="B38" s="80">
        <v>34</v>
      </c>
      <c r="C38" s="80" t="s">
        <v>269</v>
      </c>
      <c r="D38" s="83"/>
      <c r="E38" s="81"/>
      <c r="F38" s="84">
        <v>32.11003393138288</v>
      </c>
      <c r="G38" s="84">
        <f>SUM(G37,G36,G32,G26,G22,G19,G18,G15,G10,G7)</f>
        <v>32.11003393138287</v>
      </c>
      <c r="H38" s="84"/>
      <c r="I38" s="81"/>
      <c r="J38" s="84">
        <v>19.74810715009875</v>
      </c>
      <c r="K38" s="84">
        <f>SUM(K37,K36,K32,K26,K22,K19,K18,K15,K10,K7)</f>
        <v>19.748107150098754</v>
      </c>
      <c r="L38" s="84"/>
      <c r="M38" s="81"/>
      <c r="N38" s="81"/>
      <c r="O38" s="84"/>
      <c r="P38" s="81"/>
      <c r="Q38" s="84"/>
      <c r="R38" s="81"/>
      <c r="S38" s="84"/>
      <c r="T38" s="81"/>
      <c r="U38" s="85"/>
      <c r="V38" s="81"/>
      <c r="W38" s="85"/>
      <c r="X38" s="81"/>
      <c r="Y38" s="85"/>
      <c r="Z38" s="81"/>
      <c r="AA38" s="85"/>
      <c r="AB38" s="81"/>
      <c r="AC38" s="85"/>
      <c r="AD38" s="81"/>
      <c r="AE38" s="85"/>
      <c r="AF38" s="81"/>
      <c r="AG38" s="85"/>
      <c r="AH38" s="81"/>
      <c r="AI38" s="85"/>
    </row>
    <row r="39" spans="1:35" s="80" customFormat="1" ht="12.75">
      <c r="A39" s="80" t="s">
        <v>188</v>
      </c>
      <c r="B39" s="80">
        <v>35</v>
      </c>
      <c r="C39" s="80" t="s">
        <v>26</v>
      </c>
      <c r="D39" s="83"/>
      <c r="E39" s="103">
        <f>(F39-H39)*2/F39*100</f>
        <v>-1.1135903024833152E-13</v>
      </c>
      <c r="F39" s="84">
        <v>0.5981857181133944</v>
      </c>
      <c r="G39" s="84"/>
      <c r="H39" s="84">
        <f>SUM(H5:H37)</f>
        <v>0.5981857181133947</v>
      </c>
      <c r="I39" s="103">
        <f>(J39-L39)*2/J39*100</f>
        <v>0.15628230040932745</v>
      </c>
      <c r="J39" s="84">
        <v>0.44883242589686</v>
      </c>
      <c r="K39" s="84"/>
      <c r="L39" s="84">
        <f>SUM(L5:L37)</f>
        <v>0.4484817030767727</v>
      </c>
      <c r="M39" s="81"/>
      <c r="N39" s="81"/>
      <c r="O39" s="84"/>
      <c r="P39" s="81"/>
      <c r="Q39" s="84"/>
      <c r="R39" s="81"/>
      <c r="S39" s="84"/>
      <c r="T39" s="81"/>
      <c r="U39" s="85"/>
      <c r="V39" s="81"/>
      <c r="W39" s="85"/>
      <c r="X39" s="81"/>
      <c r="Y39" s="85"/>
      <c r="Z39" s="81"/>
      <c r="AA39" s="85"/>
      <c r="AB39" s="81"/>
      <c r="AC39" s="85"/>
      <c r="AD39" s="81"/>
      <c r="AE39" s="85"/>
      <c r="AF39" s="81"/>
      <c r="AG39" s="85"/>
      <c r="AH39" s="81"/>
      <c r="AI39" s="85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P39"/>
  <sheetViews>
    <sheetView workbookViewId="0" topLeftCell="C1">
      <selection activeCell="B35" sqref="B35"/>
    </sheetView>
  </sheetViews>
  <sheetFormatPr defaultColWidth="9.140625" defaultRowHeight="12.75"/>
  <cols>
    <col min="1" max="1" width="9.140625" style="0" hidden="1" customWidth="1"/>
    <col min="2" max="2" width="4.7109375" style="0" hidden="1" customWidth="1"/>
    <col min="3" max="3" width="15.7109375" style="0" customWidth="1"/>
    <col min="4" max="4" width="7.00390625" style="82" customWidth="1"/>
    <col min="5" max="5" width="4.57421875" style="0" bestFit="1" customWidth="1"/>
    <col min="7" max="7" width="7.7109375" style="61" customWidth="1"/>
    <col min="8" max="8" width="8.28125" style="61" customWidth="1"/>
    <col min="9" max="9" width="4.57421875" style="0" bestFit="1" customWidth="1"/>
    <col min="11" max="11" width="7.7109375" style="61" customWidth="1"/>
    <col min="12" max="12" width="8.28125" style="61" customWidth="1"/>
    <col min="13" max="13" width="4.57421875" style="0" bestFit="1" customWidth="1"/>
    <col min="15" max="15" width="7.7109375" style="61" customWidth="1"/>
    <col min="16" max="16" width="8.28125" style="61" customWidth="1"/>
  </cols>
  <sheetData>
    <row r="1" ht="12.75">
      <c r="C1" s="3" t="s">
        <v>190</v>
      </c>
    </row>
    <row r="2" spans="6:16" ht="12.75">
      <c r="F2" s="107" t="s">
        <v>161</v>
      </c>
      <c r="G2" s="108"/>
      <c r="H2" s="108"/>
      <c r="J2" s="107" t="s">
        <v>120</v>
      </c>
      <c r="K2" s="108"/>
      <c r="L2" s="108"/>
      <c r="N2" s="107" t="s">
        <v>162</v>
      </c>
      <c r="O2" s="108"/>
      <c r="P2" s="108"/>
    </row>
    <row r="3" spans="3:16" ht="12.75">
      <c r="C3" t="s">
        <v>63</v>
      </c>
      <c r="D3" s="82" t="s">
        <v>22</v>
      </c>
      <c r="F3" s="46" t="s">
        <v>24</v>
      </c>
      <c r="G3" s="109" t="s">
        <v>24</v>
      </c>
      <c r="H3" s="109" t="s">
        <v>26</v>
      </c>
      <c r="I3" s="46"/>
      <c r="J3" s="46" t="s">
        <v>24</v>
      </c>
      <c r="K3" s="109" t="s">
        <v>24</v>
      </c>
      <c r="L3" s="109" t="s">
        <v>26</v>
      </c>
      <c r="M3" s="46"/>
      <c r="N3" s="46" t="s">
        <v>24</v>
      </c>
      <c r="O3" s="109" t="s">
        <v>24</v>
      </c>
      <c r="P3" s="109" t="s">
        <v>26</v>
      </c>
    </row>
    <row r="4" spans="4:16" ht="12.75">
      <c r="D4" s="82" t="s">
        <v>234</v>
      </c>
      <c r="F4" s="46" t="s">
        <v>235</v>
      </c>
      <c r="G4" s="109" t="s">
        <v>66</v>
      </c>
      <c r="H4" s="109" t="s">
        <v>66</v>
      </c>
      <c r="I4" s="46"/>
      <c r="J4" s="46" t="s">
        <v>235</v>
      </c>
      <c r="K4" s="109" t="s">
        <v>66</v>
      </c>
      <c r="L4" s="109" t="s">
        <v>66</v>
      </c>
      <c r="M4" s="46"/>
      <c r="N4" s="46" t="s">
        <v>235</v>
      </c>
      <c r="O4" s="109" t="s">
        <v>66</v>
      </c>
      <c r="P4" s="109" t="s">
        <v>66</v>
      </c>
    </row>
    <row r="5" spans="1:42" s="80" customFormat="1" ht="12.75">
      <c r="A5" s="80" t="s">
        <v>190</v>
      </c>
      <c r="B5" s="80">
        <v>1</v>
      </c>
      <c r="C5" s="80" t="s">
        <v>236</v>
      </c>
      <c r="D5" s="83">
        <v>1</v>
      </c>
      <c r="E5" s="81">
        <v>1</v>
      </c>
      <c r="F5" s="84">
        <v>0.005385217578321026</v>
      </c>
      <c r="G5" s="84">
        <f>IF(E5=1,F5/2,F5)</f>
        <v>0.002692608789160513</v>
      </c>
      <c r="H5" s="84">
        <f>G5*$D5</f>
        <v>0.002692608789160513</v>
      </c>
      <c r="I5" s="81">
        <v>1</v>
      </c>
      <c r="J5" s="84">
        <v>0.005976437694850976</v>
      </c>
      <c r="K5" s="84">
        <f>IF(I5=1,J5/2,J5)</f>
        <v>0.002988218847425488</v>
      </c>
      <c r="L5" s="84">
        <f>K5*$D5</f>
        <v>0.002988218847425488</v>
      </c>
      <c r="M5" s="81">
        <v>1</v>
      </c>
      <c r="N5" s="84">
        <v>0.013865724619563893</v>
      </c>
      <c r="O5" s="84">
        <f>IF(M5=1,N5/2,N5)</f>
        <v>0.006932862309781946</v>
      </c>
      <c r="P5" s="84">
        <f>O5*$D5</f>
        <v>0.006932862309781946</v>
      </c>
      <c r="Q5" s="81"/>
      <c r="R5" s="84"/>
      <c r="S5" s="81"/>
      <c r="T5" s="84"/>
      <c r="U5" s="81"/>
      <c r="V5" s="84"/>
      <c r="W5" s="81"/>
      <c r="X5" s="84"/>
      <c r="Y5" s="81"/>
      <c r="Z5" s="84"/>
      <c r="AA5" s="81"/>
      <c r="AB5" s="85"/>
      <c r="AC5" s="81"/>
      <c r="AD5" s="85"/>
      <c r="AE5" s="81"/>
      <c r="AF5" s="85"/>
      <c r="AG5" s="81"/>
      <c r="AH5" s="85"/>
      <c r="AI5" s="81"/>
      <c r="AJ5" s="85"/>
      <c r="AK5" s="81"/>
      <c r="AL5" s="85"/>
      <c r="AM5" s="81"/>
      <c r="AN5" s="85"/>
      <c r="AO5" s="81"/>
      <c r="AP5" s="85"/>
    </row>
    <row r="6" spans="1:42" s="80" customFormat="1" ht="12.75">
      <c r="A6" s="80" t="s">
        <v>190</v>
      </c>
      <c r="B6" s="80">
        <v>2</v>
      </c>
      <c r="C6" s="80" t="s">
        <v>237</v>
      </c>
      <c r="D6" s="83">
        <v>0</v>
      </c>
      <c r="E6" s="81"/>
      <c r="F6" s="84">
        <v>-0.002550892537099433</v>
      </c>
      <c r="G6" s="84">
        <f aca="true" t="shared" si="0" ref="G6:G37">IF(E6=1,F6/2,F6)</f>
        <v>-0.002550892537099433</v>
      </c>
      <c r="H6" s="84">
        <f aca="true" t="shared" si="1" ref="H6:H37">G6*$D6</f>
        <v>0</v>
      </c>
      <c r="I6" s="81"/>
      <c r="J6" s="84">
        <v>0.0029882188474254874</v>
      </c>
      <c r="K6" s="84">
        <f aca="true" t="shared" si="2" ref="K6:K37">IF(I6=1,J6/2,J6)</f>
        <v>0.0029882188474254874</v>
      </c>
      <c r="L6" s="84">
        <f aca="true" t="shared" si="3" ref="L6:L37">K6*$D6</f>
        <v>0</v>
      </c>
      <c r="M6" s="81"/>
      <c r="N6" s="84">
        <v>0.016946996757244762</v>
      </c>
      <c r="O6" s="84">
        <f aca="true" t="shared" si="4" ref="O6:O37">IF(M6=1,N6/2,N6)</f>
        <v>0.016946996757244762</v>
      </c>
      <c r="P6" s="84">
        <f aca="true" t="shared" si="5" ref="P6:P37">O6*$D6</f>
        <v>0</v>
      </c>
      <c r="Q6" s="81"/>
      <c r="R6" s="84"/>
      <c r="S6" s="81"/>
      <c r="T6" s="84"/>
      <c r="U6" s="81"/>
      <c r="V6" s="84"/>
      <c r="W6" s="81"/>
      <c r="X6" s="84"/>
      <c r="Y6" s="81"/>
      <c r="Z6" s="84"/>
      <c r="AA6" s="81"/>
      <c r="AB6" s="85"/>
      <c r="AC6" s="81"/>
      <c r="AD6" s="85"/>
      <c r="AE6" s="81"/>
      <c r="AF6" s="85"/>
      <c r="AG6" s="81"/>
      <c r="AH6" s="85"/>
      <c r="AI6" s="81"/>
      <c r="AJ6" s="85"/>
      <c r="AK6" s="81"/>
      <c r="AL6" s="85"/>
      <c r="AM6" s="81"/>
      <c r="AN6" s="85"/>
      <c r="AO6" s="81"/>
      <c r="AP6" s="85"/>
    </row>
    <row r="7" spans="1:42" s="80" customFormat="1" ht="12.75">
      <c r="A7" s="80" t="s">
        <v>190</v>
      </c>
      <c r="B7" s="80">
        <v>3</v>
      </c>
      <c r="C7" s="80" t="s">
        <v>238</v>
      </c>
      <c r="D7" s="83">
        <v>0</v>
      </c>
      <c r="E7" s="81"/>
      <c r="F7" s="84">
        <v>0.0028343250412216</v>
      </c>
      <c r="G7" s="84">
        <f t="shared" si="0"/>
        <v>0.0028343250412216</v>
      </c>
      <c r="H7" s="84">
        <f t="shared" si="1"/>
        <v>0</v>
      </c>
      <c r="I7" s="81"/>
      <c r="J7" s="84">
        <v>0.008964656542276463</v>
      </c>
      <c r="K7" s="84">
        <f t="shared" si="2"/>
        <v>0.008964656542276463</v>
      </c>
      <c r="L7" s="84">
        <f t="shared" si="3"/>
        <v>0</v>
      </c>
      <c r="M7" s="81"/>
      <c r="N7" s="84">
        <v>0.030812721376808655</v>
      </c>
      <c r="O7" s="84">
        <f t="shared" si="4"/>
        <v>0.030812721376808655</v>
      </c>
      <c r="P7" s="84">
        <f t="shared" si="5"/>
        <v>0</v>
      </c>
      <c r="Q7" s="81"/>
      <c r="R7" s="84"/>
      <c r="S7" s="81"/>
      <c r="T7" s="84"/>
      <c r="U7" s="81"/>
      <c r="V7" s="84"/>
      <c r="W7" s="81"/>
      <c r="X7" s="84"/>
      <c r="Y7" s="81"/>
      <c r="Z7" s="84"/>
      <c r="AA7" s="81"/>
      <c r="AB7" s="85"/>
      <c r="AC7" s="81"/>
      <c r="AD7" s="85"/>
      <c r="AE7" s="81"/>
      <c r="AF7" s="85"/>
      <c r="AG7" s="81"/>
      <c r="AH7" s="85"/>
      <c r="AI7" s="81"/>
      <c r="AJ7" s="85"/>
      <c r="AK7" s="81"/>
      <c r="AL7" s="85"/>
      <c r="AM7" s="81"/>
      <c r="AN7" s="85"/>
      <c r="AO7" s="81"/>
      <c r="AP7" s="85"/>
    </row>
    <row r="8" spans="1:42" s="80" customFormat="1" ht="12.75">
      <c r="A8" s="80" t="s">
        <v>190</v>
      </c>
      <c r="B8" s="80">
        <v>4</v>
      </c>
      <c r="C8" s="80" t="s">
        <v>239</v>
      </c>
      <c r="D8" s="83">
        <v>0.5</v>
      </c>
      <c r="E8" s="81">
        <v>1</v>
      </c>
      <c r="F8" s="84">
        <v>0.0018423112767940353</v>
      </c>
      <c r="G8" s="84">
        <f t="shared" si="0"/>
        <v>0.0009211556383970176</v>
      </c>
      <c r="H8" s="84">
        <f t="shared" si="1"/>
        <v>0.0004605778191985088</v>
      </c>
      <c r="I8" s="81">
        <v>1</v>
      </c>
      <c r="J8" s="84">
        <v>0.0011952875389702</v>
      </c>
      <c r="K8" s="84">
        <f t="shared" si="2"/>
        <v>0.0005976437694851</v>
      </c>
      <c r="L8" s="84">
        <f t="shared" si="3"/>
        <v>0.00029882188474255</v>
      </c>
      <c r="M8" s="81">
        <v>1</v>
      </c>
      <c r="N8" s="84">
        <v>0.0018179505612317107</v>
      </c>
      <c r="O8" s="84">
        <f t="shared" si="4"/>
        <v>0.0009089752806158553</v>
      </c>
      <c r="P8" s="84">
        <f t="shared" si="5"/>
        <v>0.00045448764030792767</v>
      </c>
      <c r="Q8" s="81"/>
      <c r="R8" s="84"/>
      <c r="S8" s="81"/>
      <c r="T8" s="84"/>
      <c r="U8" s="81"/>
      <c r="V8" s="84"/>
      <c r="W8" s="81"/>
      <c r="X8" s="84"/>
      <c r="Y8" s="81"/>
      <c r="Z8" s="84"/>
      <c r="AA8" s="81"/>
      <c r="AB8" s="85"/>
      <c r="AC8" s="81"/>
      <c r="AD8" s="85"/>
      <c r="AE8" s="81"/>
      <c r="AF8" s="85"/>
      <c r="AG8" s="81"/>
      <c r="AH8" s="85"/>
      <c r="AI8" s="81"/>
      <c r="AJ8" s="85"/>
      <c r="AK8" s="81"/>
      <c r="AL8" s="85"/>
      <c r="AM8" s="81"/>
      <c r="AN8" s="85"/>
      <c r="AO8" s="81"/>
      <c r="AP8" s="85"/>
    </row>
    <row r="9" spans="4:42" s="80" customFormat="1" ht="12.75">
      <c r="D9" s="83"/>
      <c r="E9" s="81"/>
      <c r="F9" s="84"/>
      <c r="G9" s="84"/>
      <c r="H9" s="84"/>
      <c r="I9" s="81"/>
      <c r="J9" s="84"/>
      <c r="K9" s="84"/>
      <c r="L9" s="84"/>
      <c r="M9" s="81"/>
      <c r="N9" s="84"/>
      <c r="O9" s="84"/>
      <c r="P9" s="84"/>
      <c r="Q9" s="81"/>
      <c r="R9" s="84"/>
      <c r="S9" s="81"/>
      <c r="T9" s="84"/>
      <c r="U9" s="81"/>
      <c r="V9" s="84"/>
      <c r="W9" s="81"/>
      <c r="X9" s="84"/>
      <c r="Y9" s="81"/>
      <c r="Z9" s="84"/>
      <c r="AA9" s="81"/>
      <c r="AB9" s="85"/>
      <c r="AC9" s="81"/>
      <c r="AD9" s="85"/>
      <c r="AE9" s="81"/>
      <c r="AF9" s="85"/>
      <c r="AG9" s="81"/>
      <c r="AH9" s="85"/>
      <c r="AI9" s="81"/>
      <c r="AJ9" s="85"/>
      <c r="AK9" s="81"/>
      <c r="AL9" s="85"/>
      <c r="AM9" s="81"/>
      <c r="AN9" s="85"/>
      <c r="AO9" s="81"/>
      <c r="AP9" s="85"/>
    </row>
    <row r="10" spans="4:42" s="80" customFormat="1" ht="12.75">
      <c r="D10" s="83"/>
      <c r="E10" s="81"/>
      <c r="F10" s="84"/>
      <c r="G10" s="84"/>
      <c r="H10" s="84"/>
      <c r="I10" s="81"/>
      <c r="J10" s="84"/>
      <c r="K10" s="84"/>
      <c r="L10" s="84"/>
      <c r="M10" s="81"/>
      <c r="N10" s="84"/>
      <c r="O10" s="84"/>
      <c r="P10" s="84"/>
      <c r="Q10" s="81"/>
      <c r="R10" s="84"/>
      <c r="S10" s="81"/>
      <c r="T10" s="84"/>
      <c r="U10" s="81"/>
      <c r="V10" s="84"/>
      <c r="W10" s="81"/>
      <c r="X10" s="84"/>
      <c r="Y10" s="81"/>
      <c r="Z10" s="84"/>
      <c r="AA10" s="81"/>
      <c r="AB10" s="85"/>
      <c r="AC10" s="81"/>
      <c r="AD10" s="85"/>
      <c r="AE10" s="81"/>
      <c r="AF10" s="85"/>
      <c r="AG10" s="81"/>
      <c r="AH10" s="85"/>
      <c r="AI10" s="81"/>
      <c r="AJ10" s="85"/>
      <c r="AK10" s="81"/>
      <c r="AL10" s="85"/>
      <c r="AM10" s="81"/>
      <c r="AN10" s="85"/>
      <c r="AO10" s="81"/>
      <c r="AP10" s="85"/>
    </row>
    <row r="11" spans="1:42" s="80" customFormat="1" ht="12.75">
      <c r="A11" s="80" t="s">
        <v>190</v>
      </c>
      <c r="B11" s="80">
        <v>7</v>
      </c>
      <c r="C11" s="80" t="s">
        <v>242</v>
      </c>
      <c r="D11" s="83">
        <v>0.1</v>
      </c>
      <c r="E11" s="81">
        <v>1</v>
      </c>
      <c r="F11" s="84">
        <v>0.0012187597677252849</v>
      </c>
      <c r="G11" s="84">
        <f t="shared" si="0"/>
        <v>0.0006093798838626424</v>
      </c>
      <c r="H11" s="84">
        <f t="shared" si="1"/>
        <v>6.093798838626425E-05</v>
      </c>
      <c r="I11" s="81">
        <v>1</v>
      </c>
      <c r="J11" s="84">
        <v>0.000956230031176156</v>
      </c>
      <c r="K11" s="84">
        <f t="shared" si="2"/>
        <v>0.000478115015588078</v>
      </c>
      <c r="L11" s="84">
        <f t="shared" si="3"/>
        <v>4.7811501558807805E-05</v>
      </c>
      <c r="M11" s="81">
        <v>1</v>
      </c>
      <c r="N11" s="84">
        <v>0.0015406360688404327</v>
      </c>
      <c r="O11" s="84">
        <f t="shared" si="4"/>
        <v>0.0007703180344202163</v>
      </c>
      <c r="P11" s="84">
        <f t="shared" si="5"/>
        <v>7.703180344202164E-05</v>
      </c>
      <c r="Q11" s="81"/>
      <c r="R11" s="84"/>
      <c r="S11" s="81"/>
      <c r="T11" s="84"/>
      <c r="U11" s="81"/>
      <c r="V11" s="84"/>
      <c r="W11" s="81"/>
      <c r="X11" s="84"/>
      <c r="Y11" s="81"/>
      <c r="Z11" s="84"/>
      <c r="AA11" s="81"/>
      <c r="AB11" s="85"/>
      <c r="AC11" s="81"/>
      <c r="AD11" s="85"/>
      <c r="AE11" s="81"/>
      <c r="AF11" s="85"/>
      <c r="AG11" s="81"/>
      <c r="AH11" s="85"/>
      <c r="AI11" s="81"/>
      <c r="AJ11" s="85"/>
      <c r="AK11" s="81"/>
      <c r="AL11" s="85"/>
      <c r="AM11" s="81"/>
      <c r="AN11" s="85"/>
      <c r="AO11" s="81"/>
      <c r="AP11" s="85"/>
    </row>
    <row r="12" spans="1:42" s="80" customFormat="1" ht="12.75">
      <c r="A12" s="80" t="s">
        <v>190</v>
      </c>
      <c r="B12" s="80">
        <v>8</v>
      </c>
      <c r="C12" s="80" t="s">
        <v>243</v>
      </c>
      <c r="D12" s="83">
        <v>0.1</v>
      </c>
      <c r="E12" s="81">
        <v>1</v>
      </c>
      <c r="F12" s="84">
        <v>0.002749295289984945</v>
      </c>
      <c r="G12" s="84">
        <f t="shared" si="0"/>
        <v>0.0013746476449924725</v>
      </c>
      <c r="H12" s="84">
        <f t="shared" si="1"/>
        <v>0.00013746476449924726</v>
      </c>
      <c r="I12" s="81"/>
      <c r="J12" s="84">
        <v>0.0014642272352384889</v>
      </c>
      <c r="K12" s="84">
        <f t="shared" si="2"/>
        <v>0.0014642272352384889</v>
      </c>
      <c r="L12" s="84">
        <f t="shared" si="3"/>
        <v>0.0001464227235238489</v>
      </c>
      <c r="M12" s="81">
        <v>1</v>
      </c>
      <c r="N12" s="84">
        <v>0.0012941342978259637</v>
      </c>
      <c r="O12" s="84">
        <f t="shared" si="4"/>
        <v>0.0006470671489129819</v>
      </c>
      <c r="P12" s="84">
        <f t="shared" si="5"/>
        <v>6.470671489129819E-05</v>
      </c>
      <c r="Q12" s="81"/>
      <c r="R12" s="84"/>
      <c r="S12" s="81"/>
      <c r="T12" s="84"/>
      <c r="U12" s="81"/>
      <c r="V12" s="84"/>
      <c r="W12" s="81"/>
      <c r="X12" s="84"/>
      <c r="Y12" s="81"/>
      <c r="Z12" s="84"/>
      <c r="AA12" s="81"/>
      <c r="AB12" s="85"/>
      <c r="AC12" s="81"/>
      <c r="AD12" s="85"/>
      <c r="AE12" s="81"/>
      <c r="AF12" s="85"/>
      <c r="AG12" s="81"/>
      <c r="AH12" s="85"/>
      <c r="AI12" s="81"/>
      <c r="AJ12" s="85"/>
      <c r="AK12" s="81"/>
      <c r="AL12" s="85"/>
      <c r="AM12" s="81"/>
      <c r="AN12" s="85"/>
      <c r="AO12" s="81"/>
      <c r="AP12" s="85"/>
    </row>
    <row r="13" spans="1:42" s="80" customFormat="1" ht="12.75">
      <c r="A13" s="80" t="s">
        <v>190</v>
      </c>
      <c r="B13" s="80">
        <v>9</v>
      </c>
      <c r="C13" s="80" t="s">
        <v>244</v>
      </c>
      <c r="D13" s="83">
        <v>0.1</v>
      </c>
      <c r="E13" s="81">
        <v>1</v>
      </c>
      <c r="F13" s="84">
        <v>0.0013321327693741486</v>
      </c>
      <c r="G13" s="84">
        <f t="shared" si="0"/>
        <v>0.0006660663846870743</v>
      </c>
      <c r="H13" s="84">
        <f t="shared" si="1"/>
        <v>6.660663846870743E-05</v>
      </c>
      <c r="I13" s="81">
        <v>1</v>
      </c>
      <c r="J13" s="84">
        <v>0.0011654053504959402</v>
      </c>
      <c r="K13" s="84">
        <f t="shared" si="2"/>
        <v>0.0005827026752479701</v>
      </c>
      <c r="L13" s="84">
        <f t="shared" si="3"/>
        <v>5.8270267524797016E-05</v>
      </c>
      <c r="M13" s="81">
        <v>1</v>
      </c>
      <c r="N13" s="84">
        <v>0.0012941342978259637</v>
      </c>
      <c r="O13" s="84">
        <f t="shared" si="4"/>
        <v>0.0006470671489129819</v>
      </c>
      <c r="P13" s="84">
        <f t="shared" si="5"/>
        <v>6.470671489129819E-05</v>
      </c>
      <c r="Q13" s="81"/>
      <c r="R13" s="84"/>
      <c r="S13" s="81"/>
      <c r="T13" s="84"/>
      <c r="U13" s="81"/>
      <c r="V13" s="84"/>
      <c r="W13" s="81"/>
      <c r="X13" s="84"/>
      <c r="Y13" s="81"/>
      <c r="Z13" s="84"/>
      <c r="AA13" s="81"/>
      <c r="AB13" s="85"/>
      <c r="AC13" s="81"/>
      <c r="AD13" s="85"/>
      <c r="AE13" s="81"/>
      <c r="AF13" s="85"/>
      <c r="AG13" s="81"/>
      <c r="AH13" s="85"/>
      <c r="AI13" s="81"/>
      <c r="AJ13" s="85"/>
      <c r="AK13" s="81"/>
      <c r="AL13" s="85"/>
      <c r="AM13" s="81"/>
      <c r="AN13" s="85"/>
      <c r="AO13" s="81"/>
      <c r="AP13" s="85"/>
    </row>
    <row r="14" spans="1:42" s="80" customFormat="1" ht="12.75">
      <c r="A14" s="80" t="s">
        <v>190</v>
      </c>
      <c r="B14" s="80">
        <v>10</v>
      </c>
      <c r="C14" s="80" t="s">
        <v>245</v>
      </c>
      <c r="D14" s="83">
        <v>0</v>
      </c>
      <c r="E14" s="81"/>
      <c r="F14" s="84">
        <v>-0.002182430281740627</v>
      </c>
      <c r="G14" s="84">
        <f t="shared" si="0"/>
        <v>-0.002182430281740627</v>
      </c>
      <c r="H14" s="84">
        <f t="shared" si="1"/>
        <v>0</v>
      </c>
      <c r="I14" s="81"/>
      <c r="J14" s="84">
        <v>-0.0021216353816721</v>
      </c>
      <c r="K14" s="84">
        <f t="shared" si="2"/>
        <v>-0.0021216353816721</v>
      </c>
      <c r="L14" s="84">
        <f t="shared" si="3"/>
        <v>0</v>
      </c>
      <c r="M14" s="81"/>
      <c r="N14" s="84"/>
      <c r="O14" s="84">
        <f t="shared" si="4"/>
        <v>0</v>
      </c>
      <c r="P14" s="84">
        <f t="shared" si="5"/>
        <v>0</v>
      </c>
      <c r="Q14" s="81"/>
      <c r="R14" s="84"/>
      <c r="S14" s="81"/>
      <c r="T14" s="84"/>
      <c r="U14" s="81"/>
      <c r="V14" s="84"/>
      <c r="W14" s="81"/>
      <c r="X14" s="84"/>
      <c r="Y14" s="81"/>
      <c r="Z14" s="84"/>
      <c r="AA14" s="81"/>
      <c r="AB14" s="85"/>
      <c r="AC14" s="81"/>
      <c r="AD14" s="85"/>
      <c r="AE14" s="81"/>
      <c r="AF14" s="85"/>
      <c r="AG14" s="81"/>
      <c r="AH14" s="85"/>
      <c r="AI14" s="81"/>
      <c r="AJ14" s="85"/>
      <c r="AK14" s="81"/>
      <c r="AL14" s="85"/>
      <c r="AM14" s="81"/>
      <c r="AN14" s="85"/>
      <c r="AO14" s="81"/>
      <c r="AP14" s="85"/>
    </row>
    <row r="15" spans="1:42" s="80" customFormat="1" ht="12.75">
      <c r="A15" s="80" t="s">
        <v>190</v>
      </c>
      <c r="B15" s="80">
        <v>11</v>
      </c>
      <c r="C15" s="80" t="s">
        <v>246</v>
      </c>
      <c r="D15" s="83">
        <v>0</v>
      </c>
      <c r="E15" s="81"/>
      <c r="F15" s="84">
        <v>0.0031177575453437516</v>
      </c>
      <c r="G15" s="84">
        <f t="shared" si="0"/>
        <v>0.0031177575453437516</v>
      </c>
      <c r="H15" s="84">
        <f t="shared" si="1"/>
        <v>0</v>
      </c>
      <c r="I15" s="81"/>
      <c r="J15" s="84">
        <v>0.0014642272352384889</v>
      </c>
      <c r="K15" s="84">
        <f t="shared" si="2"/>
        <v>0.0014642272352384889</v>
      </c>
      <c r="L15" s="84">
        <f t="shared" si="3"/>
        <v>0</v>
      </c>
      <c r="M15" s="81"/>
      <c r="N15" s="84"/>
      <c r="O15" s="84">
        <f t="shared" si="4"/>
        <v>0</v>
      </c>
      <c r="P15" s="84">
        <f t="shared" si="5"/>
        <v>0</v>
      </c>
      <c r="Q15" s="81"/>
      <c r="R15" s="84"/>
      <c r="S15" s="81"/>
      <c r="T15" s="84"/>
      <c r="U15" s="81"/>
      <c r="V15" s="84"/>
      <c r="W15" s="81"/>
      <c r="X15" s="84"/>
      <c r="Y15" s="81"/>
      <c r="Z15" s="84"/>
      <c r="AA15" s="81"/>
      <c r="AB15" s="85"/>
      <c r="AC15" s="81"/>
      <c r="AD15" s="85"/>
      <c r="AE15" s="81"/>
      <c r="AF15" s="85"/>
      <c r="AG15" s="81"/>
      <c r="AH15" s="85"/>
      <c r="AI15" s="81"/>
      <c r="AJ15" s="85"/>
      <c r="AK15" s="81"/>
      <c r="AL15" s="85"/>
      <c r="AM15" s="81"/>
      <c r="AN15" s="85"/>
      <c r="AO15" s="81"/>
      <c r="AP15" s="85"/>
    </row>
    <row r="16" spans="1:42" s="80" customFormat="1" ht="12.75">
      <c r="A16" s="80" t="s">
        <v>190</v>
      </c>
      <c r="B16" s="80">
        <v>12</v>
      </c>
      <c r="C16" s="80" t="s">
        <v>247</v>
      </c>
      <c r="D16" s="83">
        <v>0.01</v>
      </c>
      <c r="E16" s="81">
        <v>1</v>
      </c>
      <c r="F16" s="84">
        <v>0.005101785074198867</v>
      </c>
      <c r="G16" s="84">
        <f t="shared" si="0"/>
        <v>0.0025508925370994334</v>
      </c>
      <c r="H16" s="84">
        <f t="shared" si="1"/>
        <v>2.5508925370994336E-05</v>
      </c>
      <c r="I16" s="81"/>
      <c r="J16" s="84">
        <v>0.00507997204062333</v>
      </c>
      <c r="K16" s="84">
        <f t="shared" si="2"/>
        <v>0.00507997204062333</v>
      </c>
      <c r="L16" s="84">
        <f t="shared" si="3"/>
        <v>5.07997204062333E-05</v>
      </c>
      <c r="M16" s="81">
        <v>1</v>
      </c>
      <c r="N16" s="84">
        <v>0.005238162634057471</v>
      </c>
      <c r="O16" s="84">
        <f t="shared" si="4"/>
        <v>0.0026190813170287354</v>
      </c>
      <c r="P16" s="84">
        <f t="shared" si="5"/>
        <v>2.6190813170287354E-05</v>
      </c>
      <c r="Q16" s="81"/>
      <c r="R16" s="84"/>
      <c r="S16" s="81"/>
      <c r="T16" s="84"/>
      <c r="U16" s="81"/>
      <c r="V16" s="84"/>
      <c r="W16" s="81"/>
      <c r="X16" s="84"/>
      <c r="Y16" s="81"/>
      <c r="Z16" s="84"/>
      <c r="AA16" s="81"/>
      <c r="AB16" s="85"/>
      <c r="AC16" s="81"/>
      <c r="AD16" s="85"/>
      <c r="AE16" s="81"/>
      <c r="AF16" s="85"/>
      <c r="AG16" s="81"/>
      <c r="AH16" s="85"/>
      <c r="AI16" s="81"/>
      <c r="AJ16" s="85"/>
      <c r="AK16" s="81"/>
      <c r="AL16" s="85"/>
      <c r="AM16" s="81"/>
      <c r="AN16" s="85"/>
      <c r="AO16" s="81"/>
      <c r="AP16" s="85"/>
    </row>
    <row r="17" spans="1:42" s="80" customFormat="1" ht="12.75">
      <c r="A17" s="80" t="s">
        <v>190</v>
      </c>
      <c r="B17" s="80">
        <v>13</v>
      </c>
      <c r="C17" s="80" t="s">
        <v>248</v>
      </c>
      <c r="D17" s="83">
        <v>0</v>
      </c>
      <c r="E17" s="81">
        <v>1</v>
      </c>
      <c r="F17" s="84">
        <v>-0.0017005950247329553</v>
      </c>
      <c r="G17" s="84">
        <f t="shared" si="0"/>
        <v>-0.0008502975123664777</v>
      </c>
      <c r="H17" s="84">
        <f t="shared" si="1"/>
        <v>0</v>
      </c>
      <c r="I17" s="81"/>
      <c r="J17" s="84">
        <v>0</v>
      </c>
      <c r="K17" s="84">
        <f t="shared" si="2"/>
        <v>0</v>
      </c>
      <c r="L17" s="84">
        <f t="shared" si="3"/>
        <v>0</v>
      </c>
      <c r="M17" s="81"/>
      <c r="N17" s="84"/>
      <c r="O17" s="84">
        <f t="shared" si="4"/>
        <v>0</v>
      </c>
      <c r="P17" s="84">
        <f t="shared" si="5"/>
        <v>0</v>
      </c>
      <c r="Q17" s="81"/>
      <c r="R17" s="84"/>
      <c r="S17" s="81"/>
      <c r="T17" s="84"/>
      <c r="U17" s="81"/>
      <c r="V17" s="84"/>
      <c r="W17" s="81"/>
      <c r="X17" s="84"/>
      <c r="Y17" s="81"/>
      <c r="Z17" s="84"/>
      <c r="AA17" s="81"/>
      <c r="AB17" s="85"/>
      <c r="AC17" s="81"/>
      <c r="AD17" s="85"/>
      <c r="AE17" s="81"/>
      <c r="AF17" s="85"/>
      <c r="AG17" s="81"/>
      <c r="AH17" s="85"/>
      <c r="AI17" s="81"/>
      <c r="AJ17" s="85"/>
      <c r="AK17" s="81"/>
      <c r="AL17" s="85"/>
      <c r="AM17" s="81"/>
      <c r="AN17" s="85"/>
      <c r="AO17" s="81"/>
      <c r="AP17" s="85"/>
    </row>
    <row r="18" spans="1:42" s="80" customFormat="1" ht="12.75">
      <c r="A18" s="80" t="s">
        <v>190</v>
      </c>
      <c r="B18" s="80">
        <v>14</v>
      </c>
      <c r="C18" s="80" t="s">
        <v>249</v>
      </c>
      <c r="D18" s="83">
        <v>0</v>
      </c>
      <c r="E18" s="81"/>
      <c r="F18" s="84">
        <v>0.0034011900494659115</v>
      </c>
      <c r="G18" s="84">
        <f t="shared" si="0"/>
        <v>0.0034011900494659115</v>
      </c>
      <c r="H18" s="84">
        <f t="shared" si="1"/>
        <v>0</v>
      </c>
      <c r="I18" s="81"/>
      <c r="J18" s="84">
        <v>0.00507997204062333</v>
      </c>
      <c r="K18" s="84">
        <f t="shared" si="2"/>
        <v>0.00507997204062333</v>
      </c>
      <c r="L18" s="84">
        <f t="shared" si="3"/>
        <v>0</v>
      </c>
      <c r="M18" s="81"/>
      <c r="N18" s="84"/>
      <c r="O18" s="84">
        <f t="shared" si="4"/>
        <v>0</v>
      </c>
      <c r="P18" s="84">
        <f t="shared" si="5"/>
        <v>0</v>
      </c>
      <c r="Q18" s="81"/>
      <c r="R18" s="84"/>
      <c r="S18" s="81"/>
      <c r="T18" s="84"/>
      <c r="U18" s="81"/>
      <c r="V18" s="84"/>
      <c r="W18" s="81"/>
      <c r="X18" s="84"/>
      <c r="Y18" s="81"/>
      <c r="Z18" s="84"/>
      <c r="AA18" s="81"/>
      <c r="AB18" s="85"/>
      <c r="AC18" s="81"/>
      <c r="AD18" s="85"/>
      <c r="AE18" s="81"/>
      <c r="AF18" s="85"/>
      <c r="AG18" s="81"/>
      <c r="AH18" s="85"/>
      <c r="AI18" s="81"/>
      <c r="AJ18" s="85"/>
      <c r="AK18" s="81"/>
      <c r="AL18" s="85"/>
      <c r="AM18" s="81"/>
      <c r="AN18" s="85"/>
      <c r="AO18" s="81"/>
      <c r="AP18" s="85"/>
    </row>
    <row r="19" spans="1:42" s="80" customFormat="1" ht="12.75">
      <c r="A19" s="80" t="s">
        <v>190</v>
      </c>
      <c r="B19" s="80">
        <v>15</v>
      </c>
      <c r="C19" s="80" t="s">
        <v>250</v>
      </c>
      <c r="D19" s="83">
        <v>0.001</v>
      </c>
      <c r="E19" s="81"/>
      <c r="F19" s="84">
        <v>0.048183525700767</v>
      </c>
      <c r="G19" s="84">
        <f t="shared" si="0"/>
        <v>0.048183525700767</v>
      </c>
      <c r="H19" s="84">
        <f t="shared" si="1"/>
        <v>4.8183525700767E-05</v>
      </c>
      <c r="I19" s="81"/>
      <c r="J19" s="84">
        <v>0.06574081464336073</v>
      </c>
      <c r="K19" s="84">
        <f t="shared" si="2"/>
        <v>0.06574081464336073</v>
      </c>
      <c r="L19" s="84">
        <f t="shared" si="3"/>
        <v>6.574081464336074E-05</v>
      </c>
      <c r="M19" s="81"/>
      <c r="N19" s="84">
        <v>0.04313780992753211</v>
      </c>
      <c r="O19" s="84">
        <f t="shared" si="4"/>
        <v>0.04313780992753211</v>
      </c>
      <c r="P19" s="84">
        <f t="shared" si="5"/>
        <v>4.3137809927532116E-05</v>
      </c>
      <c r="Q19" s="81"/>
      <c r="R19" s="84"/>
      <c r="S19" s="81"/>
      <c r="T19" s="84"/>
      <c r="U19" s="81"/>
      <c r="V19" s="84"/>
      <c r="W19" s="81"/>
      <c r="X19" s="84"/>
      <c r="Y19" s="81"/>
      <c r="Z19" s="84"/>
      <c r="AA19" s="81"/>
      <c r="AB19" s="85"/>
      <c r="AC19" s="81"/>
      <c r="AD19" s="85"/>
      <c r="AE19" s="81"/>
      <c r="AF19" s="85"/>
      <c r="AG19" s="81"/>
      <c r="AH19" s="85"/>
      <c r="AI19" s="81"/>
      <c r="AJ19" s="85"/>
      <c r="AK19" s="81"/>
      <c r="AL19" s="85"/>
      <c r="AM19" s="81"/>
      <c r="AN19" s="85"/>
      <c r="AO19" s="81"/>
      <c r="AP19" s="85"/>
    </row>
    <row r="20" spans="1:42" s="80" customFormat="1" ht="12.75">
      <c r="A20" s="80" t="s">
        <v>190</v>
      </c>
      <c r="B20" s="80">
        <v>16</v>
      </c>
      <c r="C20" s="80" t="s">
        <v>251</v>
      </c>
      <c r="D20" s="83">
        <v>0.1</v>
      </c>
      <c r="E20" s="81">
        <v>1</v>
      </c>
      <c r="F20" s="84">
        <v>0.0034011900494659115</v>
      </c>
      <c r="G20" s="84">
        <f t="shared" si="0"/>
        <v>0.0017005950247329558</v>
      </c>
      <c r="H20" s="84">
        <f t="shared" si="1"/>
        <v>0.00017005950247329558</v>
      </c>
      <c r="I20" s="81"/>
      <c r="J20" s="84">
        <v>0.0032870407321680365</v>
      </c>
      <c r="K20" s="84">
        <f t="shared" si="2"/>
        <v>0.0032870407321680365</v>
      </c>
      <c r="L20" s="84">
        <f t="shared" si="3"/>
        <v>0.0003287040732168037</v>
      </c>
      <c r="M20" s="81"/>
      <c r="N20" s="84">
        <v>0.007703180344202164</v>
      </c>
      <c r="O20" s="84">
        <f t="shared" si="4"/>
        <v>0.007703180344202164</v>
      </c>
      <c r="P20" s="84">
        <f t="shared" si="5"/>
        <v>0.0007703180344202164</v>
      </c>
      <c r="Q20" s="81"/>
      <c r="R20" s="84"/>
      <c r="S20" s="81"/>
      <c r="T20" s="84"/>
      <c r="U20" s="81"/>
      <c r="V20" s="84"/>
      <c r="W20" s="81"/>
      <c r="X20" s="84"/>
      <c r="Y20" s="81"/>
      <c r="Z20" s="84"/>
      <c r="AA20" s="81"/>
      <c r="AB20" s="85"/>
      <c r="AC20" s="81"/>
      <c r="AD20" s="85"/>
      <c r="AE20" s="81"/>
      <c r="AF20" s="85"/>
      <c r="AG20" s="81"/>
      <c r="AH20" s="85"/>
      <c r="AI20" s="81"/>
      <c r="AJ20" s="85"/>
      <c r="AK20" s="81"/>
      <c r="AL20" s="85"/>
      <c r="AM20" s="81"/>
      <c r="AN20" s="85"/>
      <c r="AO20" s="81"/>
      <c r="AP20" s="85"/>
    </row>
    <row r="21" spans="1:42" s="80" customFormat="1" ht="12.75">
      <c r="A21" s="80" t="s">
        <v>190</v>
      </c>
      <c r="B21" s="80">
        <v>17</v>
      </c>
      <c r="C21" s="80" t="s">
        <v>252</v>
      </c>
      <c r="D21" s="83">
        <v>0</v>
      </c>
      <c r="E21" s="81"/>
      <c r="F21" s="84">
        <v>0.005668650082443186</v>
      </c>
      <c r="G21" s="84">
        <f t="shared" si="0"/>
        <v>0.005668650082443186</v>
      </c>
      <c r="H21" s="84">
        <f t="shared" si="1"/>
        <v>0</v>
      </c>
      <c r="I21" s="81"/>
      <c r="J21" s="84">
        <v>0.04751267967406526</v>
      </c>
      <c r="K21" s="84">
        <f t="shared" si="2"/>
        <v>0.04751267967406526</v>
      </c>
      <c r="L21" s="84">
        <f t="shared" si="3"/>
        <v>0</v>
      </c>
      <c r="M21" s="81"/>
      <c r="N21" s="84">
        <v>0.2757738563224375</v>
      </c>
      <c r="O21" s="84">
        <f t="shared" si="4"/>
        <v>0.2757738563224375</v>
      </c>
      <c r="P21" s="84">
        <f t="shared" si="5"/>
        <v>0</v>
      </c>
      <c r="Q21" s="81"/>
      <c r="R21" s="84"/>
      <c r="S21" s="81"/>
      <c r="T21" s="84"/>
      <c r="U21" s="81"/>
      <c r="V21" s="84"/>
      <c r="W21" s="81"/>
      <c r="X21" s="84"/>
      <c r="Y21" s="81"/>
      <c r="Z21" s="84"/>
      <c r="AA21" s="81"/>
      <c r="AB21" s="85"/>
      <c r="AC21" s="81"/>
      <c r="AD21" s="85"/>
      <c r="AE21" s="81"/>
      <c r="AF21" s="85"/>
      <c r="AG21" s="81"/>
      <c r="AH21" s="85"/>
      <c r="AI21" s="81"/>
      <c r="AJ21" s="85"/>
      <c r="AK21" s="81"/>
      <c r="AL21" s="85"/>
      <c r="AM21" s="81"/>
      <c r="AN21" s="85"/>
      <c r="AO21" s="81"/>
      <c r="AP21" s="85"/>
    </row>
    <row r="22" spans="1:42" s="80" customFormat="1" ht="12.75">
      <c r="A22" s="80" t="s">
        <v>190</v>
      </c>
      <c r="B22" s="80">
        <v>18</v>
      </c>
      <c r="C22" s="80" t="s">
        <v>253</v>
      </c>
      <c r="D22" s="83">
        <v>0</v>
      </c>
      <c r="E22" s="81"/>
      <c r="F22" s="84">
        <v>0.0090698401319091</v>
      </c>
      <c r="G22" s="84">
        <f t="shared" si="0"/>
        <v>0.0090698401319091</v>
      </c>
      <c r="H22" s="84">
        <f t="shared" si="1"/>
        <v>0</v>
      </c>
      <c r="I22" s="81"/>
      <c r="J22" s="84">
        <v>0.0507997204062333</v>
      </c>
      <c r="K22" s="84">
        <f t="shared" si="2"/>
        <v>0.0507997204062333</v>
      </c>
      <c r="L22" s="84">
        <f t="shared" si="3"/>
        <v>0</v>
      </c>
      <c r="M22" s="81"/>
      <c r="N22" s="84">
        <v>0.28347703666664</v>
      </c>
      <c r="O22" s="84">
        <f t="shared" si="4"/>
        <v>0.28347703666664</v>
      </c>
      <c r="P22" s="84">
        <f t="shared" si="5"/>
        <v>0</v>
      </c>
      <c r="Q22" s="81"/>
      <c r="R22" s="84"/>
      <c r="S22" s="81"/>
      <c r="T22" s="84"/>
      <c r="U22" s="81"/>
      <c r="V22" s="84"/>
      <c r="W22" s="81"/>
      <c r="X22" s="84"/>
      <c r="Y22" s="81"/>
      <c r="Z22" s="84"/>
      <c r="AA22" s="81"/>
      <c r="AB22" s="85"/>
      <c r="AC22" s="81"/>
      <c r="AD22" s="85"/>
      <c r="AE22" s="81"/>
      <c r="AF22" s="85"/>
      <c r="AG22" s="81"/>
      <c r="AH22" s="85"/>
      <c r="AI22" s="81"/>
      <c r="AJ22" s="85"/>
      <c r="AK22" s="81"/>
      <c r="AL22" s="85"/>
      <c r="AM22" s="81"/>
      <c r="AN22" s="85"/>
      <c r="AO22" s="81"/>
      <c r="AP22" s="85"/>
    </row>
    <row r="23" spans="1:42" s="80" customFormat="1" ht="12.75">
      <c r="A23" s="80" t="s">
        <v>190</v>
      </c>
      <c r="B23" s="80">
        <v>19</v>
      </c>
      <c r="C23" s="80" t="s">
        <v>254</v>
      </c>
      <c r="D23" s="83">
        <v>0.05</v>
      </c>
      <c r="E23" s="81">
        <v>1</v>
      </c>
      <c r="F23" s="84">
        <v>0.0036846225535880706</v>
      </c>
      <c r="G23" s="84">
        <f t="shared" si="0"/>
        <v>0.0018423112767940353</v>
      </c>
      <c r="H23" s="84">
        <f t="shared" si="1"/>
        <v>9.211556383970177E-05</v>
      </c>
      <c r="I23" s="81">
        <v>1</v>
      </c>
      <c r="J23" s="84">
        <v>0.0038846845016531338</v>
      </c>
      <c r="K23" s="84">
        <f t="shared" si="2"/>
        <v>0.0019423422508265669</v>
      </c>
      <c r="L23" s="84">
        <f t="shared" si="3"/>
        <v>9.711711254132835E-05</v>
      </c>
      <c r="M23" s="81">
        <v>1</v>
      </c>
      <c r="N23" s="84">
        <v>0.008627561985506425</v>
      </c>
      <c r="O23" s="84">
        <f t="shared" si="4"/>
        <v>0.004313780992753213</v>
      </c>
      <c r="P23" s="84">
        <f t="shared" si="5"/>
        <v>0.00021568904963766066</v>
      </c>
      <c r="Q23" s="81"/>
      <c r="R23" s="84"/>
      <c r="S23" s="81"/>
      <c r="T23" s="84"/>
      <c r="U23" s="81"/>
      <c r="V23" s="84"/>
      <c r="W23" s="81"/>
      <c r="X23" s="84"/>
      <c r="Y23" s="81"/>
      <c r="Z23" s="84"/>
      <c r="AA23" s="81"/>
      <c r="AB23" s="85"/>
      <c r="AC23" s="81"/>
      <c r="AD23" s="85"/>
      <c r="AE23" s="81"/>
      <c r="AF23" s="85"/>
      <c r="AG23" s="81"/>
      <c r="AH23" s="85"/>
      <c r="AI23" s="81"/>
      <c r="AJ23" s="85"/>
      <c r="AK23" s="81"/>
      <c r="AL23" s="85"/>
      <c r="AM23" s="81"/>
      <c r="AN23" s="85"/>
      <c r="AO23" s="81"/>
      <c r="AP23" s="85"/>
    </row>
    <row r="24" spans="1:42" s="80" customFormat="1" ht="12.75">
      <c r="A24" s="80" t="s">
        <v>190</v>
      </c>
      <c r="B24" s="80">
        <v>20</v>
      </c>
      <c r="C24" s="80" t="s">
        <v>255</v>
      </c>
      <c r="D24" s="83">
        <v>0.5</v>
      </c>
      <c r="E24" s="81">
        <v>1</v>
      </c>
      <c r="F24" s="84">
        <v>0.002777638540397161</v>
      </c>
      <c r="G24" s="84">
        <f t="shared" si="0"/>
        <v>0.0013888192701985804</v>
      </c>
      <c r="H24" s="84">
        <f t="shared" si="1"/>
        <v>0.0006944096350992902</v>
      </c>
      <c r="I24" s="81">
        <v>1</v>
      </c>
      <c r="J24" s="84">
        <v>0.00507997204062333</v>
      </c>
      <c r="K24" s="84">
        <f t="shared" si="2"/>
        <v>0.002539986020311665</v>
      </c>
      <c r="L24" s="84">
        <f t="shared" si="3"/>
        <v>0.0012699930101558324</v>
      </c>
      <c r="M24" s="81"/>
      <c r="N24" s="84">
        <v>0.003697526565217039</v>
      </c>
      <c r="O24" s="84">
        <f t="shared" si="4"/>
        <v>0.003697526565217039</v>
      </c>
      <c r="P24" s="84">
        <f t="shared" si="5"/>
        <v>0.0018487632826085195</v>
      </c>
      <c r="Q24" s="81"/>
      <c r="R24" s="84"/>
      <c r="S24" s="81"/>
      <c r="T24" s="84"/>
      <c r="U24" s="81"/>
      <c r="V24" s="84"/>
      <c r="W24" s="81"/>
      <c r="X24" s="84"/>
      <c r="Y24" s="81"/>
      <c r="Z24" s="84"/>
      <c r="AA24" s="81"/>
      <c r="AB24" s="85"/>
      <c r="AC24" s="81"/>
      <c r="AD24" s="85"/>
      <c r="AE24" s="81"/>
      <c r="AF24" s="85"/>
      <c r="AG24" s="81"/>
      <c r="AH24" s="85"/>
      <c r="AI24" s="81"/>
      <c r="AJ24" s="85"/>
      <c r="AK24" s="81"/>
      <c r="AL24" s="85"/>
      <c r="AM24" s="81"/>
      <c r="AN24" s="85"/>
      <c r="AO24" s="81"/>
      <c r="AP24" s="85"/>
    </row>
    <row r="25" spans="1:42" s="80" customFormat="1" ht="12.75">
      <c r="A25" s="80" t="s">
        <v>190</v>
      </c>
      <c r="B25" s="80">
        <v>21</v>
      </c>
      <c r="C25" s="80" t="s">
        <v>256</v>
      </c>
      <c r="D25" s="83">
        <v>0</v>
      </c>
      <c r="E25" s="81"/>
      <c r="F25" s="84"/>
      <c r="G25" s="84">
        <f t="shared" si="0"/>
        <v>0</v>
      </c>
      <c r="H25" s="84">
        <f t="shared" si="1"/>
        <v>0</v>
      </c>
      <c r="I25" s="81"/>
      <c r="J25" s="84">
        <v>-0.003585862616910587</v>
      </c>
      <c r="K25" s="84">
        <f t="shared" si="2"/>
        <v>-0.003585862616910587</v>
      </c>
      <c r="L25" s="84">
        <f t="shared" si="3"/>
        <v>0</v>
      </c>
      <c r="M25" s="81"/>
      <c r="N25" s="84">
        <v>0.03389399351448952</v>
      </c>
      <c r="O25" s="84">
        <f t="shared" si="4"/>
        <v>0.03389399351448952</v>
      </c>
      <c r="P25" s="84">
        <f t="shared" si="5"/>
        <v>0</v>
      </c>
      <c r="Q25" s="81"/>
      <c r="R25" s="84"/>
      <c r="S25" s="81"/>
      <c r="T25" s="84"/>
      <c r="U25" s="81"/>
      <c r="V25" s="84"/>
      <c r="W25" s="81"/>
      <c r="X25" s="84"/>
      <c r="Y25" s="81"/>
      <c r="Z25" s="84"/>
      <c r="AA25" s="81"/>
      <c r="AB25" s="85"/>
      <c r="AC25" s="81"/>
      <c r="AD25" s="85"/>
      <c r="AE25" s="81"/>
      <c r="AF25" s="85"/>
      <c r="AG25" s="81"/>
      <c r="AH25" s="85"/>
      <c r="AI25" s="81"/>
      <c r="AJ25" s="85"/>
      <c r="AK25" s="81"/>
      <c r="AL25" s="85"/>
      <c r="AM25" s="81"/>
      <c r="AN25" s="85"/>
      <c r="AO25" s="81"/>
      <c r="AP25" s="85"/>
    </row>
    <row r="26" spans="1:42" s="80" customFormat="1" ht="12.75">
      <c r="A26" s="80" t="s">
        <v>190</v>
      </c>
      <c r="B26" s="80">
        <v>22</v>
      </c>
      <c r="C26" s="80" t="s">
        <v>257</v>
      </c>
      <c r="D26" s="83">
        <v>0</v>
      </c>
      <c r="E26" s="81"/>
      <c r="F26" s="84"/>
      <c r="G26" s="84">
        <f t="shared" si="0"/>
        <v>0</v>
      </c>
      <c r="H26" s="84">
        <f t="shared" si="1"/>
        <v>0</v>
      </c>
      <c r="I26" s="81"/>
      <c r="J26" s="84">
        <v>0.005378793925365877</v>
      </c>
      <c r="K26" s="84">
        <f t="shared" si="2"/>
        <v>0.005378793925365877</v>
      </c>
      <c r="L26" s="84">
        <f t="shared" si="3"/>
        <v>0</v>
      </c>
      <c r="M26" s="81"/>
      <c r="N26" s="84">
        <v>0.046219082065213</v>
      </c>
      <c r="O26" s="84">
        <f t="shared" si="4"/>
        <v>0.046219082065213</v>
      </c>
      <c r="P26" s="84">
        <f t="shared" si="5"/>
        <v>0</v>
      </c>
      <c r="Q26" s="81"/>
      <c r="R26" s="84"/>
      <c r="S26" s="81"/>
      <c r="T26" s="84"/>
      <c r="U26" s="81"/>
      <c r="V26" s="84"/>
      <c r="W26" s="81"/>
      <c r="X26" s="84"/>
      <c r="Y26" s="81"/>
      <c r="Z26" s="84"/>
      <c r="AA26" s="81"/>
      <c r="AB26" s="85"/>
      <c r="AC26" s="81"/>
      <c r="AD26" s="85"/>
      <c r="AE26" s="81"/>
      <c r="AF26" s="85"/>
      <c r="AG26" s="81"/>
      <c r="AH26" s="85"/>
      <c r="AI26" s="81"/>
      <c r="AJ26" s="85"/>
      <c r="AK26" s="81"/>
      <c r="AL26" s="85"/>
      <c r="AM26" s="81"/>
      <c r="AN26" s="85"/>
      <c r="AO26" s="81"/>
      <c r="AP26" s="85"/>
    </row>
    <row r="27" spans="1:42" s="80" customFormat="1" ht="12.75">
      <c r="A27" s="80" t="s">
        <v>190</v>
      </c>
      <c r="B27" s="80">
        <v>23</v>
      </c>
      <c r="C27" s="80" t="s">
        <v>258</v>
      </c>
      <c r="D27" s="83">
        <v>0.1</v>
      </c>
      <c r="E27" s="81">
        <v>1</v>
      </c>
      <c r="F27" s="84">
        <v>0.0011620732669008532</v>
      </c>
      <c r="G27" s="84">
        <f t="shared" si="0"/>
        <v>0.0005810366334504266</v>
      </c>
      <c r="H27" s="84">
        <f t="shared" si="1"/>
        <v>5.810366334504266E-05</v>
      </c>
      <c r="I27" s="81">
        <v>1</v>
      </c>
      <c r="J27" s="84">
        <v>0.0011654053504959402</v>
      </c>
      <c r="K27" s="84">
        <f t="shared" si="2"/>
        <v>0.0005827026752479701</v>
      </c>
      <c r="L27" s="84">
        <f t="shared" si="3"/>
        <v>5.8270267524797016E-05</v>
      </c>
      <c r="M27" s="81"/>
      <c r="N27" s="84">
        <v>0.0020028268894925626</v>
      </c>
      <c r="O27" s="84">
        <f t="shared" si="4"/>
        <v>0.0020028268894925626</v>
      </c>
      <c r="P27" s="84">
        <f t="shared" si="5"/>
        <v>0.00020028268894925626</v>
      </c>
      <c r="Q27" s="81"/>
      <c r="R27" s="84"/>
      <c r="S27" s="81"/>
      <c r="T27" s="84"/>
      <c r="U27" s="81"/>
      <c r="V27" s="84"/>
      <c r="W27" s="81"/>
      <c r="X27" s="84"/>
      <c r="Y27" s="81"/>
      <c r="Z27" s="84"/>
      <c r="AA27" s="81"/>
      <c r="AB27" s="85"/>
      <c r="AC27" s="81"/>
      <c r="AD27" s="85"/>
      <c r="AE27" s="81"/>
      <c r="AF27" s="85"/>
      <c r="AG27" s="81"/>
      <c r="AH27" s="85"/>
      <c r="AI27" s="81"/>
      <c r="AJ27" s="85"/>
      <c r="AK27" s="81"/>
      <c r="AL27" s="85"/>
      <c r="AM27" s="81"/>
      <c r="AN27" s="85"/>
      <c r="AO27" s="81"/>
      <c r="AP27" s="85"/>
    </row>
    <row r="28" spans="1:42" s="80" customFormat="1" ht="12.75">
      <c r="A28" s="80" t="s">
        <v>190</v>
      </c>
      <c r="B28" s="80">
        <v>24</v>
      </c>
      <c r="C28" s="80" t="s">
        <v>259</v>
      </c>
      <c r="D28" s="83">
        <v>0.1</v>
      </c>
      <c r="E28" s="81">
        <v>1</v>
      </c>
      <c r="F28" s="84">
        <v>0.00076526776112983</v>
      </c>
      <c r="G28" s="84">
        <f t="shared" si="0"/>
        <v>0.000382633880564915</v>
      </c>
      <c r="H28" s="84">
        <f t="shared" si="1"/>
        <v>3.8263388056491505E-05</v>
      </c>
      <c r="I28" s="81">
        <v>1</v>
      </c>
      <c r="J28" s="84">
        <v>0.0009263478427019011</v>
      </c>
      <c r="K28" s="84">
        <f t="shared" si="2"/>
        <v>0.00046317392135095055</v>
      </c>
      <c r="L28" s="84">
        <f t="shared" si="3"/>
        <v>4.6317392135095056E-05</v>
      </c>
      <c r="M28" s="81">
        <v>1</v>
      </c>
      <c r="N28" s="84">
        <v>0.004005653778985125</v>
      </c>
      <c r="O28" s="84">
        <f t="shared" si="4"/>
        <v>0.0020028268894925626</v>
      </c>
      <c r="P28" s="84">
        <f t="shared" si="5"/>
        <v>0.00020028268894925626</v>
      </c>
      <c r="Q28" s="81"/>
      <c r="R28" s="84"/>
      <c r="S28" s="81"/>
      <c r="T28" s="84"/>
      <c r="U28" s="81"/>
      <c r="V28" s="84"/>
      <c r="W28" s="81"/>
      <c r="X28" s="84"/>
      <c r="Y28" s="81"/>
      <c r="Z28" s="84"/>
      <c r="AA28" s="81"/>
      <c r="AB28" s="85"/>
      <c r="AC28" s="81"/>
      <c r="AD28" s="85"/>
      <c r="AE28" s="81"/>
      <c r="AF28" s="85"/>
      <c r="AG28" s="81"/>
      <c r="AH28" s="85"/>
      <c r="AI28" s="81"/>
      <c r="AJ28" s="85"/>
      <c r="AK28" s="81"/>
      <c r="AL28" s="85"/>
      <c r="AM28" s="81"/>
      <c r="AN28" s="85"/>
      <c r="AO28" s="81"/>
      <c r="AP28" s="85"/>
    </row>
    <row r="29" spans="1:42" s="80" customFormat="1" ht="12.75">
      <c r="A29" s="80" t="s">
        <v>190</v>
      </c>
      <c r="B29" s="80">
        <v>25</v>
      </c>
      <c r="C29" s="80" t="s">
        <v>260</v>
      </c>
      <c r="D29" s="83">
        <v>0.1</v>
      </c>
      <c r="E29" s="81">
        <v>1</v>
      </c>
      <c r="F29" s="84">
        <v>0.0011620732669008532</v>
      </c>
      <c r="G29" s="84">
        <f t="shared" si="0"/>
        <v>0.0005810366334504266</v>
      </c>
      <c r="H29" s="84">
        <f t="shared" si="1"/>
        <v>5.810366334504266E-05</v>
      </c>
      <c r="I29" s="81">
        <v>1</v>
      </c>
      <c r="J29" s="84">
        <v>0.0011654053504959402</v>
      </c>
      <c r="K29" s="84">
        <f t="shared" si="2"/>
        <v>0.0005827026752479701</v>
      </c>
      <c r="L29" s="84">
        <f t="shared" si="3"/>
        <v>5.8270267524797016E-05</v>
      </c>
      <c r="M29" s="81">
        <v>1</v>
      </c>
      <c r="N29" s="84">
        <v>0.0016022615115940501</v>
      </c>
      <c r="O29" s="84">
        <f t="shared" si="4"/>
        <v>0.0008011307557970251</v>
      </c>
      <c r="P29" s="84">
        <f t="shared" si="5"/>
        <v>8.011307557970251E-05</v>
      </c>
      <c r="Q29" s="81"/>
      <c r="R29" s="84"/>
      <c r="S29" s="81"/>
      <c r="T29" s="84"/>
      <c r="U29" s="81"/>
      <c r="V29" s="84"/>
      <c r="W29" s="81"/>
      <c r="X29" s="84"/>
      <c r="Y29" s="81"/>
      <c r="Z29" s="84"/>
      <c r="AA29" s="81"/>
      <c r="AB29" s="85"/>
      <c r="AC29" s="81"/>
      <c r="AD29" s="85"/>
      <c r="AE29" s="81"/>
      <c r="AF29" s="85"/>
      <c r="AG29" s="81"/>
      <c r="AH29" s="85"/>
      <c r="AI29" s="81"/>
      <c r="AJ29" s="85"/>
      <c r="AK29" s="81"/>
      <c r="AL29" s="85"/>
      <c r="AM29" s="81"/>
      <c r="AN29" s="85"/>
      <c r="AO29" s="81"/>
      <c r="AP29" s="85"/>
    </row>
    <row r="30" spans="1:42" s="80" customFormat="1" ht="12.75">
      <c r="A30" s="80" t="s">
        <v>190</v>
      </c>
      <c r="B30" s="80">
        <v>26</v>
      </c>
      <c r="C30" s="80" t="s">
        <v>261</v>
      </c>
      <c r="D30" s="83">
        <v>0.1</v>
      </c>
      <c r="E30" s="81">
        <v>1</v>
      </c>
      <c r="F30" s="84">
        <v>0.0004534920065954549</v>
      </c>
      <c r="G30" s="84">
        <f t="shared" si="0"/>
        <v>0.00022674600329772746</v>
      </c>
      <c r="H30" s="84">
        <f t="shared" si="1"/>
        <v>2.2674600329772747E-05</v>
      </c>
      <c r="I30" s="81">
        <v>1</v>
      </c>
      <c r="J30" s="84">
        <v>0.0006872903349078621</v>
      </c>
      <c r="K30" s="84">
        <f t="shared" si="2"/>
        <v>0.00034364516745393105</v>
      </c>
      <c r="L30" s="84">
        <f t="shared" si="3"/>
        <v>3.43645167453931E-05</v>
      </c>
      <c r="M30" s="81">
        <v>1</v>
      </c>
      <c r="N30" s="84">
        <v>0.0013249470192027723</v>
      </c>
      <c r="O30" s="84">
        <f t="shared" si="4"/>
        <v>0.0006624735096013862</v>
      </c>
      <c r="P30" s="84">
        <f t="shared" si="5"/>
        <v>6.624735096013861E-05</v>
      </c>
      <c r="Q30" s="81"/>
      <c r="R30" s="84"/>
      <c r="S30" s="81"/>
      <c r="T30" s="84"/>
      <c r="U30" s="81"/>
      <c r="V30" s="84"/>
      <c r="W30" s="81"/>
      <c r="X30" s="84"/>
      <c r="Y30" s="81"/>
      <c r="Z30" s="84"/>
      <c r="AA30" s="81"/>
      <c r="AB30" s="85"/>
      <c r="AC30" s="81"/>
      <c r="AD30" s="85"/>
      <c r="AE30" s="81"/>
      <c r="AF30" s="85"/>
      <c r="AG30" s="81"/>
      <c r="AH30" s="85"/>
      <c r="AI30" s="81"/>
      <c r="AJ30" s="85"/>
      <c r="AK30" s="81"/>
      <c r="AL30" s="85"/>
      <c r="AM30" s="81"/>
      <c r="AN30" s="85"/>
      <c r="AO30" s="81"/>
      <c r="AP30" s="85"/>
    </row>
    <row r="31" spans="1:42" s="80" customFormat="1" ht="12.75">
      <c r="A31" s="80" t="s">
        <v>190</v>
      </c>
      <c r="B31" s="80">
        <v>27</v>
      </c>
      <c r="C31" s="80" t="s">
        <v>262</v>
      </c>
      <c r="D31" s="83">
        <v>0</v>
      </c>
      <c r="E31" s="81"/>
      <c r="F31" s="84">
        <v>-0.002465862785862786</v>
      </c>
      <c r="G31" s="84">
        <f t="shared" si="0"/>
        <v>-0.002465862785862786</v>
      </c>
      <c r="H31" s="84">
        <f t="shared" si="1"/>
        <v>0</v>
      </c>
      <c r="I31" s="81"/>
      <c r="J31" s="84"/>
      <c r="K31" s="84">
        <f t="shared" si="2"/>
        <v>0</v>
      </c>
      <c r="L31" s="84">
        <f t="shared" si="3"/>
        <v>0</v>
      </c>
      <c r="M31" s="81">
        <v>1</v>
      </c>
      <c r="N31" s="84">
        <v>0.0006162544275361728</v>
      </c>
      <c r="O31" s="84">
        <f t="shared" si="4"/>
        <v>0.0003081272137680864</v>
      </c>
      <c r="P31" s="84">
        <f t="shared" si="5"/>
        <v>0</v>
      </c>
      <c r="Q31" s="81"/>
      <c r="R31" s="84"/>
      <c r="S31" s="81"/>
      <c r="T31" s="84"/>
      <c r="U31" s="81"/>
      <c r="V31" s="84"/>
      <c r="W31" s="81"/>
      <c r="X31" s="84"/>
      <c r="Y31" s="81"/>
      <c r="Z31" s="84"/>
      <c r="AA31" s="81"/>
      <c r="AB31" s="85"/>
      <c r="AC31" s="81"/>
      <c r="AD31" s="85"/>
      <c r="AE31" s="81"/>
      <c r="AF31" s="85"/>
      <c r="AG31" s="81"/>
      <c r="AH31" s="85"/>
      <c r="AI31" s="81"/>
      <c r="AJ31" s="85"/>
      <c r="AK31" s="81"/>
      <c r="AL31" s="85"/>
      <c r="AM31" s="81"/>
      <c r="AN31" s="85"/>
      <c r="AO31" s="81"/>
      <c r="AP31" s="85"/>
    </row>
    <row r="32" spans="1:42" s="80" customFormat="1" ht="12.75">
      <c r="A32" s="80" t="s">
        <v>190</v>
      </c>
      <c r="B32" s="80">
        <v>28</v>
      </c>
      <c r="C32" s="80" t="s">
        <v>263</v>
      </c>
      <c r="D32" s="83">
        <v>0</v>
      </c>
      <c r="E32" s="81"/>
      <c r="F32" s="84">
        <v>0.0010770435156642</v>
      </c>
      <c r="G32" s="84">
        <f t="shared" si="0"/>
        <v>0.0010770435156642</v>
      </c>
      <c r="H32" s="84">
        <f t="shared" si="1"/>
        <v>0</v>
      </c>
      <c r="I32" s="81"/>
      <c r="J32" s="84"/>
      <c r="K32" s="84">
        <f t="shared" si="2"/>
        <v>0</v>
      </c>
      <c r="L32" s="84">
        <f t="shared" si="3"/>
        <v>0</v>
      </c>
      <c r="M32" s="81"/>
      <c r="N32" s="84">
        <v>0.009551943626810683</v>
      </c>
      <c r="O32" s="84">
        <f t="shared" si="4"/>
        <v>0.009551943626810683</v>
      </c>
      <c r="P32" s="84">
        <f t="shared" si="5"/>
        <v>0</v>
      </c>
      <c r="Q32" s="81"/>
      <c r="R32" s="84"/>
      <c r="S32" s="81"/>
      <c r="T32" s="84"/>
      <c r="U32" s="81"/>
      <c r="V32" s="84"/>
      <c r="W32" s="81"/>
      <c r="X32" s="84"/>
      <c r="Y32" s="81"/>
      <c r="Z32" s="84"/>
      <c r="AA32" s="81"/>
      <c r="AB32" s="85"/>
      <c r="AC32" s="81"/>
      <c r="AD32" s="85"/>
      <c r="AE32" s="81"/>
      <c r="AF32" s="85"/>
      <c r="AG32" s="81"/>
      <c r="AH32" s="85"/>
      <c r="AI32" s="81"/>
      <c r="AJ32" s="85"/>
      <c r="AK32" s="81"/>
      <c r="AL32" s="85"/>
      <c r="AM32" s="81"/>
      <c r="AN32" s="85"/>
      <c r="AO32" s="81"/>
      <c r="AP32" s="85"/>
    </row>
    <row r="33" spans="1:42" s="80" customFormat="1" ht="12.75">
      <c r="A33" s="80" t="s">
        <v>190</v>
      </c>
      <c r="B33" s="80">
        <v>29</v>
      </c>
      <c r="C33" s="80" t="s">
        <v>264</v>
      </c>
      <c r="D33" s="83">
        <v>0.01</v>
      </c>
      <c r="E33" s="81">
        <v>1</v>
      </c>
      <c r="F33" s="84">
        <v>0.002692608789160513</v>
      </c>
      <c r="G33" s="84">
        <f t="shared" si="0"/>
        <v>0.0013463043945802565</v>
      </c>
      <c r="H33" s="84">
        <f t="shared" si="1"/>
        <v>1.3463043945802565E-05</v>
      </c>
      <c r="I33" s="81">
        <v>1</v>
      </c>
      <c r="J33" s="84">
        <v>0.0032870407321680365</v>
      </c>
      <c r="K33" s="84">
        <f t="shared" si="2"/>
        <v>0.0016435203660840182</v>
      </c>
      <c r="L33" s="84">
        <f t="shared" si="3"/>
        <v>1.6435203660840184E-05</v>
      </c>
      <c r="M33" s="81">
        <v>1</v>
      </c>
      <c r="N33" s="84">
        <v>0.008627561985506425</v>
      </c>
      <c r="O33" s="84">
        <f t="shared" si="4"/>
        <v>0.004313780992753213</v>
      </c>
      <c r="P33" s="84">
        <f t="shared" si="5"/>
        <v>4.313780992753213E-05</v>
      </c>
      <c r="Q33" s="81"/>
      <c r="R33" s="84"/>
      <c r="S33" s="81"/>
      <c r="T33" s="84"/>
      <c r="U33" s="81"/>
      <c r="V33" s="84"/>
      <c r="W33" s="81"/>
      <c r="X33" s="84"/>
      <c r="Y33" s="81"/>
      <c r="Z33" s="84"/>
      <c r="AA33" s="81"/>
      <c r="AB33" s="85"/>
      <c r="AC33" s="81"/>
      <c r="AD33" s="85"/>
      <c r="AE33" s="81"/>
      <c r="AF33" s="85"/>
      <c r="AG33" s="81"/>
      <c r="AH33" s="85"/>
      <c r="AI33" s="81"/>
      <c r="AJ33" s="85"/>
      <c r="AK33" s="81"/>
      <c r="AL33" s="85"/>
      <c r="AM33" s="81"/>
      <c r="AN33" s="85"/>
      <c r="AO33" s="81"/>
      <c r="AP33" s="85"/>
    </row>
    <row r="34" spans="1:42" s="80" customFormat="1" ht="12.75">
      <c r="A34" s="80" t="s">
        <v>190</v>
      </c>
      <c r="B34" s="80">
        <v>30</v>
      </c>
      <c r="C34" s="80" t="s">
        <v>265</v>
      </c>
      <c r="D34" s="83">
        <v>0.01</v>
      </c>
      <c r="E34" s="81">
        <v>1</v>
      </c>
      <c r="F34" s="84">
        <v>0.0031177575453437516</v>
      </c>
      <c r="G34" s="84">
        <f t="shared" si="0"/>
        <v>0.0015588787726718758</v>
      </c>
      <c r="H34" s="84">
        <f t="shared" si="1"/>
        <v>1.5588787726718758E-05</v>
      </c>
      <c r="I34" s="81">
        <v>1</v>
      </c>
      <c r="J34" s="84">
        <v>0.0027790435281057</v>
      </c>
      <c r="K34" s="84">
        <f t="shared" si="2"/>
        <v>0.00138952176405285</v>
      </c>
      <c r="L34" s="84">
        <f t="shared" si="3"/>
        <v>1.38952176405285E-05</v>
      </c>
      <c r="M34" s="81">
        <v>1</v>
      </c>
      <c r="N34" s="84">
        <v>0.0029580212521736304</v>
      </c>
      <c r="O34" s="84">
        <f t="shared" si="4"/>
        <v>0.0014790106260868152</v>
      </c>
      <c r="P34" s="84">
        <f t="shared" si="5"/>
        <v>1.4790106260868152E-05</v>
      </c>
      <c r="Q34" s="81"/>
      <c r="R34" s="84"/>
      <c r="S34" s="81"/>
      <c r="T34" s="84"/>
      <c r="U34" s="81"/>
      <c r="V34" s="84"/>
      <c r="W34" s="81"/>
      <c r="X34" s="84"/>
      <c r="Y34" s="81"/>
      <c r="Z34" s="84"/>
      <c r="AA34" s="81"/>
      <c r="AB34" s="85"/>
      <c r="AC34" s="81"/>
      <c r="AD34" s="85"/>
      <c r="AE34" s="81"/>
      <c r="AF34" s="85"/>
      <c r="AG34" s="81"/>
      <c r="AH34" s="85"/>
      <c r="AI34" s="81"/>
      <c r="AJ34" s="85"/>
      <c r="AK34" s="81"/>
      <c r="AL34" s="85"/>
      <c r="AM34" s="81"/>
      <c r="AN34" s="85"/>
      <c r="AO34" s="81"/>
      <c r="AP34" s="85"/>
    </row>
    <row r="35" spans="4:42" s="80" customFormat="1" ht="12.75">
      <c r="D35" s="83"/>
      <c r="E35" s="81"/>
      <c r="F35" s="84"/>
      <c r="G35" s="84"/>
      <c r="H35" s="84"/>
      <c r="I35" s="81"/>
      <c r="J35" s="84"/>
      <c r="K35" s="84"/>
      <c r="L35" s="84"/>
      <c r="M35" s="81"/>
      <c r="N35" s="84"/>
      <c r="O35" s="84"/>
      <c r="P35" s="84"/>
      <c r="Q35" s="81"/>
      <c r="R35" s="84"/>
      <c r="S35" s="81"/>
      <c r="T35" s="84"/>
      <c r="U35" s="81"/>
      <c r="V35" s="84"/>
      <c r="W35" s="81"/>
      <c r="X35" s="84"/>
      <c r="Y35" s="81"/>
      <c r="Z35" s="84"/>
      <c r="AA35" s="81"/>
      <c r="AB35" s="85"/>
      <c r="AC35" s="81"/>
      <c r="AD35" s="85"/>
      <c r="AE35" s="81"/>
      <c r="AF35" s="85"/>
      <c r="AG35" s="81"/>
      <c r="AH35" s="85"/>
      <c r="AI35" s="81"/>
      <c r="AJ35" s="85"/>
      <c r="AK35" s="81"/>
      <c r="AL35" s="85"/>
      <c r="AM35" s="81"/>
      <c r="AN35" s="85"/>
      <c r="AO35" s="81"/>
      <c r="AP35" s="85"/>
    </row>
    <row r="36" spans="4:42" s="80" customFormat="1" ht="12.75">
      <c r="D36" s="83"/>
      <c r="E36" s="81"/>
      <c r="F36" s="84"/>
      <c r="G36" s="84"/>
      <c r="H36" s="84"/>
      <c r="I36" s="81"/>
      <c r="J36" s="84"/>
      <c r="K36" s="84"/>
      <c r="L36" s="84"/>
      <c r="M36" s="81"/>
      <c r="N36" s="84"/>
      <c r="O36" s="84"/>
      <c r="P36" s="84"/>
      <c r="Q36" s="81"/>
      <c r="R36" s="84"/>
      <c r="S36" s="81"/>
      <c r="T36" s="84"/>
      <c r="U36" s="81"/>
      <c r="V36" s="84"/>
      <c r="W36" s="81"/>
      <c r="X36" s="84"/>
      <c r="Y36" s="81"/>
      <c r="Z36" s="84"/>
      <c r="AA36" s="81"/>
      <c r="AB36" s="85"/>
      <c r="AC36" s="81"/>
      <c r="AD36" s="85"/>
      <c r="AE36" s="81"/>
      <c r="AF36" s="85"/>
      <c r="AG36" s="81"/>
      <c r="AH36" s="85"/>
      <c r="AI36" s="81"/>
      <c r="AJ36" s="85"/>
      <c r="AK36" s="81"/>
      <c r="AL36" s="85"/>
      <c r="AM36" s="81"/>
      <c r="AN36" s="85"/>
      <c r="AO36" s="81"/>
      <c r="AP36" s="85"/>
    </row>
    <row r="37" spans="1:42" s="80" customFormat="1" ht="12.75">
      <c r="A37" s="80" t="s">
        <v>190</v>
      </c>
      <c r="B37" s="80">
        <v>33</v>
      </c>
      <c r="C37" s="80" t="s">
        <v>268</v>
      </c>
      <c r="D37" s="83">
        <v>0.001</v>
      </c>
      <c r="E37" s="81">
        <v>1</v>
      </c>
      <c r="F37" s="84">
        <v>0.005101785074198867</v>
      </c>
      <c r="G37" s="84">
        <f t="shared" si="0"/>
        <v>0.0025508925370994334</v>
      </c>
      <c r="H37" s="84">
        <f t="shared" si="1"/>
        <v>2.5508925370994336E-06</v>
      </c>
      <c r="I37" s="81">
        <v>1</v>
      </c>
      <c r="J37" s="84">
        <v>0.0020319888162493313</v>
      </c>
      <c r="K37" s="84">
        <f t="shared" si="2"/>
        <v>0.0010159944081246657</v>
      </c>
      <c r="L37" s="84">
        <f t="shared" si="3"/>
        <v>1.0159944081246656E-06</v>
      </c>
      <c r="M37" s="81">
        <v>1</v>
      </c>
      <c r="N37" s="84">
        <v>0.005238162634057471</v>
      </c>
      <c r="O37" s="84">
        <f t="shared" si="4"/>
        <v>0.0026190813170287354</v>
      </c>
      <c r="P37" s="84">
        <f t="shared" si="5"/>
        <v>2.6190813170287355E-06</v>
      </c>
      <c r="Q37" s="81"/>
      <c r="R37" s="84"/>
      <c r="S37" s="81"/>
      <c r="T37" s="84"/>
      <c r="U37" s="81"/>
      <c r="V37" s="84"/>
      <c r="W37" s="81"/>
      <c r="X37" s="84"/>
      <c r="Y37" s="81"/>
      <c r="Z37" s="84"/>
      <c r="AA37" s="81"/>
      <c r="AB37" s="85"/>
      <c r="AC37" s="81"/>
      <c r="AD37" s="85"/>
      <c r="AE37" s="81"/>
      <c r="AF37" s="85"/>
      <c r="AG37" s="81"/>
      <c r="AH37" s="85"/>
      <c r="AI37" s="81"/>
      <c r="AJ37" s="85"/>
      <c r="AK37" s="81"/>
      <c r="AL37" s="85"/>
      <c r="AM37" s="81"/>
      <c r="AN37" s="85"/>
      <c r="AO37" s="81"/>
      <c r="AP37" s="85"/>
    </row>
    <row r="38" spans="1:42" s="80" customFormat="1" ht="12.75">
      <c r="A38" s="80" t="s">
        <v>190</v>
      </c>
      <c r="B38" s="80">
        <v>34</v>
      </c>
      <c r="C38" s="80" t="s">
        <v>269</v>
      </c>
      <c r="D38" s="83"/>
      <c r="E38" s="81"/>
      <c r="F38" s="84">
        <v>0.07278546705857052</v>
      </c>
      <c r="G38" s="84">
        <f>SUM(G37,G32,G26,G22,G19,G18,G15,G7)</f>
        <v>0.070234574521471</v>
      </c>
      <c r="H38" s="84"/>
      <c r="I38" s="81"/>
      <c r="J38" s="84">
        <v>0.13946017360934754</v>
      </c>
      <c r="K38" s="84">
        <f>SUM(K37,K32,K26,K22,K19,K18,K15,K7)</f>
        <v>0.13844417920122284</v>
      </c>
      <c r="L38" s="84"/>
      <c r="M38" s="81"/>
      <c r="N38" s="84">
        <v>0.4184367562970616</v>
      </c>
      <c r="O38" s="84">
        <f>SUM(O37,O32,O26,O22,O19,O18,O15,O7)</f>
        <v>0.4158176749800332</v>
      </c>
      <c r="P38" s="84"/>
      <c r="Q38" s="81"/>
      <c r="R38" s="84"/>
      <c r="S38" s="81"/>
      <c r="T38" s="84"/>
      <c r="U38" s="81"/>
      <c r="V38" s="84"/>
      <c r="W38" s="81"/>
      <c r="X38" s="84"/>
      <c r="Y38" s="81"/>
      <c r="Z38" s="84"/>
      <c r="AA38" s="81"/>
      <c r="AB38" s="85"/>
      <c r="AC38" s="81"/>
      <c r="AD38" s="85"/>
      <c r="AE38" s="81"/>
      <c r="AF38" s="85"/>
      <c r="AG38" s="81"/>
      <c r="AH38" s="85"/>
      <c r="AI38" s="81"/>
      <c r="AJ38" s="85"/>
      <c r="AK38" s="81"/>
      <c r="AL38" s="85"/>
      <c r="AM38" s="81"/>
      <c r="AN38" s="85"/>
      <c r="AO38" s="81"/>
      <c r="AP38" s="85"/>
    </row>
    <row r="39" spans="1:42" s="80" customFormat="1" ht="12.75">
      <c r="A39" s="80" t="s">
        <v>190</v>
      </c>
      <c r="B39" s="80">
        <v>35</v>
      </c>
      <c r="C39" s="80" t="s">
        <v>26</v>
      </c>
      <c r="D39" s="83"/>
      <c r="E39" s="103">
        <f>(F39-H39)*2/F39*100</f>
        <v>99.48001101153153</v>
      </c>
      <c r="F39" s="84">
        <v>0.009266258857265753</v>
      </c>
      <c r="G39" s="84"/>
      <c r="H39" s="84">
        <f>SUM(H5:H37)</f>
        <v>0.004657221191483259</v>
      </c>
      <c r="I39" s="103">
        <f>(J39-L39)*2/J39*100</f>
        <v>94.40200396948806</v>
      </c>
      <c r="J39" s="84">
        <v>0.010569270298967</v>
      </c>
      <c r="K39" s="84"/>
      <c r="L39" s="84">
        <f>SUM(L5:L37)</f>
        <v>0.005580468815378626</v>
      </c>
      <c r="M39" s="103">
        <f>(N39-P39)*2/N39*100</f>
        <v>85.2053572850477</v>
      </c>
      <c r="N39" s="84">
        <v>0.019348232134139456</v>
      </c>
      <c r="O39" s="84"/>
      <c r="P39" s="84">
        <f>SUM(P5:P37)</f>
        <v>0.01110536697502249</v>
      </c>
      <c r="Q39" s="81"/>
      <c r="R39" s="84"/>
      <c r="S39" s="81"/>
      <c r="T39" s="84"/>
      <c r="U39" s="81"/>
      <c r="V39" s="84"/>
      <c r="W39" s="81"/>
      <c r="X39" s="84"/>
      <c r="Y39" s="81"/>
      <c r="Z39" s="84"/>
      <c r="AA39" s="81"/>
      <c r="AB39" s="85"/>
      <c r="AC39" s="81"/>
      <c r="AD39" s="85"/>
      <c r="AE39" s="81"/>
      <c r="AF39" s="85"/>
      <c r="AG39" s="81"/>
      <c r="AH39" s="85"/>
      <c r="AI39" s="81"/>
      <c r="AJ39" s="85"/>
      <c r="AK39" s="81"/>
      <c r="AL39" s="85"/>
      <c r="AM39" s="81"/>
      <c r="AN39" s="85"/>
      <c r="AO39" s="81"/>
      <c r="AP39" s="85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P39"/>
  <sheetViews>
    <sheetView workbookViewId="0" topLeftCell="C11">
      <selection activeCell="B35" sqref="B35"/>
    </sheetView>
  </sheetViews>
  <sheetFormatPr defaultColWidth="9.140625" defaultRowHeight="12.75"/>
  <cols>
    <col min="1" max="1" width="9.140625" style="0" hidden="1" customWidth="1"/>
    <col min="2" max="2" width="0" style="0" hidden="1" customWidth="1"/>
    <col min="3" max="3" width="17.140625" style="0" customWidth="1"/>
    <col min="4" max="4" width="7.00390625" style="82" customWidth="1"/>
    <col min="5" max="5" width="4.7109375" style="0" customWidth="1"/>
    <col min="7" max="7" width="7.7109375" style="61" customWidth="1"/>
    <col min="8" max="8" width="8.28125" style="61" customWidth="1"/>
    <col min="9" max="9" width="5.140625" style="0" customWidth="1"/>
    <col min="11" max="11" width="7.7109375" style="61" customWidth="1"/>
    <col min="12" max="12" width="8.28125" style="61" customWidth="1"/>
    <col min="13" max="13" width="4.57421875" style="0" bestFit="1" customWidth="1"/>
    <col min="15" max="15" width="7.7109375" style="61" customWidth="1"/>
    <col min="16" max="16" width="8.28125" style="61" customWidth="1"/>
  </cols>
  <sheetData>
    <row r="1" ht="12.75">
      <c r="C1" s="3" t="s">
        <v>192</v>
      </c>
    </row>
    <row r="2" spans="6:16" ht="12.75">
      <c r="F2" s="107" t="s">
        <v>161</v>
      </c>
      <c r="G2" s="108"/>
      <c r="H2" s="108"/>
      <c r="J2" s="107" t="s">
        <v>120</v>
      </c>
      <c r="K2" s="108"/>
      <c r="L2" s="108"/>
      <c r="N2" s="107" t="s">
        <v>162</v>
      </c>
      <c r="O2" s="108"/>
      <c r="P2" s="108"/>
    </row>
    <row r="3" spans="3:16" ht="12.75">
      <c r="C3" t="s">
        <v>63</v>
      </c>
      <c r="D3" s="82" t="s">
        <v>22</v>
      </c>
      <c r="F3" s="46" t="s">
        <v>24</v>
      </c>
      <c r="G3" s="109" t="s">
        <v>24</v>
      </c>
      <c r="H3" s="109" t="s">
        <v>26</v>
      </c>
      <c r="I3" s="46"/>
      <c r="J3" s="46" t="s">
        <v>24</v>
      </c>
      <c r="K3" s="109" t="s">
        <v>24</v>
      </c>
      <c r="L3" s="109" t="s">
        <v>26</v>
      </c>
      <c r="M3" s="46"/>
      <c r="N3" s="46" t="s">
        <v>24</v>
      </c>
      <c r="O3" s="109" t="s">
        <v>24</v>
      </c>
      <c r="P3" s="109" t="s">
        <v>26</v>
      </c>
    </row>
    <row r="4" spans="4:16" ht="12.75">
      <c r="D4" s="82" t="s">
        <v>234</v>
      </c>
      <c r="F4" s="46" t="s">
        <v>235</v>
      </c>
      <c r="G4" s="109" t="s">
        <v>66</v>
      </c>
      <c r="H4" s="109" t="s">
        <v>66</v>
      </c>
      <c r="I4" s="46"/>
      <c r="J4" s="46" t="s">
        <v>235</v>
      </c>
      <c r="K4" s="109" t="s">
        <v>66</v>
      </c>
      <c r="L4" s="109" t="s">
        <v>66</v>
      </c>
      <c r="M4" s="46"/>
      <c r="N4" s="46" t="s">
        <v>235</v>
      </c>
      <c r="O4" s="109" t="s">
        <v>66</v>
      </c>
      <c r="P4" s="109" t="s">
        <v>66</v>
      </c>
    </row>
    <row r="5" spans="1:42" s="80" customFormat="1" ht="12.75">
      <c r="A5" s="80" t="s">
        <v>192</v>
      </c>
      <c r="B5" s="80">
        <v>1</v>
      </c>
      <c r="C5" s="80" t="s">
        <v>236</v>
      </c>
      <c r="D5" s="83">
        <v>1</v>
      </c>
      <c r="E5" s="81">
        <v>1</v>
      </c>
      <c r="F5" s="84">
        <v>0.01236087141392161</v>
      </c>
      <c r="G5" s="84">
        <f>IF(E5=1,F5/2,F5)</f>
        <v>0.006180435706960805</v>
      </c>
      <c r="H5" s="84">
        <f>G5*$D5</f>
        <v>0.006180435706960805</v>
      </c>
      <c r="I5" s="81">
        <v>1</v>
      </c>
      <c r="J5" s="84">
        <v>0.003038341158059468</v>
      </c>
      <c r="K5" s="84">
        <f>IF(I5=1,J5/2,J5)</f>
        <v>0.001519170579029734</v>
      </c>
      <c r="L5" s="84">
        <f>K5*$D5</f>
        <v>0.001519170579029734</v>
      </c>
      <c r="M5" s="81">
        <v>1</v>
      </c>
      <c r="N5" s="84">
        <v>0.00717800642563748</v>
      </c>
      <c r="O5" s="84">
        <f>IF(M5=1,N5/2,N5)</f>
        <v>0.00358900321281874</v>
      </c>
      <c r="P5" s="84">
        <f>O5*$D5</f>
        <v>0.00358900321281874</v>
      </c>
      <c r="Q5" s="81"/>
      <c r="R5" s="84"/>
      <c r="S5" s="81"/>
      <c r="T5" s="84"/>
      <c r="U5" s="81"/>
      <c r="V5" s="84"/>
      <c r="W5" s="81"/>
      <c r="X5" s="84"/>
      <c r="Y5" s="81"/>
      <c r="Z5" s="84"/>
      <c r="AA5" s="81"/>
      <c r="AB5" s="85"/>
      <c r="AC5" s="81"/>
      <c r="AD5" s="85"/>
      <c r="AE5" s="81"/>
      <c r="AF5" s="85"/>
      <c r="AG5" s="81"/>
      <c r="AH5" s="85"/>
      <c r="AI5" s="81"/>
      <c r="AJ5" s="85"/>
      <c r="AK5" s="81"/>
      <c r="AL5" s="85"/>
      <c r="AM5" s="81"/>
      <c r="AN5" s="85"/>
      <c r="AO5" s="81"/>
      <c r="AP5" s="85"/>
    </row>
    <row r="6" spans="1:42" s="80" customFormat="1" ht="12.75">
      <c r="A6" s="80" t="s">
        <v>192</v>
      </c>
      <c r="B6" s="80">
        <v>2</v>
      </c>
      <c r="C6" s="80" t="s">
        <v>237</v>
      </c>
      <c r="D6" s="83">
        <v>0</v>
      </c>
      <c r="E6" s="81"/>
      <c r="F6" s="84"/>
      <c r="G6" s="84">
        <f aca="true" t="shared" si="0" ref="G6:G37">IF(E6=1,F6/2,F6)</f>
        <v>0</v>
      </c>
      <c r="H6" s="84">
        <f aca="true" t="shared" si="1" ref="H6:H37">G6*$D6</f>
        <v>0</v>
      </c>
      <c r="I6" s="81"/>
      <c r="J6" s="84">
        <v>0.07430125195618154</v>
      </c>
      <c r="K6" s="84">
        <f aca="true" t="shared" si="2" ref="K6:K37">IF(I6=1,J6/2,J6)</f>
        <v>0.07430125195618154</v>
      </c>
      <c r="L6" s="84">
        <f aca="true" t="shared" si="3" ref="L6:L37">K6*$D6</f>
        <v>0</v>
      </c>
      <c r="M6" s="81"/>
      <c r="N6" s="84">
        <v>0.08182927325226726</v>
      </c>
      <c r="O6" s="84">
        <f aca="true" t="shared" si="4" ref="O6:O37">IF(M6=1,N6/2,N6)</f>
        <v>0.08182927325226726</v>
      </c>
      <c r="P6" s="84">
        <f aca="true" t="shared" si="5" ref="P6:P37">O6*$D6</f>
        <v>0</v>
      </c>
      <c r="Q6" s="81"/>
      <c r="R6" s="84"/>
      <c r="S6" s="81"/>
      <c r="T6" s="84"/>
      <c r="U6" s="81"/>
      <c r="V6" s="84"/>
      <c r="W6" s="81"/>
      <c r="X6" s="84"/>
      <c r="Y6" s="81"/>
      <c r="Z6" s="84"/>
      <c r="AA6" s="81"/>
      <c r="AB6" s="85"/>
      <c r="AC6" s="81"/>
      <c r="AD6" s="85"/>
      <c r="AE6" s="81"/>
      <c r="AF6" s="85"/>
      <c r="AG6" s="81"/>
      <c r="AH6" s="85"/>
      <c r="AI6" s="81"/>
      <c r="AJ6" s="85"/>
      <c r="AK6" s="81"/>
      <c r="AL6" s="85"/>
      <c r="AM6" s="81"/>
      <c r="AN6" s="85"/>
      <c r="AO6" s="81"/>
      <c r="AP6" s="85"/>
    </row>
    <row r="7" spans="1:42" s="80" customFormat="1" ht="12.75">
      <c r="A7" s="80" t="s">
        <v>192</v>
      </c>
      <c r="B7" s="80">
        <v>3</v>
      </c>
      <c r="C7" s="80" t="s">
        <v>238</v>
      </c>
      <c r="D7" s="83">
        <v>0</v>
      </c>
      <c r="E7" s="81"/>
      <c r="F7" s="84"/>
      <c r="G7" s="84">
        <f t="shared" si="0"/>
        <v>0</v>
      </c>
      <c r="H7" s="84">
        <f t="shared" si="1"/>
        <v>0</v>
      </c>
      <c r="I7" s="81"/>
      <c r="J7" s="84">
        <v>0.077339593114241</v>
      </c>
      <c r="K7" s="84">
        <f t="shared" si="2"/>
        <v>0.077339593114241</v>
      </c>
      <c r="L7" s="84">
        <f t="shared" si="3"/>
        <v>0</v>
      </c>
      <c r="M7" s="81"/>
      <c r="N7" s="84">
        <v>0.08900727967790474</v>
      </c>
      <c r="O7" s="84">
        <f t="shared" si="4"/>
        <v>0.08900727967790474</v>
      </c>
      <c r="P7" s="84">
        <f t="shared" si="5"/>
        <v>0</v>
      </c>
      <c r="Q7" s="81"/>
      <c r="R7" s="84"/>
      <c r="S7" s="81"/>
      <c r="T7" s="84"/>
      <c r="U7" s="81"/>
      <c r="V7" s="84"/>
      <c r="W7" s="81"/>
      <c r="X7" s="84"/>
      <c r="Y7" s="81"/>
      <c r="Z7" s="84"/>
      <c r="AA7" s="81"/>
      <c r="AB7" s="85"/>
      <c r="AC7" s="81"/>
      <c r="AD7" s="85"/>
      <c r="AE7" s="81"/>
      <c r="AF7" s="85"/>
      <c r="AG7" s="81"/>
      <c r="AH7" s="85"/>
      <c r="AI7" s="81"/>
      <c r="AJ7" s="85"/>
      <c r="AK7" s="81"/>
      <c r="AL7" s="85"/>
      <c r="AM7" s="81"/>
      <c r="AN7" s="85"/>
      <c r="AO7" s="81"/>
      <c r="AP7" s="85"/>
    </row>
    <row r="8" spans="1:42" s="80" customFormat="1" ht="12.75">
      <c r="A8" s="80" t="s">
        <v>192</v>
      </c>
      <c r="B8" s="80">
        <v>4</v>
      </c>
      <c r="C8" s="80" t="s">
        <v>239</v>
      </c>
      <c r="D8" s="83">
        <v>0.5</v>
      </c>
      <c r="E8" s="81">
        <v>1</v>
      </c>
      <c r="F8" s="84">
        <v>0.0041202904713072</v>
      </c>
      <c r="G8" s="84">
        <f t="shared" si="0"/>
        <v>0.0020601452356536</v>
      </c>
      <c r="H8" s="84">
        <f t="shared" si="1"/>
        <v>0.0010300726178268</v>
      </c>
      <c r="I8" s="81">
        <v>1</v>
      </c>
      <c r="J8" s="84">
        <v>0.0010219874804381845</v>
      </c>
      <c r="K8" s="84">
        <f t="shared" si="2"/>
        <v>0.0005109937402190922</v>
      </c>
      <c r="L8" s="84">
        <f t="shared" si="3"/>
        <v>0.0002554968701095461</v>
      </c>
      <c r="M8" s="81">
        <v>1</v>
      </c>
      <c r="N8" s="84">
        <v>0.002871202570255</v>
      </c>
      <c r="O8" s="84">
        <f t="shared" si="4"/>
        <v>0.0014356012851275</v>
      </c>
      <c r="P8" s="84">
        <f t="shared" si="5"/>
        <v>0.00071780064256375</v>
      </c>
      <c r="Q8" s="81"/>
      <c r="R8" s="84"/>
      <c r="S8" s="81"/>
      <c r="T8" s="84"/>
      <c r="U8" s="81"/>
      <c r="V8" s="84"/>
      <c r="W8" s="81"/>
      <c r="X8" s="84"/>
      <c r="Y8" s="81"/>
      <c r="Z8" s="84"/>
      <c r="AA8" s="81"/>
      <c r="AB8" s="85"/>
      <c r="AC8" s="81"/>
      <c r="AD8" s="85"/>
      <c r="AE8" s="81"/>
      <c r="AF8" s="85"/>
      <c r="AG8" s="81"/>
      <c r="AH8" s="85"/>
      <c r="AI8" s="81"/>
      <c r="AJ8" s="85"/>
      <c r="AK8" s="81"/>
      <c r="AL8" s="85"/>
      <c r="AM8" s="81"/>
      <c r="AN8" s="85"/>
      <c r="AO8" s="81"/>
      <c r="AP8" s="85"/>
    </row>
    <row r="9" spans="1:42" s="80" customFormat="1" ht="12.75">
      <c r="A9" s="80" t="s">
        <v>192</v>
      </c>
      <c r="B9" s="80">
        <v>5</v>
      </c>
      <c r="C9" s="80" t="s">
        <v>240</v>
      </c>
      <c r="D9" s="83">
        <v>0</v>
      </c>
      <c r="E9" s="81"/>
      <c r="F9" s="84"/>
      <c r="G9" s="84">
        <f t="shared" si="0"/>
        <v>0</v>
      </c>
      <c r="H9" s="84">
        <f t="shared" si="1"/>
        <v>0</v>
      </c>
      <c r="I9" s="81"/>
      <c r="J9" s="84">
        <v>0.0061595461658842</v>
      </c>
      <c r="K9" s="84">
        <f t="shared" si="2"/>
        <v>0.0061595461658842</v>
      </c>
      <c r="L9" s="84">
        <f t="shared" si="3"/>
        <v>0</v>
      </c>
      <c r="M9" s="81"/>
      <c r="N9" s="84"/>
      <c r="O9" s="84">
        <f t="shared" si="4"/>
        <v>0</v>
      </c>
      <c r="P9" s="84">
        <f t="shared" si="5"/>
        <v>0</v>
      </c>
      <c r="Q9" s="81"/>
      <c r="R9" s="84"/>
      <c r="S9" s="81"/>
      <c r="T9" s="84"/>
      <c r="U9" s="81"/>
      <c r="V9" s="84"/>
      <c r="W9" s="81"/>
      <c r="X9" s="84"/>
      <c r="Y9" s="81"/>
      <c r="Z9" s="84"/>
      <c r="AA9" s="81"/>
      <c r="AB9" s="85"/>
      <c r="AC9" s="81"/>
      <c r="AD9" s="85"/>
      <c r="AE9" s="81"/>
      <c r="AF9" s="85"/>
      <c r="AG9" s="81"/>
      <c r="AH9" s="85"/>
      <c r="AI9" s="81"/>
      <c r="AJ9" s="85"/>
      <c r="AK9" s="81"/>
      <c r="AL9" s="85"/>
      <c r="AM9" s="81"/>
      <c r="AN9" s="85"/>
      <c r="AO9" s="81"/>
      <c r="AP9" s="85"/>
    </row>
    <row r="10" spans="1:42" s="80" customFormat="1" ht="12.75">
      <c r="A10" s="80" t="s">
        <v>192</v>
      </c>
      <c r="B10" s="80">
        <v>6</v>
      </c>
      <c r="C10" s="80" t="s">
        <v>241</v>
      </c>
      <c r="D10" s="83">
        <v>0</v>
      </c>
      <c r="E10" s="81"/>
      <c r="F10" s="84"/>
      <c r="G10" s="84">
        <f t="shared" si="0"/>
        <v>0</v>
      </c>
      <c r="H10" s="84">
        <f t="shared" si="1"/>
        <v>0</v>
      </c>
      <c r="I10" s="81"/>
      <c r="J10" s="84">
        <v>0.007181533646322379</v>
      </c>
      <c r="K10" s="84">
        <f t="shared" si="2"/>
        <v>0.007181533646322379</v>
      </c>
      <c r="L10" s="84">
        <f t="shared" si="3"/>
        <v>0</v>
      </c>
      <c r="M10" s="81"/>
      <c r="N10" s="84"/>
      <c r="O10" s="84">
        <f t="shared" si="4"/>
        <v>0</v>
      </c>
      <c r="P10" s="84">
        <f t="shared" si="5"/>
        <v>0</v>
      </c>
      <c r="Q10" s="81"/>
      <c r="R10" s="84"/>
      <c r="S10" s="81"/>
      <c r="T10" s="84"/>
      <c r="U10" s="81"/>
      <c r="V10" s="84"/>
      <c r="W10" s="81"/>
      <c r="X10" s="84"/>
      <c r="Y10" s="81"/>
      <c r="Z10" s="84"/>
      <c r="AA10" s="81"/>
      <c r="AB10" s="85"/>
      <c r="AC10" s="81"/>
      <c r="AD10" s="85"/>
      <c r="AE10" s="81"/>
      <c r="AF10" s="85"/>
      <c r="AG10" s="81"/>
      <c r="AH10" s="85"/>
      <c r="AI10" s="81"/>
      <c r="AJ10" s="85"/>
      <c r="AK10" s="81"/>
      <c r="AL10" s="85"/>
      <c r="AM10" s="81"/>
      <c r="AN10" s="85"/>
      <c r="AO10" s="81"/>
      <c r="AP10" s="85"/>
    </row>
    <row r="11" spans="1:42" s="80" customFormat="1" ht="12.75">
      <c r="A11" s="80" t="s">
        <v>192</v>
      </c>
      <c r="B11" s="80">
        <v>7</v>
      </c>
      <c r="C11" s="80" t="s">
        <v>242</v>
      </c>
      <c r="D11" s="83">
        <v>0.1</v>
      </c>
      <c r="E11" s="81">
        <v>1</v>
      </c>
      <c r="F11" s="84">
        <v>0.00056653993980474</v>
      </c>
      <c r="G11" s="84">
        <f t="shared" si="0"/>
        <v>0.00028326996990237</v>
      </c>
      <c r="H11" s="84">
        <f t="shared" si="1"/>
        <v>2.8326996990237004E-05</v>
      </c>
      <c r="I11" s="81">
        <v>1</v>
      </c>
      <c r="J11" s="84">
        <v>0.00044194053208137715</v>
      </c>
      <c r="K11" s="84">
        <f t="shared" si="2"/>
        <v>0.00022097026604068858</v>
      </c>
      <c r="L11" s="84">
        <f t="shared" si="3"/>
        <v>2.2097026604068858E-05</v>
      </c>
      <c r="M11" s="81">
        <v>1</v>
      </c>
      <c r="N11" s="84">
        <v>0.0021534019276912442</v>
      </c>
      <c r="O11" s="84">
        <f t="shared" si="4"/>
        <v>0.0010767009638456221</v>
      </c>
      <c r="P11" s="84">
        <f t="shared" si="5"/>
        <v>0.00010767009638456221</v>
      </c>
      <c r="Q11" s="81"/>
      <c r="R11" s="84"/>
      <c r="S11" s="81"/>
      <c r="T11" s="84"/>
      <c r="U11" s="81"/>
      <c r="V11" s="84"/>
      <c r="W11" s="81"/>
      <c r="X11" s="84"/>
      <c r="Y11" s="81"/>
      <c r="Z11" s="84"/>
      <c r="AA11" s="81"/>
      <c r="AB11" s="85"/>
      <c r="AC11" s="81"/>
      <c r="AD11" s="85"/>
      <c r="AE11" s="81"/>
      <c r="AF11" s="85"/>
      <c r="AG11" s="81"/>
      <c r="AH11" s="85"/>
      <c r="AI11" s="81"/>
      <c r="AJ11" s="85"/>
      <c r="AK11" s="81"/>
      <c r="AL11" s="85"/>
      <c r="AM11" s="81"/>
      <c r="AN11" s="85"/>
      <c r="AO11" s="81"/>
      <c r="AP11" s="85"/>
    </row>
    <row r="12" spans="1:42" s="80" customFormat="1" ht="12.75">
      <c r="A12" s="80" t="s">
        <v>192</v>
      </c>
      <c r="B12" s="80">
        <v>8</v>
      </c>
      <c r="C12" s="80" t="s">
        <v>243</v>
      </c>
      <c r="D12" s="83">
        <v>0.1</v>
      </c>
      <c r="E12" s="81">
        <v>1</v>
      </c>
      <c r="F12" s="84">
        <v>0.0074680264792443</v>
      </c>
      <c r="G12" s="84">
        <f t="shared" si="0"/>
        <v>0.00373401323962215</v>
      </c>
      <c r="H12" s="84">
        <f t="shared" si="1"/>
        <v>0.000373401323962215</v>
      </c>
      <c r="I12" s="81"/>
      <c r="J12" s="84">
        <v>0.0014086854460093898</v>
      </c>
      <c r="K12" s="84">
        <f t="shared" si="2"/>
        <v>0.0014086854460093898</v>
      </c>
      <c r="L12" s="84">
        <f t="shared" si="3"/>
        <v>0.000140868544600939</v>
      </c>
      <c r="M12" s="81">
        <v>1</v>
      </c>
      <c r="N12" s="84">
        <v>0.001808857619260645</v>
      </c>
      <c r="O12" s="84">
        <f t="shared" si="4"/>
        <v>0.0009044288096303225</v>
      </c>
      <c r="P12" s="84">
        <f t="shared" si="5"/>
        <v>9.044288096303226E-05</v>
      </c>
      <c r="Q12" s="81"/>
      <c r="R12" s="84"/>
      <c r="S12" s="81"/>
      <c r="T12" s="84"/>
      <c r="U12" s="81"/>
      <c r="V12" s="84"/>
      <c r="W12" s="81"/>
      <c r="X12" s="84"/>
      <c r="Y12" s="81"/>
      <c r="Z12" s="84"/>
      <c r="AA12" s="81"/>
      <c r="AB12" s="85"/>
      <c r="AC12" s="81"/>
      <c r="AD12" s="85"/>
      <c r="AE12" s="81"/>
      <c r="AF12" s="85"/>
      <c r="AG12" s="81"/>
      <c r="AH12" s="85"/>
      <c r="AI12" s="81"/>
      <c r="AJ12" s="85"/>
      <c r="AK12" s="81"/>
      <c r="AL12" s="85"/>
      <c r="AM12" s="81"/>
      <c r="AN12" s="85"/>
      <c r="AO12" s="81"/>
      <c r="AP12" s="85"/>
    </row>
    <row r="13" spans="1:42" s="80" customFormat="1" ht="12.75">
      <c r="A13" s="80" t="s">
        <v>192</v>
      </c>
      <c r="B13" s="80">
        <v>9</v>
      </c>
      <c r="C13" s="80" t="s">
        <v>244</v>
      </c>
      <c r="D13" s="83">
        <v>0.1</v>
      </c>
      <c r="E13" s="81">
        <v>1</v>
      </c>
      <c r="F13" s="84">
        <v>0.0022919115746646316</v>
      </c>
      <c r="G13" s="84">
        <f t="shared" si="0"/>
        <v>0.0011459557873323158</v>
      </c>
      <c r="H13" s="84">
        <f t="shared" si="1"/>
        <v>0.00011459557873323158</v>
      </c>
      <c r="I13" s="81">
        <v>1</v>
      </c>
      <c r="J13" s="84">
        <v>0.0005248043818466353</v>
      </c>
      <c r="K13" s="84">
        <f t="shared" si="2"/>
        <v>0.00026240219092331764</v>
      </c>
      <c r="L13" s="84">
        <f t="shared" si="3"/>
        <v>2.6240219092331767E-05</v>
      </c>
      <c r="M13" s="81">
        <v>1</v>
      </c>
      <c r="N13" s="84">
        <v>0.0014356012851275</v>
      </c>
      <c r="O13" s="84">
        <f t="shared" si="4"/>
        <v>0.00071780064256375</v>
      </c>
      <c r="P13" s="84">
        <f t="shared" si="5"/>
        <v>7.178006425637501E-05</v>
      </c>
      <c r="Q13" s="81"/>
      <c r="R13" s="84"/>
      <c r="S13" s="81"/>
      <c r="T13" s="84"/>
      <c r="U13" s="81"/>
      <c r="V13" s="84"/>
      <c r="W13" s="81"/>
      <c r="X13" s="84"/>
      <c r="Y13" s="81"/>
      <c r="Z13" s="84"/>
      <c r="AA13" s="81"/>
      <c r="AB13" s="85"/>
      <c r="AC13" s="81"/>
      <c r="AD13" s="85"/>
      <c r="AE13" s="81"/>
      <c r="AF13" s="85"/>
      <c r="AG13" s="81"/>
      <c r="AH13" s="85"/>
      <c r="AI13" s="81"/>
      <c r="AJ13" s="85"/>
      <c r="AK13" s="81"/>
      <c r="AL13" s="85"/>
      <c r="AM13" s="81"/>
      <c r="AN13" s="85"/>
      <c r="AO13" s="81"/>
      <c r="AP13" s="85"/>
    </row>
    <row r="14" spans="1:42" s="80" customFormat="1" ht="12.75">
      <c r="A14" s="80" t="s">
        <v>192</v>
      </c>
      <c r="B14" s="80">
        <v>10</v>
      </c>
      <c r="C14" s="80" t="s">
        <v>245</v>
      </c>
      <c r="D14" s="83">
        <v>0</v>
      </c>
      <c r="E14" s="81"/>
      <c r="F14" s="84"/>
      <c r="G14" s="84">
        <f t="shared" si="0"/>
        <v>0</v>
      </c>
      <c r="H14" s="84">
        <f t="shared" si="1"/>
        <v>0</v>
      </c>
      <c r="I14" s="81"/>
      <c r="J14" s="84">
        <v>0.0017677621283255</v>
      </c>
      <c r="K14" s="84">
        <f t="shared" si="2"/>
        <v>0.0017677621283255</v>
      </c>
      <c r="L14" s="84">
        <f t="shared" si="3"/>
        <v>0</v>
      </c>
      <c r="M14" s="81"/>
      <c r="N14" s="84">
        <v>-0.0010910569766969</v>
      </c>
      <c r="O14" s="84">
        <f t="shared" si="4"/>
        <v>-0.0010910569766969</v>
      </c>
      <c r="P14" s="84">
        <f t="shared" si="5"/>
        <v>0</v>
      </c>
      <c r="Q14" s="81"/>
      <c r="R14" s="84"/>
      <c r="S14" s="81"/>
      <c r="T14" s="84"/>
      <c r="U14" s="81"/>
      <c r="V14" s="84"/>
      <c r="W14" s="81"/>
      <c r="X14" s="84"/>
      <c r="Y14" s="81"/>
      <c r="Z14" s="84"/>
      <c r="AA14" s="81"/>
      <c r="AB14" s="85"/>
      <c r="AC14" s="81"/>
      <c r="AD14" s="85"/>
      <c r="AE14" s="81"/>
      <c r="AF14" s="85"/>
      <c r="AG14" s="81"/>
      <c r="AH14" s="85"/>
      <c r="AI14" s="81"/>
      <c r="AJ14" s="85"/>
      <c r="AK14" s="81"/>
      <c r="AL14" s="85"/>
      <c r="AM14" s="81"/>
      <c r="AN14" s="85"/>
      <c r="AO14" s="81"/>
      <c r="AP14" s="85"/>
    </row>
    <row r="15" spans="1:42" s="80" customFormat="1" ht="12.75">
      <c r="A15" s="80" t="s">
        <v>192</v>
      </c>
      <c r="B15" s="80">
        <v>11</v>
      </c>
      <c r="C15" s="80" t="s">
        <v>246</v>
      </c>
      <c r="D15" s="83">
        <v>0</v>
      </c>
      <c r="E15" s="81"/>
      <c r="F15" s="84"/>
      <c r="G15" s="84">
        <f t="shared" si="0"/>
        <v>0</v>
      </c>
      <c r="H15" s="84">
        <f t="shared" si="1"/>
        <v>0</v>
      </c>
      <c r="I15" s="81"/>
      <c r="J15" s="84">
        <v>0.0041431924882629105</v>
      </c>
      <c r="K15" s="84">
        <f t="shared" si="2"/>
        <v>0.0041431924882629105</v>
      </c>
      <c r="L15" s="84">
        <f t="shared" si="3"/>
        <v>0</v>
      </c>
      <c r="M15" s="81"/>
      <c r="N15" s="84">
        <v>0.0043068038553824885</v>
      </c>
      <c r="O15" s="84">
        <f t="shared" si="4"/>
        <v>0.0043068038553824885</v>
      </c>
      <c r="P15" s="84">
        <f t="shared" si="5"/>
        <v>0</v>
      </c>
      <c r="Q15" s="81"/>
      <c r="R15" s="84"/>
      <c r="S15" s="81"/>
      <c r="T15" s="84"/>
      <c r="U15" s="81"/>
      <c r="V15" s="84"/>
      <c r="W15" s="81"/>
      <c r="X15" s="84"/>
      <c r="Y15" s="81"/>
      <c r="Z15" s="84"/>
      <c r="AA15" s="81"/>
      <c r="AB15" s="85"/>
      <c r="AC15" s="81"/>
      <c r="AD15" s="85"/>
      <c r="AE15" s="81"/>
      <c r="AF15" s="85"/>
      <c r="AG15" s="81"/>
      <c r="AH15" s="85"/>
      <c r="AI15" s="81"/>
      <c r="AJ15" s="85"/>
      <c r="AK15" s="81"/>
      <c r="AL15" s="85"/>
      <c r="AM15" s="81"/>
      <c r="AN15" s="85"/>
      <c r="AO15" s="81"/>
      <c r="AP15" s="85"/>
    </row>
    <row r="16" spans="1:42" s="80" customFormat="1" ht="12.75">
      <c r="A16" s="80" t="s">
        <v>192</v>
      </c>
      <c r="B16" s="80">
        <v>12</v>
      </c>
      <c r="C16" s="80" t="s">
        <v>247</v>
      </c>
      <c r="D16" s="83">
        <v>0.01</v>
      </c>
      <c r="E16" s="81">
        <v>1</v>
      </c>
      <c r="F16" s="84">
        <v>0.0066954720158742</v>
      </c>
      <c r="G16" s="84">
        <f t="shared" si="0"/>
        <v>0.0033477360079371</v>
      </c>
      <c r="H16" s="84">
        <f t="shared" si="1"/>
        <v>3.3477360079371E-05</v>
      </c>
      <c r="I16" s="81">
        <v>1</v>
      </c>
      <c r="J16" s="84">
        <v>0.0033145539906103286</v>
      </c>
      <c r="K16" s="84">
        <f t="shared" si="2"/>
        <v>0.0016572769953051643</v>
      </c>
      <c r="L16" s="84">
        <f t="shared" si="3"/>
        <v>1.6572769953051643E-05</v>
      </c>
      <c r="M16" s="81">
        <v>1</v>
      </c>
      <c r="N16" s="84">
        <v>0.008326487453739479</v>
      </c>
      <c r="O16" s="84">
        <f t="shared" si="4"/>
        <v>0.004163243726869739</v>
      </c>
      <c r="P16" s="84">
        <f t="shared" si="5"/>
        <v>4.16324372686974E-05</v>
      </c>
      <c r="Q16" s="81"/>
      <c r="R16" s="84"/>
      <c r="S16" s="81"/>
      <c r="T16" s="84"/>
      <c r="U16" s="81"/>
      <c r="V16" s="84"/>
      <c r="W16" s="81"/>
      <c r="X16" s="84"/>
      <c r="Y16" s="81"/>
      <c r="Z16" s="84"/>
      <c r="AA16" s="81"/>
      <c r="AB16" s="85"/>
      <c r="AC16" s="81"/>
      <c r="AD16" s="85"/>
      <c r="AE16" s="81"/>
      <c r="AF16" s="85"/>
      <c r="AG16" s="81"/>
      <c r="AH16" s="85"/>
      <c r="AI16" s="81"/>
      <c r="AJ16" s="85"/>
      <c r="AK16" s="81"/>
      <c r="AL16" s="85"/>
      <c r="AM16" s="81"/>
      <c r="AN16" s="85"/>
      <c r="AO16" s="81"/>
      <c r="AP16" s="85"/>
    </row>
    <row r="17" spans="1:42" s="80" customFormat="1" ht="12.75">
      <c r="A17" s="80" t="s">
        <v>192</v>
      </c>
      <c r="B17" s="80">
        <v>13</v>
      </c>
      <c r="C17" s="80" t="s">
        <v>248</v>
      </c>
      <c r="D17" s="83">
        <v>0</v>
      </c>
      <c r="E17" s="81"/>
      <c r="F17" s="84"/>
      <c r="G17" s="84">
        <f t="shared" si="0"/>
        <v>0</v>
      </c>
      <c r="H17" s="84">
        <f t="shared" si="1"/>
        <v>0</v>
      </c>
      <c r="I17" s="81"/>
      <c r="J17" s="84">
        <v>-0.0008286384976525828</v>
      </c>
      <c r="K17" s="84">
        <f t="shared" si="2"/>
        <v>-0.0008286384976525828</v>
      </c>
      <c r="L17" s="84">
        <f t="shared" si="3"/>
        <v>0</v>
      </c>
      <c r="M17" s="81"/>
      <c r="N17" s="84">
        <v>-0.001148481028102</v>
      </c>
      <c r="O17" s="84">
        <f t="shared" si="4"/>
        <v>-0.001148481028102</v>
      </c>
      <c r="P17" s="84">
        <f t="shared" si="5"/>
        <v>0</v>
      </c>
      <c r="Q17" s="81"/>
      <c r="R17" s="84"/>
      <c r="S17" s="81"/>
      <c r="T17" s="84"/>
      <c r="U17" s="81"/>
      <c r="V17" s="84"/>
      <c r="W17" s="81"/>
      <c r="X17" s="84"/>
      <c r="Y17" s="81"/>
      <c r="Z17" s="84"/>
      <c r="AA17" s="81"/>
      <c r="AB17" s="85"/>
      <c r="AC17" s="81"/>
      <c r="AD17" s="85"/>
      <c r="AE17" s="81"/>
      <c r="AF17" s="85"/>
      <c r="AG17" s="81"/>
      <c r="AH17" s="85"/>
      <c r="AI17" s="81"/>
      <c r="AJ17" s="85"/>
      <c r="AK17" s="81"/>
      <c r="AL17" s="85"/>
      <c r="AM17" s="81"/>
      <c r="AN17" s="85"/>
      <c r="AO17" s="81"/>
      <c r="AP17" s="85"/>
    </row>
    <row r="18" spans="1:42" s="80" customFormat="1" ht="12.75">
      <c r="A18" s="80" t="s">
        <v>192</v>
      </c>
      <c r="B18" s="80">
        <v>14</v>
      </c>
      <c r="C18" s="80" t="s">
        <v>249</v>
      </c>
      <c r="D18" s="83">
        <v>0</v>
      </c>
      <c r="E18" s="81"/>
      <c r="F18" s="84"/>
      <c r="G18" s="84">
        <f t="shared" si="0"/>
        <v>0</v>
      </c>
      <c r="H18" s="84">
        <f t="shared" si="1"/>
        <v>0</v>
      </c>
      <c r="I18" s="81"/>
      <c r="J18" s="84">
        <v>0.002485915492957746</v>
      </c>
      <c r="K18" s="84">
        <f t="shared" si="2"/>
        <v>0.002485915492957746</v>
      </c>
      <c r="L18" s="84">
        <f t="shared" si="3"/>
        <v>0</v>
      </c>
      <c r="M18" s="81"/>
      <c r="N18" s="84">
        <v>0.00717800642563748</v>
      </c>
      <c r="O18" s="84">
        <f t="shared" si="4"/>
        <v>0.00717800642563748</v>
      </c>
      <c r="P18" s="84">
        <f t="shared" si="5"/>
        <v>0</v>
      </c>
      <c r="Q18" s="81"/>
      <c r="R18" s="84"/>
      <c r="S18" s="81"/>
      <c r="T18" s="84"/>
      <c r="U18" s="81"/>
      <c r="V18" s="84"/>
      <c r="W18" s="81"/>
      <c r="X18" s="84"/>
      <c r="Y18" s="81"/>
      <c r="Z18" s="84"/>
      <c r="AA18" s="81"/>
      <c r="AB18" s="85"/>
      <c r="AC18" s="81"/>
      <c r="AD18" s="85"/>
      <c r="AE18" s="81"/>
      <c r="AF18" s="85"/>
      <c r="AG18" s="81"/>
      <c r="AH18" s="85"/>
      <c r="AI18" s="81"/>
      <c r="AJ18" s="85"/>
      <c r="AK18" s="81"/>
      <c r="AL18" s="85"/>
      <c r="AM18" s="81"/>
      <c r="AN18" s="85"/>
      <c r="AO18" s="81"/>
      <c r="AP18" s="85"/>
    </row>
    <row r="19" spans="1:42" s="80" customFormat="1" ht="12.75">
      <c r="A19" s="80" t="s">
        <v>192</v>
      </c>
      <c r="B19" s="80">
        <v>15</v>
      </c>
      <c r="C19" s="80" t="s">
        <v>250</v>
      </c>
      <c r="D19" s="83">
        <v>0.001</v>
      </c>
      <c r="E19" s="81"/>
      <c r="F19" s="84">
        <v>0.10815762487181409</v>
      </c>
      <c r="G19" s="84">
        <f t="shared" si="0"/>
        <v>0.10815762487181409</v>
      </c>
      <c r="H19" s="84">
        <f t="shared" si="1"/>
        <v>0.00010815762487181408</v>
      </c>
      <c r="I19" s="81"/>
      <c r="J19" s="84">
        <v>0.04695618153364633</v>
      </c>
      <c r="K19" s="84">
        <f t="shared" si="2"/>
        <v>0.04695618153364633</v>
      </c>
      <c r="L19" s="84">
        <f t="shared" si="3"/>
        <v>4.6956181533646326E-05</v>
      </c>
      <c r="M19" s="81"/>
      <c r="N19" s="84">
        <v>0.06316645654560982</v>
      </c>
      <c r="O19" s="84">
        <f t="shared" si="4"/>
        <v>0.06316645654560982</v>
      </c>
      <c r="P19" s="84">
        <f t="shared" si="5"/>
        <v>6.316645654560981E-05</v>
      </c>
      <c r="Q19" s="81"/>
      <c r="R19" s="84"/>
      <c r="S19" s="81"/>
      <c r="T19" s="84"/>
      <c r="U19" s="81"/>
      <c r="V19" s="84"/>
      <c r="W19" s="81"/>
      <c r="X19" s="84"/>
      <c r="Y19" s="81"/>
      <c r="Z19" s="84"/>
      <c r="AA19" s="81"/>
      <c r="AB19" s="85"/>
      <c r="AC19" s="81"/>
      <c r="AD19" s="85"/>
      <c r="AE19" s="81"/>
      <c r="AF19" s="85"/>
      <c r="AG19" s="81"/>
      <c r="AH19" s="85"/>
      <c r="AI19" s="81"/>
      <c r="AJ19" s="85"/>
      <c r="AK19" s="81"/>
      <c r="AL19" s="85"/>
      <c r="AM19" s="81"/>
      <c r="AN19" s="85"/>
      <c r="AO19" s="81"/>
      <c r="AP19" s="85"/>
    </row>
    <row r="20" spans="1:42" s="80" customFormat="1" ht="12.75">
      <c r="A20" s="80" t="s">
        <v>192</v>
      </c>
      <c r="B20" s="80">
        <v>16</v>
      </c>
      <c r="C20" s="80" t="s">
        <v>251</v>
      </c>
      <c r="D20" s="83">
        <v>0.1</v>
      </c>
      <c r="E20" s="81">
        <v>1</v>
      </c>
      <c r="F20" s="84">
        <v>0.025236779136756628</v>
      </c>
      <c r="G20" s="84">
        <f t="shared" si="0"/>
        <v>0.012618389568378314</v>
      </c>
      <c r="H20" s="84">
        <f t="shared" si="1"/>
        <v>0.0012618389568378316</v>
      </c>
      <c r="I20" s="81"/>
      <c r="J20" s="84">
        <v>0.01933489827856025</v>
      </c>
      <c r="K20" s="84">
        <f t="shared" si="2"/>
        <v>0.01933489827856025</v>
      </c>
      <c r="L20" s="84">
        <f t="shared" si="3"/>
        <v>0.001933489827856025</v>
      </c>
      <c r="M20" s="81"/>
      <c r="N20" s="84">
        <v>0.021821139533938</v>
      </c>
      <c r="O20" s="84">
        <f t="shared" si="4"/>
        <v>0.021821139533938</v>
      </c>
      <c r="P20" s="84">
        <f t="shared" si="5"/>
        <v>0.0021821139533938004</v>
      </c>
      <c r="Q20" s="81"/>
      <c r="R20" s="84"/>
      <c r="S20" s="81"/>
      <c r="T20" s="84"/>
      <c r="U20" s="81"/>
      <c r="V20" s="84"/>
      <c r="W20" s="81"/>
      <c r="X20" s="84"/>
      <c r="Y20" s="81"/>
      <c r="Z20" s="84"/>
      <c r="AA20" s="81"/>
      <c r="AB20" s="85"/>
      <c r="AC20" s="81"/>
      <c r="AD20" s="85"/>
      <c r="AE20" s="81"/>
      <c r="AF20" s="85"/>
      <c r="AG20" s="81"/>
      <c r="AH20" s="85"/>
      <c r="AI20" s="81"/>
      <c r="AJ20" s="85"/>
      <c r="AK20" s="81"/>
      <c r="AL20" s="85"/>
      <c r="AM20" s="81"/>
      <c r="AN20" s="85"/>
      <c r="AO20" s="81"/>
      <c r="AP20" s="85"/>
    </row>
    <row r="21" spans="1:42" s="80" customFormat="1" ht="12.75">
      <c r="A21" s="80" t="s">
        <v>192</v>
      </c>
      <c r="B21" s="80">
        <v>17</v>
      </c>
      <c r="C21" s="80" t="s">
        <v>252</v>
      </c>
      <c r="D21" s="83">
        <v>0</v>
      </c>
      <c r="E21" s="81"/>
      <c r="F21" s="84">
        <v>0.1988040152405726</v>
      </c>
      <c r="G21" s="84">
        <f t="shared" si="0"/>
        <v>0.1988040152405726</v>
      </c>
      <c r="H21" s="84">
        <f t="shared" si="1"/>
        <v>0</v>
      </c>
      <c r="I21" s="81"/>
      <c r="J21" s="84">
        <v>0.505469483568075</v>
      </c>
      <c r="K21" s="84">
        <f t="shared" si="2"/>
        <v>0.505469483568075</v>
      </c>
      <c r="L21" s="84">
        <f t="shared" si="3"/>
        <v>0</v>
      </c>
      <c r="M21" s="81"/>
      <c r="N21" s="84">
        <v>0.58113140021961</v>
      </c>
      <c r="O21" s="84">
        <f t="shared" si="4"/>
        <v>0.58113140021961</v>
      </c>
      <c r="P21" s="84">
        <f t="shared" si="5"/>
        <v>0</v>
      </c>
      <c r="Q21" s="81"/>
      <c r="R21" s="84"/>
      <c r="S21" s="81"/>
      <c r="T21" s="84"/>
      <c r="U21" s="81"/>
      <c r="V21" s="84"/>
      <c r="W21" s="81"/>
      <c r="X21" s="84"/>
      <c r="Y21" s="81"/>
      <c r="Z21" s="84"/>
      <c r="AA21" s="81"/>
      <c r="AB21" s="85"/>
      <c r="AC21" s="81"/>
      <c r="AD21" s="85"/>
      <c r="AE21" s="81"/>
      <c r="AF21" s="85"/>
      <c r="AG21" s="81"/>
      <c r="AH21" s="85"/>
      <c r="AI21" s="81"/>
      <c r="AJ21" s="85"/>
      <c r="AK21" s="81"/>
      <c r="AL21" s="85"/>
      <c r="AM21" s="81"/>
      <c r="AN21" s="85"/>
      <c r="AO21" s="81"/>
      <c r="AP21" s="85"/>
    </row>
    <row r="22" spans="1:42" s="80" customFormat="1" ht="12.75">
      <c r="A22" s="80" t="s">
        <v>192</v>
      </c>
      <c r="B22" s="80">
        <v>18</v>
      </c>
      <c r="C22" s="80" t="s">
        <v>253</v>
      </c>
      <c r="D22" s="83">
        <v>0</v>
      </c>
      <c r="E22" s="81"/>
      <c r="F22" s="84">
        <v>0.22404079437733</v>
      </c>
      <c r="G22" s="84">
        <f t="shared" si="0"/>
        <v>0.22404079437733</v>
      </c>
      <c r="H22" s="84">
        <f t="shared" si="1"/>
        <v>0</v>
      </c>
      <c r="I22" s="81"/>
      <c r="J22" s="84">
        <v>0.5248043818466354</v>
      </c>
      <c r="K22" s="84">
        <f t="shared" si="2"/>
        <v>0.5248043818466354</v>
      </c>
      <c r="L22" s="84">
        <f t="shared" si="3"/>
        <v>0</v>
      </c>
      <c r="M22" s="81"/>
      <c r="N22" s="84">
        <v>0.6029525397535483</v>
      </c>
      <c r="O22" s="84">
        <f t="shared" si="4"/>
        <v>0.6029525397535483</v>
      </c>
      <c r="P22" s="84">
        <f t="shared" si="5"/>
        <v>0</v>
      </c>
      <c r="Q22" s="81"/>
      <c r="R22" s="84"/>
      <c r="S22" s="81"/>
      <c r="T22" s="84"/>
      <c r="U22" s="81"/>
      <c r="V22" s="84"/>
      <c r="W22" s="81"/>
      <c r="X22" s="84"/>
      <c r="Y22" s="81"/>
      <c r="Z22" s="84"/>
      <c r="AA22" s="81"/>
      <c r="AB22" s="85"/>
      <c r="AC22" s="81"/>
      <c r="AD22" s="85"/>
      <c r="AE22" s="81"/>
      <c r="AF22" s="85"/>
      <c r="AG22" s="81"/>
      <c r="AH22" s="85"/>
      <c r="AI22" s="81"/>
      <c r="AJ22" s="85"/>
      <c r="AK22" s="81"/>
      <c r="AL22" s="85"/>
      <c r="AM22" s="81"/>
      <c r="AN22" s="85"/>
      <c r="AO22" s="81"/>
      <c r="AP22" s="85"/>
    </row>
    <row r="23" spans="1:42" s="80" customFormat="1" ht="12.75">
      <c r="A23" s="80" t="s">
        <v>192</v>
      </c>
      <c r="B23" s="80">
        <v>19</v>
      </c>
      <c r="C23" s="80" t="s">
        <v>254</v>
      </c>
      <c r="D23" s="83">
        <v>0.05</v>
      </c>
      <c r="E23" s="81">
        <v>1</v>
      </c>
      <c r="F23" s="84">
        <v>0.0072105083247876</v>
      </c>
      <c r="G23" s="84">
        <f t="shared" si="0"/>
        <v>0.0036052541623938</v>
      </c>
      <c r="H23" s="84">
        <f t="shared" si="1"/>
        <v>0.00018026270811969</v>
      </c>
      <c r="I23" s="81"/>
      <c r="J23" s="84">
        <v>0.003038341158059468</v>
      </c>
      <c r="K23" s="84">
        <f t="shared" si="2"/>
        <v>0.003038341158059468</v>
      </c>
      <c r="L23" s="84">
        <f t="shared" si="3"/>
        <v>0.0001519170579029734</v>
      </c>
      <c r="M23" s="81"/>
      <c r="N23" s="84">
        <v>0.002555370287526943</v>
      </c>
      <c r="O23" s="84">
        <f t="shared" si="4"/>
        <v>0.002555370287526943</v>
      </c>
      <c r="P23" s="84">
        <f t="shared" si="5"/>
        <v>0.00012776851437634715</v>
      </c>
      <c r="Q23" s="81"/>
      <c r="R23" s="84"/>
      <c r="S23" s="81"/>
      <c r="T23" s="84"/>
      <c r="U23" s="81"/>
      <c r="V23" s="84"/>
      <c r="W23" s="81"/>
      <c r="X23" s="84"/>
      <c r="Y23" s="81"/>
      <c r="Z23" s="84"/>
      <c r="AA23" s="81"/>
      <c r="AB23" s="85"/>
      <c r="AC23" s="81"/>
      <c r="AD23" s="85"/>
      <c r="AE23" s="81"/>
      <c r="AF23" s="85"/>
      <c r="AG23" s="81"/>
      <c r="AH23" s="85"/>
      <c r="AI23" s="81"/>
      <c r="AJ23" s="85"/>
      <c r="AK23" s="81"/>
      <c r="AL23" s="85"/>
      <c r="AM23" s="81"/>
      <c r="AN23" s="85"/>
      <c r="AO23" s="81"/>
      <c r="AP23" s="85"/>
    </row>
    <row r="24" spans="1:42" s="80" customFormat="1" ht="12.75">
      <c r="A24" s="80" t="s">
        <v>192</v>
      </c>
      <c r="B24" s="80">
        <v>20</v>
      </c>
      <c r="C24" s="80" t="s">
        <v>255</v>
      </c>
      <c r="D24" s="83">
        <v>0.5</v>
      </c>
      <c r="E24" s="81">
        <v>1</v>
      </c>
      <c r="F24" s="84">
        <v>0.014678534804032</v>
      </c>
      <c r="G24" s="84">
        <f t="shared" si="0"/>
        <v>0.007339267402016</v>
      </c>
      <c r="H24" s="84">
        <f t="shared" si="1"/>
        <v>0.003669633701008</v>
      </c>
      <c r="I24" s="81"/>
      <c r="J24" s="84">
        <v>0.004695618153364632</v>
      </c>
      <c r="K24" s="84">
        <f t="shared" si="2"/>
        <v>0.004695618153364632</v>
      </c>
      <c r="L24" s="84">
        <f t="shared" si="3"/>
        <v>0.002347809076682316</v>
      </c>
      <c r="M24" s="81">
        <v>1</v>
      </c>
      <c r="N24" s="84">
        <v>0.006029525397535483</v>
      </c>
      <c r="O24" s="84">
        <f t="shared" si="4"/>
        <v>0.0030147626987677414</v>
      </c>
      <c r="P24" s="84">
        <f t="shared" si="5"/>
        <v>0.0015073813493838707</v>
      </c>
      <c r="Q24" s="81"/>
      <c r="R24" s="84"/>
      <c r="S24" s="81"/>
      <c r="T24" s="84"/>
      <c r="U24" s="81"/>
      <c r="V24" s="84"/>
      <c r="W24" s="81"/>
      <c r="X24" s="84"/>
      <c r="Y24" s="81"/>
      <c r="Z24" s="84"/>
      <c r="AA24" s="81"/>
      <c r="AB24" s="85"/>
      <c r="AC24" s="81"/>
      <c r="AD24" s="85"/>
      <c r="AE24" s="81"/>
      <c r="AF24" s="85"/>
      <c r="AG24" s="81"/>
      <c r="AH24" s="85"/>
      <c r="AI24" s="81"/>
      <c r="AJ24" s="85"/>
      <c r="AK24" s="81"/>
      <c r="AL24" s="85"/>
      <c r="AM24" s="81"/>
      <c r="AN24" s="85"/>
      <c r="AO24" s="81"/>
      <c r="AP24" s="85"/>
    </row>
    <row r="25" spans="1:42" s="80" customFormat="1" ht="12.75">
      <c r="A25" s="80" t="s">
        <v>192</v>
      </c>
      <c r="B25" s="80">
        <v>21</v>
      </c>
      <c r="C25" s="80" t="s">
        <v>256</v>
      </c>
      <c r="D25" s="83">
        <v>0</v>
      </c>
      <c r="E25" s="81"/>
      <c r="F25" s="84"/>
      <c r="G25" s="84">
        <f t="shared" si="0"/>
        <v>0</v>
      </c>
      <c r="H25" s="84">
        <f t="shared" si="1"/>
        <v>0</v>
      </c>
      <c r="I25" s="81"/>
      <c r="J25" s="84">
        <v>0.08065414710485132</v>
      </c>
      <c r="K25" s="84">
        <f t="shared" si="2"/>
        <v>0.08065414710485132</v>
      </c>
      <c r="L25" s="84">
        <f t="shared" si="3"/>
        <v>0</v>
      </c>
      <c r="M25" s="81"/>
      <c r="N25" s="84">
        <v>0.040225548009272444</v>
      </c>
      <c r="O25" s="84">
        <f t="shared" si="4"/>
        <v>0.040225548009272444</v>
      </c>
      <c r="P25" s="84">
        <f t="shared" si="5"/>
        <v>0</v>
      </c>
      <c r="Q25" s="81"/>
      <c r="R25" s="84"/>
      <c r="S25" s="81"/>
      <c r="T25" s="84"/>
      <c r="U25" s="81"/>
      <c r="V25" s="84"/>
      <c r="W25" s="81"/>
      <c r="X25" s="84"/>
      <c r="Y25" s="81"/>
      <c r="Z25" s="84"/>
      <c r="AA25" s="81"/>
      <c r="AB25" s="85"/>
      <c r="AC25" s="81"/>
      <c r="AD25" s="85"/>
      <c r="AE25" s="81"/>
      <c r="AF25" s="85"/>
      <c r="AG25" s="81"/>
      <c r="AH25" s="85"/>
      <c r="AI25" s="81"/>
      <c r="AJ25" s="85"/>
      <c r="AK25" s="81"/>
      <c r="AL25" s="85"/>
      <c r="AM25" s="81"/>
      <c r="AN25" s="85"/>
      <c r="AO25" s="81"/>
      <c r="AP25" s="85"/>
    </row>
    <row r="26" spans="1:42" s="80" customFormat="1" ht="12.75">
      <c r="A26" s="80" t="s">
        <v>192</v>
      </c>
      <c r="B26" s="80">
        <v>22</v>
      </c>
      <c r="C26" s="80" t="s">
        <v>257</v>
      </c>
      <c r="D26" s="83">
        <v>0</v>
      </c>
      <c r="E26" s="81"/>
      <c r="F26" s="84"/>
      <c r="G26" s="84">
        <f t="shared" si="0"/>
        <v>0</v>
      </c>
      <c r="H26" s="84">
        <f t="shared" si="1"/>
        <v>0</v>
      </c>
      <c r="I26" s="81"/>
      <c r="J26" s="84">
        <v>0.08838810641627542</v>
      </c>
      <c r="K26" s="84">
        <f t="shared" si="2"/>
        <v>0.08838810641627542</v>
      </c>
      <c r="L26" s="84">
        <f t="shared" si="3"/>
        <v>0</v>
      </c>
      <c r="M26" s="81"/>
      <c r="N26" s="84">
        <v>0.04881044369433487</v>
      </c>
      <c r="O26" s="84">
        <f t="shared" si="4"/>
        <v>0.04881044369433487</v>
      </c>
      <c r="P26" s="84">
        <f t="shared" si="5"/>
        <v>0</v>
      </c>
      <c r="Q26" s="81"/>
      <c r="R26" s="84"/>
      <c r="S26" s="81"/>
      <c r="T26" s="84"/>
      <c r="U26" s="81"/>
      <c r="V26" s="84"/>
      <c r="W26" s="81"/>
      <c r="X26" s="84"/>
      <c r="Y26" s="81"/>
      <c r="Z26" s="84"/>
      <c r="AA26" s="81"/>
      <c r="AB26" s="85"/>
      <c r="AC26" s="81"/>
      <c r="AD26" s="85"/>
      <c r="AE26" s="81"/>
      <c r="AF26" s="85"/>
      <c r="AG26" s="81"/>
      <c r="AH26" s="85"/>
      <c r="AI26" s="81"/>
      <c r="AJ26" s="85"/>
      <c r="AK26" s="81"/>
      <c r="AL26" s="85"/>
      <c r="AM26" s="81"/>
      <c r="AN26" s="85"/>
      <c r="AO26" s="81"/>
      <c r="AP26" s="85"/>
    </row>
    <row r="27" spans="1:42" s="80" customFormat="1" ht="12.75">
      <c r="A27" s="80" t="s">
        <v>192</v>
      </c>
      <c r="B27" s="80">
        <v>23</v>
      </c>
      <c r="C27" s="80" t="s">
        <v>258</v>
      </c>
      <c r="D27" s="83">
        <v>0.1</v>
      </c>
      <c r="E27" s="81"/>
      <c r="F27" s="84">
        <v>0.002575181544567</v>
      </c>
      <c r="G27" s="84">
        <f t="shared" si="0"/>
        <v>0.002575181544567</v>
      </c>
      <c r="H27" s="84">
        <f t="shared" si="1"/>
        <v>0.0002575181544567</v>
      </c>
      <c r="I27" s="81"/>
      <c r="J27" s="84">
        <v>0.0014639280125195618</v>
      </c>
      <c r="K27" s="84">
        <f t="shared" si="2"/>
        <v>0.0014639280125195618</v>
      </c>
      <c r="L27" s="84">
        <f t="shared" si="3"/>
        <v>0.00014639280125195619</v>
      </c>
      <c r="M27" s="81"/>
      <c r="N27" s="84">
        <v>0.0016940095164504451</v>
      </c>
      <c r="O27" s="84">
        <f t="shared" si="4"/>
        <v>0.0016940095164504451</v>
      </c>
      <c r="P27" s="84">
        <f t="shared" si="5"/>
        <v>0.00016940095164504453</v>
      </c>
      <c r="Q27" s="81"/>
      <c r="R27" s="84"/>
      <c r="S27" s="81"/>
      <c r="T27" s="84"/>
      <c r="U27" s="81"/>
      <c r="V27" s="84"/>
      <c r="W27" s="81"/>
      <c r="X27" s="84"/>
      <c r="Y27" s="81"/>
      <c r="Z27" s="84"/>
      <c r="AA27" s="81"/>
      <c r="AB27" s="85"/>
      <c r="AC27" s="81"/>
      <c r="AD27" s="85"/>
      <c r="AE27" s="81"/>
      <c r="AF27" s="85"/>
      <c r="AG27" s="81"/>
      <c r="AH27" s="85"/>
      <c r="AI27" s="81"/>
      <c r="AJ27" s="85"/>
      <c r="AK27" s="81"/>
      <c r="AL27" s="85"/>
      <c r="AM27" s="81"/>
      <c r="AN27" s="85"/>
      <c r="AO27" s="81"/>
      <c r="AP27" s="85"/>
    </row>
    <row r="28" spans="1:42" s="80" customFormat="1" ht="12.75">
      <c r="A28" s="80" t="s">
        <v>192</v>
      </c>
      <c r="B28" s="80">
        <v>24</v>
      </c>
      <c r="C28" s="80" t="s">
        <v>259</v>
      </c>
      <c r="D28" s="83">
        <v>0.1</v>
      </c>
      <c r="E28" s="81"/>
      <c r="F28" s="84">
        <v>0.0020086416047622618</v>
      </c>
      <c r="G28" s="84">
        <f t="shared" si="0"/>
        <v>0.0020086416047622618</v>
      </c>
      <c r="H28" s="84">
        <f t="shared" si="1"/>
        <v>0.0002008641604762262</v>
      </c>
      <c r="I28" s="81"/>
      <c r="J28" s="84">
        <v>0.0009943661971830984</v>
      </c>
      <c r="K28" s="84">
        <f t="shared" si="2"/>
        <v>0.0009943661971830984</v>
      </c>
      <c r="L28" s="84">
        <f t="shared" si="3"/>
        <v>9.943661971830985E-05</v>
      </c>
      <c r="M28" s="81">
        <v>1</v>
      </c>
      <c r="N28" s="84">
        <v>0.0014356012851275</v>
      </c>
      <c r="O28" s="84">
        <f t="shared" si="4"/>
        <v>0.00071780064256375</v>
      </c>
      <c r="P28" s="84">
        <f t="shared" si="5"/>
        <v>7.178006425637501E-05</v>
      </c>
      <c r="Q28" s="81"/>
      <c r="R28" s="84"/>
      <c r="S28" s="81"/>
      <c r="T28" s="84"/>
      <c r="U28" s="81"/>
      <c r="V28" s="84"/>
      <c r="W28" s="81"/>
      <c r="X28" s="84"/>
      <c r="Y28" s="81"/>
      <c r="Z28" s="84"/>
      <c r="AA28" s="81"/>
      <c r="AB28" s="85"/>
      <c r="AC28" s="81"/>
      <c r="AD28" s="85"/>
      <c r="AE28" s="81"/>
      <c r="AF28" s="85"/>
      <c r="AG28" s="81"/>
      <c r="AH28" s="85"/>
      <c r="AI28" s="81"/>
      <c r="AJ28" s="85"/>
      <c r="AK28" s="81"/>
      <c r="AL28" s="85"/>
      <c r="AM28" s="81"/>
      <c r="AN28" s="85"/>
      <c r="AO28" s="81"/>
      <c r="AP28" s="85"/>
    </row>
    <row r="29" spans="1:42" s="80" customFormat="1" ht="12.75">
      <c r="A29" s="80" t="s">
        <v>192</v>
      </c>
      <c r="B29" s="80">
        <v>25</v>
      </c>
      <c r="C29" s="80" t="s">
        <v>260</v>
      </c>
      <c r="D29" s="83">
        <v>0.1</v>
      </c>
      <c r="E29" s="81">
        <v>1</v>
      </c>
      <c r="F29" s="84">
        <v>0.0020601452356536</v>
      </c>
      <c r="G29" s="84">
        <f t="shared" si="0"/>
        <v>0.0010300726178268</v>
      </c>
      <c r="H29" s="84">
        <f t="shared" si="1"/>
        <v>0.00010300726178268002</v>
      </c>
      <c r="I29" s="81"/>
      <c r="J29" s="84">
        <v>0.0008286384976525822</v>
      </c>
      <c r="K29" s="84">
        <f t="shared" si="2"/>
        <v>0.0008286384976525822</v>
      </c>
      <c r="L29" s="84">
        <f t="shared" si="3"/>
        <v>8.286384976525822E-05</v>
      </c>
      <c r="M29" s="81">
        <v>1</v>
      </c>
      <c r="N29" s="84">
        <v>0.0016078734393428</v>
      </c>
      <c r="O29" s="84">
        <f t="shared" si="4"/>
        <v>0.0008039367196714</v>
      </c>
      <c r="P29" s="84">
        <f t="shared" si="5"/>
        <v>8.039367196714001E-05</v>
      </c>
      <c r="Q29" s="81"/>
      <c r="R29" s="84"/>
      <c r="S29" s="81"/>
      <c r="T29" s="84"/>
      <c r="U29" s="81"/>
      <c r="V29" s="84"/>
      <c r="W29" s="81"/>
      <c r="X29" s="84"/>
      <c r="Y29" s="81"/>
      <c r="Z29" s="84"/>
      <c r="AA29" s="81"/>
      <c r="AB29" s="85"/>
      <c r="AC29" s="81"/>
      <c r="AD29" s="85"/>
      <c r="AE29" s="81"/>
      <c r="AF29" s="85"/>
      <c r="AG29" s="81"/>
      <c r="AH29" s="85"/>
      <c r="AI29" s="81"/>
      <c r="AJ29" s="85"/>
      <c r="AK29" s="81"/>
      <c r="AL29" s="85"/>
      <c r="AM29" s="81"/>
      <c r="AN29" s="85"/>
      <c r="AO29" s="81"/>
      <c r="AP29" s="85"/>
    </row>
    <row r="30" spans="1:42" s="80" customFormat="1" ht="12.75">
      <c r="A30" s="80" t="s">
        <v>192</v>
      </c>
      <c r="B30" s="80">
        <v>26</v>
      </c>
      <c r="C30" s="80" t="s">
        <v>261</v>
      </c>
      <c r="D30" s="83">
        <v>0.1</v>
      </c>
      <c r="E30" s="81">
        <v>1</v>
      </c>
      <c r="F30" s="84">
        <v>0.002472174282784322</v>
      </c>
      <c r="G30" s="84">
        <f t="shared" si="0"/>
        <v>0.001236087141392161</v>
      </c>
      <c r="H30" s="84">
        <f t="shared" si="1"/>
        <v>0.00012360871413921612</v>
      </c>
      <c r="I30" s="81">
        <v>1</v>
      </c>
      <c r="J30" s="84">
        <v>0.00044194053208137715</v>
      </c>
      <c r="K30" s="84">
        <f t="shared" si="2"/>
        <v>0.00022097026604068858</v>
      </c>
      <c r="L30" s="84">
        <f t="shared" si="3"/>
        <v>2.2097026604068858E-05</v>
      </c>
      <c r="M30" s="81">
        <v>1</v>
      </c>
      <c r="N30" s="84">
        <v>0.00048810443694334864</v>
      </c>
      <c r="O30" s="84">
        <f t="shared" si="4"/>
        <v>0.00024405221847167432</v>
      </c>
      <c r="P30" s="84">
        <f t="shared" si="5"/>
        <v>2.4405221847167435E-05</v>
      </c>
      <c r="Q30" s="81"/>
      <c r="R30" s="84"/>
      <c r="S30" s="81"/>
      <c r="T30" s="84"/>
      <c r="U30" s="81"/>
      <c r="V30" s="84"/>
      <c r="W30" s="81"/>
      <c r="X30" s="84"/>
      <c r="Y30" s="81"/>
      <c r="Z30" s="84"/>
      <c r="AA30" s="81"/>
      <c r="AB30" s="85"/>
      <c r="AC30" s="81"/>
      <c r="AD30" s="85"/>
      <c r="AE30" s="81"/>
      <c r="AF30" s="85"/>
      <c r="AG30" s="81"/>
      <c r="AH30" s="85"/>
      <c r="AI30" s="81"/>
      <c r="AJ30" s="85"/>
      <c r="AK30" s="81"/>
      <c r="AL30" s="85"/>
      <c r="AM30" s="81"/>
      <c r="AN30" s="85"/>
      <c r="AO30" s="81"/>
      <c r="AP30" s="85"/>
    </row>
    <row r="31" spans="1:42" s="80" customFormat="1" ht="12.75">
      <c r="A31" s="80" t="s">
        <v>192</v>
      </c>
      <c r="B31" s="80">
        <v>27</v>
      </c>
      <c r="C31" s="80" t="s">
        <v>262</v>
      </c>
      <c r="D31" s="83">
        <v>0</v>
      </c>
      <c r="E31" s="81"/>
      <c r="F31" s="84">
        <v>-0.002163152497436282</v>
      </c>
      <c r="G31" s="84">
        <f t="shared" si="0"/>
        <v>-0.002163152497436282</v>
      </c>
      <c r="H31" s="84">
        <f t="shared" si="1"/>
        <v>0</v>
      </c>
      <c r="I31" s="81"/>
      <c r="J31" s="84">
        <v>0.008424491392801253</v>
      </c>
      <c r="K31" s="84">
        <f t="shared" si="2"/>
        <v>0.008424491392801253</v>
      </c>
      <c r="L31" s="84">
        <f t="shared" si="3"/>
        <v>0</v>
      </c>
      <c r="M31" s="81"/>
      <c r="N31" s="84">
        <v>0.0013781772337224</v>
      </c>
      <c r="O31" s="84">
        <f t="shared" si="4"/>
        <v>0.0013781772337224</v>
      </c>
      <c r="P31" s="84">
        <f t="shared" si="5"/>
        <v>0</v>
      </c>
      <c r="Q31" s="81"/>
      <c r="R31" s="84"/>
      <c r="S31" s="81"/>
      <c r="T31" s="84"/>
      <c r="U31" s="81"/>
      <c r="V31" s="84"/>
      <c r="W31" s="81"/>
      <c r="X31" s="84"/>
      <c r="Y31" s="81"/>
      <c r="Z31" s="84"/>
      <c r="AA31" s="81"/>
      <c r="AB31" s="85"/>
      <c r="AC31" s="81"/>
      <c r="AD31" s="85"/>
      <c r="AE31" s="81"/>
      <c r="AF31" s="85"/>
      <c r="AG31" s="81"/>
      <c r="AH31" s="85"/>
      <c r="AI31" s="81"/>
      <c r="AJ31" s="85"/>
      <c r="AK31" s="81"/>
      <c r="AL31" s="85"/>
      <c r="AM31" s="81"/>
      <c r="AN31" s="85"/>
      <c r="AO31" s="81"/>
      <c r="AP31" s="85"/>
    </row>
    <row r="32" spans="1:42" s="80" customFormat="1" ht="12.75">
      <c r="A32" s="80" t="s">
        <v>192</v>
      </c>
      <c r="B32" s="80">
        <v>28</v>
      </c>
      <c r="C32" s="80" t="s">
        <v>263</v>
      </c>
      <c r="D32" s="83">
        <v>0</v>
      </c>
      <c r="E32" s="81"/>
      <c r="F32" s="84">
        <v>0.0069529901703309</v>
      </c>
      <c r="G32" s="84">
        <f t="shared" si="0"/>
        <v>0.0069529901703309</v>
      </c>
      <c r="H32" s="84">
        <f t="shared" si="1"/>
        <v>0</v>
      </c>
      <c r="I32" s="81"/>
      <c r="J32" s="84">
        <v>0.012153364632237871</v>
      </c>
      <c r="K32" s="84">
        <f t="shared" si="2"/>
        <v>0.012153364632237871</v>
      </c>
      <c r="L32" s="84">
        <f t="shared" si="3"/>
        <v>0</v>
      </c>
      <c r="M32" s="81"/>
      <c r="N32" s="84">
        <v>0.006603765911586481</v>
      </c>
      <c r="O32" s="84">
        <f t="shared" si="4"/>
        <v>0.006603765911586481</v>
      </c>
      <c r="P32" s="84">
        <f t="shared" si="5"/>
        <v>0</v>
      </c>
      <c r="Q32" s="81"/>
      <c r="R32" s="84"/>
      <c r="S32" s="81"/>
      <c r="T32" s="84"/>
      <c r="U32" s="81"/>
      <c r="V32" s="84"/>
      <c r="W32" s="81"/>
      <c r="X32" s="84"/>
      <c r="Y32" s="81"/>
      <c r="Z32" s="84"/>
      <c r="AA32" s="81"/>
      <c r="AB32" s="85"/>
      <c r="AC32" s="81"/>
      <c r="AD32" s="85"/>
      <c r="AE32" s="81"/>
      <c r="AF32" s="85"/>
      <c r="AG32" s="81"/>
      <c r="AH32" s="85"/>
      <c r="AI32" s="81"/>
      <c r="AJ32" s="85"/>
      <c r="AK32" s="81"/>
      <c r="AL32" s="85"/>
      <c r="AM32" s="81"/>
      <c r="AN32" s="85"/>
      <c r="AO32" s="81"/>
      <c r="AP32" s="85"/>
    </row>
    <row r="33" spans="1:42" s="80" customFormat="1" ht="12.75">
      <c r="A33" s="80" t="s">
        <v>192</v>
      </c>
      <c r="B33" s="80">
        <v>29</v>
      </c>
      <c r="C33" s="80" t="s">
        <v>264</v>
      </c>
      <c r="D33" s="83">
        <v>0.01</v>
      </c>
      <c r="E33" s="81">
        <v>1</v>
      </c>
      <c r="F33" s="84">
        <v>0.0069529901703309</v>
      </c>
      <c r="G33" s="84">
        <f t="shared" si="0"/>
        <v>0.00347649508516545</v>
      </c>
      <c r="H33" s="84">
        <f t="shared" si="1"/>
        <v>3.47649508516545E-05</v>
      </c>
      <c r="I33" s="81"/>
      <c r="J33" s="84">
        <v>0.0033145539906103286</v>
      </c>
      <c r="K33" s="84">
        <f t="shared" si="2"/>
        <v>0.0033145539906103286</v>
      </c>
      <c r="L33" s="84">
        <f t="shared" si="3"/>
        <v>3.3145539906103287E-05</v>
      </c>
      <c r="M33" s="81">
        <v>1</v>
      </c>
      <c r="N33" s="84">
        <v>0.005168164626458985</v>
      </c>
      <c r="O33" s="84">
        <f t="shared" si="4"/>
        <v>0.0025840823132294924</v>
      </c>
      <c r="P33" s="84">
        <f t="shared" si="5"/>
        <v>2.5840823132294923E-05</v>
      </c>
      <c r="Q33" s="81"/>
      <c r="R33" s="84"/>
      <c r="S33" s="81"/>
      <c r="T33" s="84"/>
      <c r="U33" s="81"/>
      <c r="V33" s="84"/>
      <c r="W33" s="81"/>
      <c r="X33" s="84"/>
      <c r="Y33" s="81"/>
      <c r="Z33" s="84"/>
      <c r="AA33" s="81"/>
      <c r="AB33" s="85"/>
      <c r="AC33" s="81"/>
      <c r="AD33" s="85"/>
      <c r="AE33" s="81"/>
      <c r="AF33" s="85"/>
      <c r="AG33" s="81"/>
      <c r="AH33" s="85"/>
      <c r="AI33" s="81"/>
      <c r="AJ33" s="85"/>
      <c r="AK33" s="81"/>
      <c r="AL33" s="85"/>
      <c r="AM33" s="81"/>
      <c r="AN33" s="85"/>
      <c r="AO33" s="81"/>
      <c r="AP33" s="85"/>
    </row>
    <row r="34" spans="1:42" s="80" customFormat="1" ht="12.75">
      <c r="A34" s="80" t="s">
        <v>192</v>
      </c>
      <c r="B34" s="80">
        <v>30</v>
      </c>
      <c r="C34" s="80" t="s">
        <v>265</v>
      </c>
      <c r="D34" s="83">
        <v>0.01</v>
      </c>
      <c r="E34" s="81">
        <v>1</v>
      </c>
      <c r="F34" s="84">
        <v>0.0025494297291213325</v>
      </c>
      <c r="G34" s="84">
        <f t="shared" si="0"/>
        <v>0.0012747148645606663</v>
      </c>
      <c r="H34" s="84">
        <f t="shared" si="1"/>
        <v>1.2747148645606662E-05</v>
      </c>
      <c r="I34" s="81">
        <v>1</v>
      </c>
      <c r="J34" s="84">
        <v>0.00049718309859155</v>
      </c>
      <c r="K34" s="84">
        <f t="shared" si="2"/>
        <v>0.000248591549295775</v>
      </c>
      <c r="L34" s="84">
        <f t="shared" si="3"/>
        <v>2.48591549295775E-06</v>
      </c>
      <c r="M34" s="81">
        <v>1</v>
      </c>
      <c r="N34" s="84">
        <v>0.0040196835983569885</v>
      </c>
      <c r="O34" s="84">
        <f t="shared" si="4"/>
        <v>0.0020098417991784943</v>
      </c>
      <c r="P34" s="84">
        <f t="shared" si="5"/>
        <v>2.0098417991784942E-05</v>
      </c>
      <c r="Q34" s="81"/>
      <c r="R34" s="84"/>
      <c r="S34" s="81"/>
      <c r="T34" s="84"/>
      <c r="U34" s="81"/>
      <c r="V34" s="84"/>
      <c r="W34" s="81"/>
      <c r="X34" s="84"/>
      <c r="Y34" s="81"/>
      <c r="Z34" s="84"/>
      <c r="AA34" s="81"/>
      <c r="AB34" s="85"/>
      <c r="AC34" s="81"/>
      <c r="AD34" s="85"/>
      <c r="AE34" s="81"/>
      <c r="AF34" s="85"/>
      <c r="AG34" s="81"/>
      <c r="AH34" s="85"/>
      <c r="AI34" s="81"/>
      <c r="AJ34" s="85"/>
      <c r="AK34" s="81"/>
      <c r="AL34" s="85"/>
      <c r="AM34" s="81"/>
      <c r="AN34" s="85"/>
      <c r="AO34" s="81"/>
      <c r="AP34" s="85"/>
    </row>
    <row r="35" spans="1:42" s="80" customFormat="1" ht="12.75">
      <c r="A35" s="80" t="s">
        <v>192</v>
      </c>
      <c r="B35" s="80">
        <v>31</v>
      </c>
      <c r="C35" s="80" t="s">
        <v>266</v>
      </c>
      <c r="D35" s="83">
        <v>0</v>
      </c>
      <c r="E35" s="81"/>
      <c r="F35" s="84"/>
      <c r="G35" s="84">
        <f t="shared" si="0"/>
        <v>0</v>
      </c>
      <c r="H35" s="84">
        <f t="shared" si="1"/>
        <v>0</v>
      </c>
      <c r="I35" s="81"/>
      <c r="J35" s="84">
        <v>-0.000497183098591549</v>
      </c>
      <c r="K35" s="84">
        <f t="shared" si="2"/>
        <v>-0.000497183098591549</v>
      </c>
      <c r="L35" s="84">
        <f t="shared" si="3"/>
        <v>0</v>
      </c>
      <c r="M35" s="81"/>
      <c r="N35" s="84"/>
      <c r="O35" s="84">
        <f t="shared" si="4"/>
        <v>0</v>
      </c>
      <c r="P35" s="84">
        <f t="shared" si="5"/>
        <v>0</v>
      </c>
      <c r="Q35" s="81"/>
      <c r="R35" s="84"/>
      <c r="S35" s="81"/>
      <c r="T35" s="84"/>
      <c r="U35" s="81"/>
      <c r="V35" s="84"/>
      <c r="W35" s="81"/>
      <c r="X35" s="84"/>
      <c r="Y35" s="81"/>
      <c r="Z35" s="84"/>
      <c r="AA35" s="81"/>
      <c r="AB35" s="85"/>
      <c r="AC35" s="81"/>
      <c r="AD35" s="85"/>
      <c r="AE35" s="81"/>
      <c r="AF35" s="85"/>
      <c r="AG35" s="81"/>
      <c r="AH35" s="85"/>
      <c r="AI35" s="81"/>
      <c r="AJ35" s="85"/>
      <c r="AK35" s="81"/>
      <c r="AL35" s="85"/>
      <c r="AM35" s="81"/>
      <c r="AN35" s="85"/>
      <c r="AO35" s="81"/>
      <c r="AP35" s="85"/>
    </row>
    <row r="36" spans="1:42" s="80" customFormat="1" ht="12.75">
      <c r="A36" s="80" t="s">
        <v>192</v>
      </c>
      <c r="B36" s="80">
        <v>32</v>
      </c>
      <c r="C36" s="80" t="s">
        <v>267</v>
      </c>
      <c r="D36" s="83">
        <v>0</v>
      </c>
      <c r="E36" s="81"/>
      <c r="F36" s="84"/>
      <c r="G36" s="84">
        <f t="shared" si="0"/>
        <v>0</v>
      </c>
      <c r="H36" s="84">
        <f t="shared" si="1"/>
        <v>0</v>
      </c>
      <c r="I36" s="81"/>
      <c r="J36" s="84">
        <v>0.0033145539906103286</v>
      </c>
      <c r="K36" s="84">
        <f t="shared" si="2"/>
        <v>0.0033145539906103286</v>
      </c>
      <c r="L36" s="84">
        <f t="shared" si="3"/>
        <v>0</v>
      </c>
      <c r="M36" s="81"/>
      <c r="N36" s="84"/>
      <c r="O36" s="84">
        <f t="shared" si="4"/>
        <v>0</v>
      </c>
      <c r="P36" s="84">
        <f t="shared" si="5"/>
        <v>0</v>
      </c>
      <c r="Q36" s="81"/>
      <c r="R36" s="84"/>
      <c r="S36" s="81"/>
      <c r="T36" s="84"/>
      <c r="U36" s="81"/>
      <c r="V36" s="84"/>
      <c r="W36" s="81"/>
      <c r="X36" s="84"/>
      <c r="Y36" s="81"/>
      <c r="Z36" s="84"/>
      <c r="AA36" s="81"/>
      <c r="AB36" s="85"/>
      <c r="AC36" s="81"/>
      <c r="AD36" s="85"/>
      <c r="AE36" s="81"/>
      <c r="AF36" s="85"/>
      <c r="AG36" s="81"/>
      <c r="AH36" s="85"/>
      <c r="AI36" s="81"/>
      <c r="AJ36" s="85"/>
      <c r="AK36" s="81"/>
      <c r="AL36" s="85"/>
      <c r="AM36" s="81"/>
      <c r="AN36" s="85"/>
      <c r="AO36" s="81"/>
      <c r="AP36" s="85"/>
    </row>
    <row r="37" spans="1:42" s="80" customFormat="1" ht="12.75">
      <c r="A37" s="80" t="s">
        <v>192</v>
      </c>
      <c r="B37" s="80">
        <v>33</v>
      </c>
      <c r="C37" s="80" t="s">
        <v>268</v>
      </c>
      <c r="D37" s="83">
        <v>0.001</v>
      </c>
      <c r="E37" s="81">
        <v>1</v>
      </c>
      <c r="F37" s="84">
        <v>0.014421016649575211</v>
      </c>
      <c r="G37" s="84">
        <f t="shared" si="0"/>
        <v>0.007210508324787606</v>
      </c>
      <c r="H37" s="84">
        <f t="shared" si="1"/>
        <v>7.210508324787606E-06</v>
      </c>
      <c r="I37" s="81"/>
      <c r="J37" s="84">
        <v>0.002403051643192488</v>
      </c>
      <c r="K37" s="84">
        <f t="shared" si="2"/>
        <v>0.002403051643192488</v>
      </c>
      <c r="L37" s="84">
        <f t="shared" si="3"/>
        <v>2.4030516431924878E-06</v>
      </c>
      <c r="M37" s="81"/>
      <c r="N37" s="84">
        <v>0.0031583228272805</v>
      </c>
      <c r="O37" s="84">
        <f t="shared" si="4"/>
        <v>0.0031583228272805</v>
      </c>
      <c r="P37" s="84">
        <f t="shared" si="5"/>
        <v>3.1583228272805003E-06</v>
      </c>
      <c r="Q37" s="81"/>
      <c r="R37" s="84"/>
      <c r="S37" s="81"/>
      <c r="T37" s="84"/>
      <c r="U37" s="81"/>
      <c r="V37" s="84"/>
      <c r="W37" s="81"/>
      <c r="X37" s="84"/>
      <c r="Y37" s="81"/>
      <c r="Z37" s="84"/>
      <c r="AA37" s="81"/>
      <c r="AB37" s="85"/>
      <c r="AC37" s="81"/>
      <c r="AD37" s="85"/>
      <c r="AE37" s="81"/>
      <c r="AF37" s="85"/>
      <c r="AG37" s="81"/>
      <c r="AH37" s="85"/>
      <c r="AI37" s="81"/>
      <c r="AJ37" s="85"/>
      <c r="AK37" s="81"/>
      <c r="AL37" s="85"/>
      <c r="AM37" s="81"/>
      <c r="AN37" s="85"/>
      <c r="AO37" s="81"/>
      <c r="AP37" s="85"/>
    </row>
    <row r="38" spans="1:42" s="80" customFormat="1" ht="12.75">
      <c r="A38" s="80" t="s">
        <v>192</v>
      </c>
      <c r="B38" s="80">
        <v>34</v>
      </c>
      <c r="C38" s="80" t="s">
        <v>269</v>
      </c>
      <c r="D38" s="83"/>
      <c r="E38" s="81"/>
      <c r="F38" s="84">
        <v>0.35357242606905</v>
      </c>
      <c r="G38" s="84">
        <f>SUM(G37,G36,G32,G26,G22,G19,G18,G15,G10,G7)</f>
        <v>0.34636191774426256</v>
      </c>
      <c r="H38" s="84"/>
      <c r="I38" s="81"/>
      <c r="J38" s="84">
        <v>0.7691698748043817</v>
      </c>
      <c r="K38" s="84">
        <f>SUM(K37,K36,K32,K26,K22,K19,K18,K15,K10,K7)</f>
        <v>0.7691698748043818</v>
      </c>
      <c r="L38" s="84"/>
      <c r="M38" s="81"/>
      <c r="N38" s="84">
        <v>0.8251836186912848</v>
      </c>
      <c r="O38" s="84">
        <f>SUM(O37,O36,O32,O26,O22,O19,O18,O15,O10,O7)</f>
        <v>0.8251836186912848</v>
      </c>
      <c r="P38" s="84"/>
      <c r="Q38" s="81"/>
      <c r="R38" s="84"/>
      <c r="S38" s="81"/>
      <c r="T38" s="84"/>
      <c r="U38" s="81"/>
      <c r="V38" s="84"/>
      <c r="W38" s="81"/>
      <c r="X38" s="84"/>
      <c r="Y38" s="81"/>
      <c r="Z38" s="84"/>
      <c r="AA38" s="81"/>
      <c r="AB38" s="85"/>
      <c r="AC38" s="81"/>
      <c r="AD38" s="85"/>
      <c r="AE38" s="81"/>
      <c r="AF38" s="85"/>
      <c r="AG38" s="81"/>
      <c r="AH38" s="85"/>
      <c r="AI38" s="81"/>
      <c r="AJ38" s="85"/>
      <c r="AK38" s="81"/>
      <c r="AL38" s="85"/>
      <c r="AM38" s="81"/>
      <c r="AN38" s="85"/>
      <c r="AO38" s="81"/>
      <c r="AP38" s="85"/>
    </row>
    <row r="39" spans="1:42" s="80" customFormat="1" ht="12.75">
      <c r="A39" s="80" t="s">
        <v>192</v>
      </c>
      <c r="B39" s="80">
        <v>35</v>
      </c>
      <c r="C39" s="80" t="s">
        <v>26</v>
      </c>
      <c r="D39" s="83"/>
      <c r="E39" s="103">
        <f>(F39-H39)*2/F39*100</f>
        <v>97.89181160461887</v>
      </c>
      <c r="F39" s="84">
        <v>0.026873307008329</v>
      </c>
      <c r="G39" s="84"/>
      <c r="H39" s="84">
        <f>SUM(H5:H37)</f>
        <v>0.013719923474066868</v>
      </c>
      <c r="I39" s="103">
        <f>(J39-L39)*2/J39*100</f>
        <v>42.78735969213895</v>
      </c>
      <c r="J39" s="84">
        <v>0.008713603364632238</v>
      </c>
      <c r="K39" s="84"/>
      <c r="L39" s="84">
        <f>SUM(L5:L37)</f>
        <v>0.006849442957746479</v>
      </c>
      <c r="M39" s="103">
        <f>(N39-P39)*2/N39*100</f>
        <v>83.29879817654361</v>
      </c>
      <c r="N39" s="84">
        <v>0.01524206596445565</v>
      </c>
      <c r="O39" s="84"/>
      <c r="P39" s="84">
        <f>SUM(P5:P37)</f>
        <v>0.00889383708162187</v>
      </c>
      <c r="Q39" s="81"/>
      <c r="R39" s="84"/>
      <c r="S39" s="81"/>
      <c r="T39" s="84"/>
      <c r="U39" s="81"/>
      <c r="V39" s="84"/>
      <c r="W39" s="81"/>
      <c r="X39" s="84"/>
      <c r="Y39" s="81"/>
      <c r="Z39" s="84"/>
      <c r="AA39" s="81"/>
      <c r="AB39" s="85"/>
      <c r="AC39" s="81"/>
      <c r="AD39" s="85"/>
      <c r="AE39" s="81"/>
      <c r="AF39" s="85"/>
      <c r="AG39" s="81"/>
      <c r="AH39" s="85"/>
      <c r="AI39" s="81"/>
      <c r="AJ39" s="85"/>
      <c r="AK39" s="81"/>
      <c r="AL39" s="85"/>
      <c r="AM39" s="81"/>
      <c r="AN39" s="85"/>
      <c r="AO39" s="81"/>
      <c r="AP39" s="85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P39"/>
  <sheetViews>
    <sheetView workbookViewId="0" topLeftCell="C1">
      <selection activeCell="B35" sqref="B35"/>
    </sheetView>
  </sheetViews>
  <sheetFormatPr defaultColWidth="9.140625" defaultRowHeight="12.75"/>
  <cols>
    <col min="1" max="1" width="9.140625" style="0" hidden="1" customWidth="1"/>
    <col min="2" max="2" width="0" style="0" hidden="1" customWidth="1"/>
    <col min="3" max="3" width="16.140625" style="0" customWidth="1"/>
    <col min="4" max="4" width="7.00390625" style="82" customWidth="1"/>
    <col min="5" max="5" width="4.57421875" style="0" bestFit="1" customWidth="1"/>
    <col min="7" max="7" width="7.7109375" style="61" customWidth="1"/>
    <col min="8" max="8" width="8.28125" style="61" customWidth="1"/>
    <col min="9" max="9" width="4.57421875" style="0" customWidth="1"/>
    <col min="11" max="11" width="7.7109375" style="61" customWidth="1"/>
    <col min="12" max="12" width="8.28125" style="61" customWidth="1"/>
    <col min="13" max="13" width="4.57421875" style="0" bestFit="1" customWidth="1"/>
    <col min="15" max="15" width="7.7109375" style="61" customWidth="1"/>
    <col min="16" max="16" width="8.28125" style="61" customWidth="1"/>
  </cols>
  <sheetData>
    <row r="1" ht="12.75">
      <c r="C1" s="3" t="s">
        <v>194</v>
      </c>
    </row>
    <row r="2" spans="6:16" ht="12.75">
      <c r="F2" s="107" t="s">
        <v>161</v>
      </c>
      <c r="G2" s="108"/>
      <c r="H2" s="108"/>
      <c r="J2" s="107" t="s">
        <v>120</v>
      </c>
      <c r="K2" s="108"/>
      <c r="L2" s="108"/>
      <c r="N2" s="107" t="s">
        <v>162</v>
      </c>
      <c r="O2" s="108"/>
      <c r="P2" s="108"/>
    </row>
    <row r="3" spans="3:16" ht="12.75">
      <c r="C3" t="s">
        <v>63</v>
      </c>
      <c r="D3" s="82" t="s">
        <v>22</v>
      </c>
      <c r="F3" s="46" t="s">
        <v>24</v>
      </c>
      <c r="G3" s="109" t="s">
        <v>24</v>
      </c>
      <c r="H3" s="109" t="s">
        <v>26</v>
      </c>
      <c r="I3" s="46"/>
      <c r="J3" s="46" t="s">
        <v>24</v>
      </c>
      <c r="K3" s="109" t="s">
        <v>24</v>
      </c>
      <c r="L3" s="109" t="s">
        <v>26</v>
      </c>
      <c r="M3" s="46"/>
      <c r="N3" s="46" t="s">
        <v>24</v>
      </c>
      <c r="O3" s="109" t="s">
        <v>24</v>
      </c>
      <c r="P3" s="109" t="s">
        <v>26</v>
      </c>
    </row>
    <row r="4" spans="4:16" ht="12.75">
      <c r="D4" s="82" t="s">
        <v>234</v>
      </c>
      <c r="F4" s="46" t="s">
        <v>235</v>
      </c>
      <c r="G4" s="109" t="s">
        <v>66</v>
      </c>
      <c r="H4" s="109" t="s">
        <v>66</v>
      </c>
      <c r="I4" s="46"/>
      <c r="J4" s="46" t="s">
        <v>235</v>
      </c>
      <c r="K4" s="109" t="s">
        <v>66</v>
      </c>
      <c r="L4" s="109" t="s">
        <v>66</v>
      </c>
      <c r="M4" s="46"/>
      <c r="N4" s="46" t="s">
        <v>235</v>
      </c>
      <c r="O4" s="109" t="s">
        <v>66</v>
      </c>
      <c r="P4" s="109" t="s">
        <v>66</v>
      </c>
    </row>
    <row r="5" spans="1:42" s="80" customFormat="1" ht="12.75">
      <c r="A5" s="80" t="s">
        <v>194</v>
      </c>
      <c r="B5" s="80">
        <v>1</v>
      </c>
      <c r="C5" s="80" t="s">
        <v>236</v>
      </c>
      <c r="D5" s="83">
        <v>1</v>
      </c>
      <c r="E5" s="81">
        <v>1</v>
      </c>
      <c r="F5" s="84">
        <v>0.005015778239613766</v>
      </c>
      <c r="G5" s="84">
        <f>IF(E5=1,F5/2,F5)</f>
        <v>0.002507889119806883</v>
      </c>
      <c r="H5" s="84">
        <f>G5*$D5</f>
        <v>0.002507889119806883</v>
      </c>
      <c r="I5" s="81">
        <v>1</v>
      </c>
      <c r="J5" s="84">
        <v>0.007162630259286634</v>
      </c>
      <c r="K5" s="84">
        <f>IF(I5=1,J5/2,J5)</f>
        <v>0.003581315129643317</v>
      </c>
      <c r="L5" s="84">
        <f>K5*$D5</f>
        <v>0.003581315129643317</v>
      </c>
      <c r="M5" s="81">
        <v>1</v>
      </c>
      <c r="N5" s="84">
        <v>0.00574555774654983</v>
      </c>
      <c r="O5" s="84">
        <f>IF(M5=1,N5/2,N5)</f>
        <v>0.002872778873274915</v>
      </c>
      <c r="P5" s="84">
        <f>O5*$D5</f>
        <v>0.002872778873274915</v>
      </c>
      <c r="Q5" s="81"/>
      <c r="R5" s="84"/>
      <c r="S5" s="81"/>
      <c r="T5" s="84"/>
      <c r="U5" s="81"/>
      <c r="V5" s="84"/>
      <c r="W5" s="81"/>
      <c r="X5" s="84"/>
      <c r="Y5" s="81"/>
      <c r="Z5" s="84"/>
      <c r="AA5" s="81"/>
      <c r="AB5" s="85"/>
      <c r="AC5" s="81"/>
      <c r="AD5" s="85"/>
      <c r="AE5" s="81"/>
      <c r="AF5" s="85"/>
      <c r="AG5" s="81"/>
      <c r="AH5" s="85"/>
      <c r="AI5" s="81"/>
      <c r="AJ5" s="85"/>
      <c r="AK5" s="81"/>
      <c r="AL5" s="85"/>
      <c r="AM5" s="81"/>
      <c r="AN5" s="85"/>
      <c r="AO5" s="81"/>
      <c r="AP5" s="85"/>
    </row>
    <row r="6" spans="1:42" s="80" customFormat="1" ht="12.75">
      <c r="A6" s="80" t="s">
        <v>194</v>
      </c>
      <c r="B6" s="80">
        <v>2</v>
      </c>
      <c r="C6" s="80" t="s">
        <v>237</v>
      </c>
      <c r="D6" s="83">
        <v>0</v>
      </c>
      <c r="E6" s="81"/>
      <c r="F6" s="84"/>
      <c r="G6" s="84">
        <f aca="true" t="shared" si="0" ref="G6:G35">IF(E6=1,F6/2,F6)</f>
        <v>0</v>
      </c>
      <c r="H6" s="84">
        <f aca="true" t="shared" si="1" ref="H6:H35">G6*$D6</f>
        <v>0</v>
      </c>
      <c r="I6" s="81"/>
      <c r="J6" s="84">
        <v>-0.002238321956027074</v>
      </c>
      <c r="K6" s="84">
        <f aca="true" t="shared" si="2" ref="K6:K35">IF(I6=1,J6/2,J6)</f>
        <v>-0.002238321956027074</v>
      </c>
      <c r="L6" s="84">
        <f aca="true" t="shared" si="3" ref="L6:L35">K6*$D6</f>
        <v>0</v>
      </c>
      <c r="M6" s="81"/>
      <c r="N6" s="84">
        <v>0.007660743662066442</v>
      </c>
      <c r="O6" s="84">
        <f aca="true" t="shared" si="4" ref="O6:O35">IF(M6=1,N6/2,N6)</f>
        <v>0.007660743662066442</v>
      </c>
      <c r="P6" s="84">
        <f aca="true" t="shared" si="5" ref="P6:P35">O6*$D6</f>
        <v>0</v>
      </c>
      <c r="Q6" s="81"/>
      <c r="R6" s="84"/>
      <c r="S6" s="81"/>
      <c r="T6" s="84"/>
      <c r="U6" s="81"/>
      <c r="V6" s="84"/>
      <c r="W6" s="81"/>
      <c r="X6" s="84"/>
      <c r="Y6" s="81"/>
      <c r="Z6" s="84"/>
      <c r="AA6" s="81"/>
      <c r="AB6" s="85"/>
      <c r="AC6" s="81"/>
      <c r="AD6" s="85"/>
      <c r="AE6" s="81"/>
      <c r="AF6" s="85"/>
      <c r="AG6" s="81"/>
      <c r="AH6" s="85"/>
      <c r="AI6" s="81"/>
      <c r="AJ6" s="85"/>
      <c r="AK6" s="81"/>
      <c r="AL6" s="85"/>
      <c r="AM6" s="81"/>
      <c r="AN6" s="85"/>
      <c r="AO6" s="81"/>
      <c r="AP6" s="85"/>
    </row>
    <row r="7" spans="1:42" s="80" customFormat="1" ht="12.75">
      <c r="A7" s="80" t="s">
        <v>194</v>
      </c>
      <c r="B7" s="80">
        <v>3</v>
      </c>
      <c r="C7" s="80" t="s">
        <v>238</v>
      </c>
      <c r="D7" s="83">
        <v>0</v>
      </c>
      <c r="E7" s="81"/>
      <c r="F7" s="84"/>
      <c r="G7" s="84">
        <f t="shared" si="0"/>
        <v>0</v>
      </c>
      <c r="H7" s="84">
        <f t="shared" si="1"/>
        <v>0</v>
      </c>
      <c r="I7" s="81"/>
      <c r="J7" s="84">
        <v>0.00492430830325956</v>
      </c>
      <c r="K7" s="84">
        <f t="shared" si="2"/>
        <v>0.00492430830325956</v>
      </c>
      <c r="L7" s="84">
        <f t="shared" si="3"/>
        <v>0</v>
      </c>
      <c r="M7" s="81"/>
      <c r="N7" s="84">
        <v>0.013406301408616272</v>
      </c>
      <c r="O7" s="84">
        <f t="shared" si="4"/>
        <v>0.013406301408616272</v>
      </c>
      <c r="P7" s="84">
        <f t="shared" si="5"/>
        <v>0</v>
      </c>
      <c r="Q7" s="81"/>
      <c r="R7" s="84"/>
      <c r="S7" s="81"/>
      <c r="T7" s="84"/>
      <c r="U7" s="81"/>
      <c r="V7" s="84"/>
      <c r="W7" s="81"/>
      <c r="X7" s="84"/>
      <c r="Y7" s="81"/>
      <c r="Z7" s="84"/>
      <c r="AA7" s="81"/>
      <c r="AB7" s="85"/>
      <c r="AC7" s="81"/>
      <c r="AD7" s="85"/>
      <c r="AE7" s="81"/>
      <c r="AF7" s="85"/>
      <c r="AG7" s="81"/>
      <c r="AH7" s="85"/>
      <c r="AI7" s="81"/>
      <c r="AJ7" s="85"/>
      <c r="AK7" s="81"/>
      <c r="AL7" s="85"/>
      <c r="AM7" s="81"/>
      <c r="AN7" s="85"/>
      <c r="AO7" s="81"/>
      <c r="AP7" s="85"/>
    </row>
    <row r="8" spans="1:42" s="80" customFormat="1" ht="12.75">
      <c r="A8" s="80" t="s">
        <v>194</v>
      </c>
      <c r="B8" s="80">
        <v>4</v>
      </c>
      <c r="C8" s="80" t="s">
        <v>239</v>
      </c>
      <c r="D8" s="83">
        <v>0.5</v>
      </c>
      <c r="E8" s="81">
        <v>1</v>
      </c>
      <c r="F8" s="84">
        <v>0.002237808753058449</v>
      </c>
      <c r="G8" s="84">
        <f t="shared" si="0"/>
        <v>0.0011189043765292245</v>
      </c>
      <c r="H8" s="84">
        <f t="shared" si="1"/>
        <v>0.0005594521882646122</v>
      </c>
      <c r="I8" s="81">
        <v>1</v>
      </c>
      <c r="J8" s="84">
        <v>0.002417387712509239</v>
      </c>
      <c r="K8" s="84">
        <f t="shared" si="2"/>
        <v>0.0012086938562546196</v>
      </c>
      <c r="L8" s="84">
        <f t="shared" si="3"/>
        <v>0.0006043469281273098</v>
      </c>
      <c r="M8" s="81">
        <v>1</v>
      </c>
      <c r="N8" s="84">
        <v>0.0011491115493099662</v>
      </c>
      <c r="O8" s="84">
        <f t="shared" si="4"/>
        <v>0.0005745557746549831</v>
      </c>
      <c r="P8" s="84">
        <f t="shared" si="5"/>
        <v>0.00028727788732749155</v>
      </c>
      <c r="Q8" s="81"/>
      <c r="R8" s="84"/>
      <c r="S8" s="81"/>
      <c r="T8" s="84"/>
      <c r="U8" s="81"/>
      <c r="V8" s="84"/>
      <c r="W8" s="81"/>
      <c r="X8" s="84"/>
      <c r="Y8" s="81"/>
      <c r="Z8" s="84"/>
      <c r="AA8" s="81"/>
      <c r="AB8" s="85"/>
      <c r="AC8" s="81"/>
      <c r="AD8" s="85"/>
      <c r="AE8" s="81"/>
      <c r="AF8" s="85"/>
      <c r="AG8" s="81"/>
      <c r="AH8" s="85"/>
      <c r="AI8" s="81"/>
      <c r="AJ8" s="85"/>
      <c r="AK8" s="81"/>
      <c r="AL8" s="85"/>
      <c r="AM8" s="81"/>
      <c r="AN8" s="85"/>
      <c r="AO8" s="81"/>
      <c r="AP8" s="85"/>
    </row>
    <row r="9" spans="1:42" s="80" customFormat="1" ht="12.75">
      <c r="A9" s="80" t="s">
        <v>194</v>
      </c>
      <c r="B9" s="80">
        <v>7</v>
      </c>
      <c r="C9" s="80" t="s">
        <v>242</v>
      </c>
      <c r="D9" s="83">
        <v>0.1</v>
      </c>
      <c r="E9" s="81">
        <v>1</v>
      </c>
      <c r="F9" s="84">
        <v>0.0013118189242066773</v>
      </c>
      <c r="G9" s="84">
        <f t="shared" si="0"/>
        <v>0.0006559094621033387</v>
      </c>
      <c r="H9" s="84">
        <f t="shared" si="1"/>
        <v>6.559094621033387E-05</v>
      </c>
      <c r="I9" s="81"/>
      <c r="J9" s="84">
        <v>0.0011191609780135366</v>
      </c>
      <c r="K9" s="84">
        <f t="shared" si="2"/>
        <v>0.0011191609780135366</v>
      </c>
      <c r="L9" s="84">
        <f t="shared" si="3"/>
        <v>0.00011191609780135366</v>
      </c>
      <c r="M9" s="81">
        <v>1</v>
      </c>
      <c r="N9" s="84">
        <v>0.0009256731924996947</v>
      </c>
      <c r="O9" s="84">
        <f t="shared" si="4"/>
        <v>0.00046283659624984735</v>
      </c>
      <c r="P9" s="84">
        <f t="shared" si="5"/>
        <v>4.628365962498474E-05</v>
      </c>
      <c r="Q9" s="81"/>
      <c r="R9" s="84"/>
      <c r="S9" s="81"/>
      <c r="T9" s="84"/>
      <c r="U9" s="81"/>
      <c r="V9" s="84"/>
      <c r="W9" s="81"/>
      <c r="X9" s="84"/>
      <c r="Y9" s="81"/>
      <c r="Z9" s="84"/>
      <c r="AA9" s="81"/>
      <c r="AB9" s="85"/>
      <c r="AC9" s="81"/>
      <c r="AD9" s="85"/>
      <c r="AE9" s="81"/>
      <c r="AF9" s="85"/>
      <c r="AG9" s="81"/>
      <c r="AH9" s="85"/>
      <c r="AI9" s="81"/>
      <c r="AJ9" s="85"/>
      <c r="AK9" s="81"/>
      <c r="AL9" s="85"/>
      <c r="AM9" s="81"/>
      <c r="AN9" s="85"/>
      <c r="AO9" s="81"/>
      <c r="AP9" s="85"/>
    </row>
    <row r="10" spans="1:42" s="80" customFormat="1" ht="12.75">
      <c r="A10" s="80" t="s">
        <v>194</v>
      </c>
      <c r="B10" s="80">
        <v>8</v>
      </c>
      <c r="C10" s="80" t="s">
        <v>243</v>
      </c>
      <c r="D10" s="83">
        <v>0.1</v>
      </c>
      <c r="E10" s="81"/>
      <c r="F10" s="84">
        <v>0.0020834771149164876</v>
      </c>
      <c r="G10" s="84">
        <f t="shared" si="0"/>
        <v>0.0020834771149164876</v>
      </c>
      <c r="H10" s="84">
        <f t="shared" si="1"/>
        <v>0.00020834771149164878</v>
      </c>
      <c r="I10" s="81"/>
      <c r="J10" s="84">
        <v>0.0020592561995449</v>
      </c>
      <c r="K10" s="84">
        <f t="shared" si="2"/>
        <v>0.0020592561995449</v>
      </c>
      <c r="L10" s="84">
        <f t="shared" si="3"/>
        <v>0.00020592561995449</v>
      </c>
      <c r="M10" s="81"/>
      <c r="N10" s="84">
        <v>0.0018513463849993894</v>
      </c>
      <c r="O10" s="84">
        <f t="shared" si="4"/>
        <v>0.0018513463849993894</v>
      </c>
      <c r="P10" s="84">
        <f t="shared" si="5"/>
        <v>0.00018513463849993895</v>
      </c>
      <c r="Q10" s="81"/>
      <c r="R10" s="84"/>
      <c r="S10" s="81"/>
      <c r="T10" s="84"/>
      <c r="U10" s="81"/>
      <c r="V10" s="84"/>
      <c r="W10" s="81"/>
      <c r="X10" s="84"/>
      <c r="Y10" s="81"/>
      <c r="Z10" s="84"/>
      <c r="AA10" s="81"/>
      <c r="AB10" s="85"/>
      <c r="AC10" s="81"/>
      <c r="AD10" s="85"/>
      <c r="AE10" s="81"/>
      <c r="AF10" s="85"/>
      <c r="AG10" s="81"/>
      <c r="AH10" s="85"/>
      <c r="AI10" s="81"/>
      <c r="AJ10" s="85"/>
      <c r="AK10" s="81"/>
      <c r="AL10" s="85"/>
      <c r="AM10" s="81"/>
      <c r="AN10" s="85"/>
      <c r="AO10" s="81"/>
      <c r="AP10" s="85"/>
    </row>
    <row r="11" spans="1:42" s="80" customFormat="1" ht="12.75">
      <c r="A11" s="80" t="s">
        <v>194</v>
      </c>
      <c r="B11" s="80">
        <v>9</v>
      </c>
      <c r="C11" s="80" t="s">
        <v>244</v>
      </c>
      <c r="D11" s="83">
        <v>0.1</v>
      </c>
      <c r="E11" s="81">
        <v>1</v>
      </c>
      <c r="F11" s="84">
        <v>0.0011189043765292245</v>
      </c>
      <c r="G11" s="84">
        <f t="shared" si="0"/>
        <v>0.0005594521882646122</v>
      </c>
      <c r="H11" s="84">
        <f t="shared" si="1"/>
        <v>5.5945218826461224E-05</v>
      </c>
      <c r="I11" s="81">
        <v>1</v>
      </c>
      <c r="J11" s="84">
        <v>0.0007162630259286635</v>
      </c>
      <c r="K11" s="84">
        <f t="shared" si="2"/>
        <v>0.00035813151296433174</v>
      </c>
      <c r="L11" s="84">
        <f t="shared" si="3"/>
        <v>3.581315129643318E-05</v>
      </c>
      <c r="M11" s="81">
        <v>1</v>
      </c>
      <c r="N11" s="84">
        <v>0.0007022348356894237</v>
      </c>
      <c r="O11" s="84">
        <f t="shared" si="4"/>
        <v>0.00035111741784471187</v>
      </c>
      <c r="P11" s="84">
        <f t="shared" si="5"/>
        <v>3.5111741784471185E-05</v>
      </c>
      <c r="Q11" s="81"/>
      <c r="R11" s="84"/>
      <c r="S11" s="81"/>
      <c r="T11" s="84"/>
      <c r="U11" s="81"/>
      <c r="V11" s="84"/>
      <c r="W11" s="81"/>
      <c r="X11" s="84"/>
      <c r="Y11" s="81"/>
      <c r="Z11" s="84"/>
      <c r="AA11" s="81"/>
      <c r="AB11" s="85"/>
      <c r="AC11" s="81"/>
      <c r="AD11" s="85"/>
      <c r="AE11" s="81"/>
      <c r="AF11" s="85"/>
      <c r="AG11" s="81"/>
      <c r="AH11" s="85"/>
      <c r="AI11" s="81"/>
      <c r="AJ11" s="85"/>
      <c r="AK11" s="81"/>
      <c r="AL11" s="85"/>
      <c r="AM11" s="81"/>
      <c r="AN11" s="85"/>
      <c r="AO11" s="81"/>
      <c r="AP11" s="85"/>
    </row>
    <row r="12" spans="1:42" s="80" customFormat="1" ht="12.75">
      <c r="A12" s="80" t="s">
        <v>194</v>
      </c>
      <c r="B12" s="80">
        <v>10</v>
      </c>
      <c r="C12" s="80" t="s">
        <v>245</v>
      </c>
      <c r="D12" s="83">
        <v>0</v>
      </c>
      <c r="E12" s="81"/>
      <c r="F12" s="84">
        <v>-0.0024307233007359</v>
      </c>
      <c r="G12" s="84">
        <f t="shared" si="0"/>
        <v>-0.0024307233007359</v>
      </c>
      <c r="H12" s="84">
        <f t="shared" si="1"/>
        <v>0</v>
      </c>
      <c r="I12" s="81"/>
      <c r="J12" s="84">
        <v>-0.0007162630259286637</v>
      </c>
      <c r="K12" s="84">
        <f t="shared" si="2"/>
        <v>-0.0007162630259286637</v>
      </c>
      <c r="L12" s="84">
        <f t="shared" si="3"/>
        <v>0</v>
      </c>
      <c r="M12" s="81"/>
      <c r="N12" s="84">
        <v>0.00545827985922234</v>
      </c>
      <c r="O12" s="84">
        <f t="shared" si="4"/>
        <v>0.00545827985922234</v>
      </c>
      <c r="P12" s="84">
        <f t="shared" si="5"/>
        <v>0</v>
      </c>
      <c r="Q12" s="81"/>
      <c r="R12" s="84"/>
      <c r="S12" s="81"/>
      <c r="T12" s="84"/>
      <c r="U12" s="81"/>
      <c r="V12" s="84"/>
      <c r="W12" s="81"/>
      <c r="X12" s="84"/>
      <c r="Y12" s="81"/>
      <c r="Z12" s="84"/>
      <c r="AA12" s="81"/>
      <c r="AB12" s="85"/>
      <c r="AC12" s="81"/>
      <c r="AD12" s="85"/>
      <c r="AE12" s="81"/>
      <c r="AF12" s="85"/>
      <c r="AG12" s="81"/>
      <c r="AH12" s="85"/>
      <c r="AI12" s="81"/>
      <c r="AJ12" s="85"/>
      <c r="AK12" s="81"/>
      <c r="AL12" s="85"/>
      <c r="AM12" s="81"/>
      <c r="AN12" s="85"/>
      <c r="AO12" s="81"/>
      <c r="AP12" s="85"/>
    </row>
    <row r="13" spans="1:42" s="80" customFormat="1" ht="12.75">
      <c r="A13" s="80" t="s">
        <v>194</v>
      </c>
      <c r="B13" s="80">
        <v>11</v>
      </c>
      <c r="C13" s="80" t="s">
        <v>246</v>
      </c>
      <c r="D13" s="83">
        <v>0</v>
      </c>
      <c r="E13" s="81"/>
      <c r="F13" s="84">
        <v>0.0020834771149164876</v>
      </c>
      <c r="G13" s="84">
        <f t="shared" si="0"/>
        <v>0.0020834771149164876</v>
      </c>
      <c r="H13" s="84">
        <f t="shared" si="1"/>
        <v>0</v>
      </c>
      <c r="I13" s="81"/>
      <c r="J13" s="84">
        <v>0.003178417177558444</v>
      </c>
      <c r="K13" s="84">
        <f t="shared" si="2"/>
        <v>0.003178417177558444</v>
      </c>
      <c r="L13" s="84">
        <f t="shared" si="3"/>
        <v>0</v>
      </c>
      <c r="M13" s="81"/>
      <c r="N13" s="84">
        <v>0.008937534272410848</v>
      </c>
      <c r="O13" s="84">
        <f t="shared" si="4"/>
        <v>0.008937534272410848</v>
      </c>
      <c r="P13" s="84">
        <f t="shared" si="5"/>
        <v>0</v>
      </c>
      <c r="Q13" s="81"/>
      <c r="R13" s="84"/>
      <c r="S13" s="81"/>
      <c r="T13" s="84"/>
      <c r="U13" s="81"/>
      <c r="V13" s="84"/>
      <c r="W13" s="81"/>
      <c r="X13" s="84"/>
      <c r="Y13" s="81"/>
      <c r="Z13" s="84"/>
      <c r="AA13" s="81"/>
      <c r="AB13" s="85"/>
      <c r="AC13" s="81"/>
      <c r="AD13" s="85"/>
      <c r="AE13" s="81"/>
      <c r="AF13" s="85"/>
      <c r="AG13" s="81"/>
      <c r="AH13" s="85"/>
      <c r="AI13" s="81"/>
      <c r="AJ13" s="85"/>
      <c r="AK13" s="81"/>
      <c r="AL13" s="85"/>
      <c r="AM13" s="81"/>
      <c r="AN13" s="85"/>
      <c r="AO13" s="81"/>
      <c r="AP13" s="85"/>
    </row>
    <row r="14" spans="1:42" s="80" customFormat="1" ht="12.75">
      <c r="A14" s="80" t="s">
        <v>194</v>
      </c>
      <c r="B14" s="80">
        <v>12</v>
      </c>
      <c r="C14" s="80" t="s">
        <v>247</v>
      </c>
      <c r="D14" s="83">
        <v>0.01</v>
      </c>
      <c r="E14" s="81"/>
      <c r="F14" s="84">
        <v>0.0008488240097807912</v>
      </c>
      <c r="G14" s="84">
        <f t="shared" si="0"/>
        <v>0.0008488240097807912</v>
      </c>
      <c r="H14" s="84">
        <f t="shared" si="1"/>
        <v>8.488240097807911E-06</v>
      </c>
      <c r="I14" s="81"/>
      <c r="J14" s="84">
        <v>0.0062673014768758</v>
      </c>
      <c r="K14" s="84">
        <f t="shared" si="2"/>
        <v>0.0062673014768758</v>
      </c>
      <c r="L14" s="84">
        <f t="shared" si="3"/>
        <v>6.267301476875801E-05</v>
      </c>
      <c r="M14" s="81"/>
      <c r="N14" s="84">
        <v>0.004468767136205424</v>
      </c>
      <c r="O14" s="84">
        <f t="shared" si="4"/>
        <v>0.004468767136205424</v>
      </c>
      <c r="P14" s="84">
        <f t="shared" si="5"/>
        <v>4.468767136205424E-05</v>
      </c>
      <c r="Q14" s="81"/>
      <c r="R14" s="84"/>
      <c r="S14" s="81"/>
      <c r="T14" s="84"/>
      <c r="U14" s="81"/>
      <c r="V14" s="84"/>
      <c r="W14" s="81"/>
      <c r="X14" s="84"/>
      <c r="Y14" s="81"/>
      <c r="Z14" s="84"/>
      <c r="AA14" s="81"/>
      <c r="AB14" s="85"/>
      <c r="AC14" s="81"/>
      <c r="AD14" s="85"/>
      <c r="AE14" s="81"/>
      <c r="AF14" s="85"/>
      <c r="AG14" s="81"/>
      <c r="AH14" s="85"/>
      <c r="AI14" s="81"/>
      <c r="AJ14" s="85"/>
      <c r="AK14" s="81"/>
      <c r="AL14" s="85"/>
      <c r="AM14" s="81"/>
      <c r="AN14" s="85"/>
      <c r="AO14" s="81"/>
      <c r="AP14" s="85"/>
    </row>
    <row r="15" spans="1:42" s="80" customFormat="1" ht="12.75">
      <c r="A15" s="80" t="s">
        <v>194</v>
      </c>
      <c r="B15" s="80">
        <v>13</v>
      </c>
      <c r="C15" s="80" t="s">
        <v>248</v>
      </c>
      <c r="D15" s="83">
        <v>0</v>
      </c>
      <c r="E15" s="81"/>
      <c r="F15" s="84">
        <v>0.0141985107090605</v>
      </c>
      <c r="G15" s="84">
        <f t="shared" si="0"/>
        <v>0.0141985107090605</v>
      </c>
      <c r="H15" s="84">
        <f t="shared" si="1"/>
        <v>0</v>
      </c>
      <c r="I15" s="81"/>
      <c r="J15" s="84">
        <v>0.0062673014768758</v>
      </c>
      <c r="K15" s="84">
        <f t="shared" si="2"/>
        <v>0.0062673014768758</v>
      </c>
      <c r="L15" s="84">
        <f t="shared" si="3"/>
        <v>0</v>
      </c>
      <c r="M15" s="81"/>
      <c r="N15" s="84">
        <v>0.005745557746549829</v>
      </c>
      <c r="O15" s="84">
        <f t="shared" si="4"/>
        <v>0.005745557746549829</v>
      </c>
      <c r="P15" s="84">
        <f t="shared" si="5"/>
        <v>0</v>
      </c>
      <c r="Q15" s="81"/>
      <c r="R15" s="84"/>
      <c r="S15" s="81"/>
      <c r="T15" s="84"/>
      <c r="U15" s="81"/>
      <c r="V15" s="84"/>
      <c r="W15" s="81"/>
      <c r="X15" s="84"/>
      <c r="Y15" s="81"/>
      <c r="Z15" s="84"/>
      <c r="AA15" s="81"/>
      <c r="AB15" s="85"/>
      <c r="AC15" s="81"/>
      <c r="AD15" s="85"/>
      <c r="AE15" s="81"/>
      <c r="AF15" s="85"/>
      <c r="AG15" s="81"/>
      <c r="AH15" s="85"/>
      <c r="AI15" s="81"/>
      <c r="AJ15" s="85"/>
      <c r="AK15" s="81"/>
      <c r="AL15" s="85"/>
      <c r="AM15" s="81"/>
      <c r="AN15" s="85"/>
      <c r="AO15" s="81"/>
      <c r="AP15" s="85"/>
    </row>
    <row r="16" spans="1:42" s="80" customFormat="1" ht="12.75">
      <c r="A16" s="80" t="s">
        <v>194</v>
      </c>
      <c r="B16" s="80">
        <v>14</v>
      </c>
      <c r="C16" s="80" t="s">
        <v>249</v>
      </c>
      <c r="D16" s="83">
        <v>0</v>
      </c>
      <c r="E16" s="81"/>
      <c r="F16" s="84">
        <v>0.015047334718841298</v>
      </c>
      <c r="G16" s="84">
        <f t="shared" si="0"/>
        <v>0.015047334718841298</v>
      </c>
      <c r="H16" s="84">
        <f t="shared" si="1"/>
        <v>0</v>
      </c>
      <c r="I16" s="81"/>
      <c r="J16" s="84">
        <v>0.012534602953751613</v>
      </c>
      <c r="K16" s="84">
        <f t="shared" si="2"/>
        <v>0.012534602953751613</v>
      </c>
      <c r="L16" s="84">
        <f t="shared" si="3"/>
        <v>0</v>
      </c>
      <c r="M16" s="81"/>
      <c r="N16" s="84">
        <v>0.010214324882755253</v>
      </c>
      <c r="O16" s="84">
        <f t="shared" si="4"/>
        <v>0.010214324882755253</v>
      </c>
      <c r="P16" s="84">
        <f t="shared" si="5"/>
        <v>0</v>
      </c>
      <c r="Q16" s="81"/>
      <c r="R16" s="84"/>
      <c r="S16" s="81"/>
      <c r="T16" s="84"/>
      <c r="U16" s="81"/>
      <c r="V16" s="84"/>
      <c r="W16" s="81"/>
      <c r="X16" s="84"/>
      <c r="Y16" s="81"/>
      <c r="Z16" s="84"/>
      <c r="AA16" s="81"/>
      <c r="AB16" s="85"/>
      <c r="AC16" s="81"/>
      <c r="AD16" s="85"/>
      <c r="AE16" s="81"/>
      <c r="AF16" s="85"/>
      <c r="AG16" s="81"/>
      <c r="AH16" s="85"/>
      <c r="AI16" s="81"/>
      <c r="AJ16" s="85"/>
      <c r="AK16" s="81"/>
      <c r="AL16" s="85"/>
      <c r="AM16" s="81"/>
      <c r="AN16" s="85"/>
      <c r="AO16" s="81"/>
      <c r="AP16" s="85"/>
    </row>
    <row r="17" spans="1:42" s="80" customFormat="1" ht="12.75">
      <c r="A17" s="80" t="s">
        <v>194</v>
      </c>
      <c r="B17" s="80">
        <v>15</v>
      </c>
      <c r="C17" s="80" t="s">
        <v>250</v>
      </c>
      <c r="D17" s="83">
        <v>0.001</v>
      </c>
      <c r="E17" s="81"/>
      <c r="F17" s="84">
        <v>0.06559094621033386</v>
      </c>
      <c r="G17" s="84">
        <f t="shared" si="0"/>
        <v>0.06559094621033386</v>
      </c>
      <c r="H17" s="84">
        <f t="shared" si="1"/>
        <v>6.559094621033385E-05</v>
      </c>
      <c r="I17" s="81"/>
      <c r="J17" s="84">
        <v>0.058196370856704</v>
      </c>
      <c r="K17" s="84">
        <f t="shared" si="2"/>
        <v>0.058196370856704</v>
      </c>
      <c r="L17" s="84">
        <f t="shared" si="3"/>
        <v>5.8196370856704E-05</v>
      </c>
      <c r="M17" s="81"/>
      <c r="N17" s="84">
        <v>0.04149569483619322</v>
      </c>
      <c r="O17" s="84">
        <f t="shared" si="4"/>
        <v>0.04149569483619322</v>
      </c>
      <c r="P17" s="84">
        <f t="shared" si="5"/>
        <v>4.1495694836193216E-05</v>
      </c>
      <c r="Q17" s="81"/>
      <c r="R17" s="84"/>
      <c r="S17" s="81"/>
      <c r="T17" s="84"/>
      <c r="U17" s="81"/>
      <c r="V17" s="84"/>
      <c r="W17" s="81"/>
      <c r="X17" s="84"/>
      <c r="Y17" s="81"/>
      <c r="Z17" s="84"/>
      <c r="AA17" s="81"/>
      <c r="AB17" s="85"/>
      <c r="AC17" s="81"/>
      <c r="AD17" s="85"/>
      <c r="AE17" s="81"/>
      <c r="AF17" s="85"/>
      <c r="AG17" s="81"/>
      <c r="AH17" s="85"/>
      <c r="AI17" s="81"/>
      <c r="AJ17" s="85"/>
      <c r="AK17" s="81"/>
      <c r="AL17" s="85"/>
      <c r="AM17" s="81"/>
      <c r="AN17" s="85"/>
      <c r="AO17" s="81"/>
      <c r="AP17" s="85"/>
    </row>
    <row r="18" spans="1:42" s="80" customFormat="1" ht="12.75">
      <c r="A18" s="80" t="s">
        <v>194</v>
      </c>
      <c r="B18" s="80">
        <v>16</v>
      </c>
      <c r="C18" s="80" t="s">
        <v>251</v>
      </c>
      <c r="D18" s="83">
        <v>0.1</v>
      </c>
      <c r="E18" s="81">
        <v>1</v>
      </c>
      <c r="F18" s="84">
        <v>0.008102411002453</v>
      </c>
      <c r="G18" s="84">
        <f t="shared" si="0"/>
        <v>0.0040512055012265</v>
      </c>
      <c r="H18" s="84">
        <f t="shared" si="1"/>
        <v>0.00040512055012265004</v>
      </c>
      <c r="I18" s="81"/>
      <c r="J18" s="84">
        <v>0.0039842130817282</v>
      </c>
      <c r="K18" s="84">
        <f t="shared" si="2"/>
        <v>0.0039842130817282</v>
      </c>
      <c r="L18" s="84">
        <f t="shared" si="3"/>
        <v>0.00039842130817282004</v>
      </c>
      <c r="M18" s="81">
        <v>1</v>
      </c>
      <c r="N18" s="84">
        <v>0.00574555774654983</v>
      </c>
      <c r="O18" s="84">
        <f t="shared" si="4"/>
        <v>0.002872778873274915</v>
      </c>
      <c r="P18" s="84">
        <f t="shared" si="5"/>
        <v>0.0002872778873274915</v>
      </c>
      <c r="Q18" s="81"/>
      <c r="R18" s="84"/>
      <c r="S18" s="81"/>
      <c r="T18" s="84"/>
      <c r="U18" s="81"/>
      <c r="V18" s="84"/>
      <c r="W18" s="81"/>
      <c r="X18" s="84"/>
      <c r="Y18" s="81"/>
      <c r="Z18" s="84"/>
      <c r="AA18" s="81"/>
      <c r="AB18" s="85"/>
      <c r="AC18" s="81"/>
      <c r="AD18" s="85"/>
      <c r="AE18" s="81"/>
      <c r="AF18" s="85"/>
      <c r="AG18" s="81"/>
      <c r="AH18" s="85"/>
      <c r="AI18" s="81"/>
      <c r="AJ18" s="85"/>
      <c r="AK18" s="81"/>
      <c r="AL18" s="85"/>
      <c r="AM18" s="81"/>
      <c r="AN18" s="85"/>
      <c r="AO18" s="81"/>
      <c r="AP18" s="85"/>
    </row>
    <row r="19" spans="1:42" s="80" customFormat="1" ht="12.75">
      <c r="A19" s="80" t="s">
        <v>194</v>
      </c>
      <c r="B19" s="80">
        <v>17</v>
      </c>
      <c r="C19" s="80" t="s">
        <v>252</v>
      </c>
      <c r="D19" s="83">
        <v>0</v>
      </c>
      <c r="E19" s="81"/>
      <c r="F19" s="84">
        <v>0.01890562567239035</v>
      </c>
      <c r="G19" s="84">
        <f t="shared" si="0"/>
        <v>0.01890562567239035</v>
      </c>
      <c r="H19" s="84">
        <f t="shared" si="1"/>
        <v>0</v>
      </c>
      <c r="I19" s="81"/>
      <c r="J19" s="84">
        <v>0.14374503601605865</v>
      </c>
      <c r="K19" s="84">
        <f t="shared" si="2"/>
        <v>0.14374503601605865</v>
      </c>
      <c r="L19" s="84">
        <f t="shared" si="3"/>
        <v>0</v>
      </c>
      <c r="M19" s="81"/>
      <c r="N19" s="84">
        <v>0.0772458319258366</v>
      </c>
      <c r="O19" s="84">
        <f t="shared" si="4"/>
        <v>0.0772458319258366</v>
      </c>
      <c r="P19" s="84">
        <f t="shared" si="5"/>
        <v>0</v>
      </c>
      <c r="Q19" s="81"/>
      <c r="R19" s="84"/>
      <c r="S19" s="81"/>
      <c r="T19" s="84"/>
      <c r="U19" s="81"/>
      <c r="V19" s="84"/>
      <c r="W19" s="81"/>
      <c r="X19" s="84"/>
      <c r="Y19" s="81"/>
      <c r="Z19" s="84"/>
      <c r="AA19" s="81"/>
      <c r="AB19" s="85"/>
      <c r="AC19" s="81"/>
      <c r="AD19" s="85"/>
      <c r="AE19" s="81"/>
      <c r="AF19" s="85"/>
      <c r="AG19" s="81"/>
      <c r="AH19" s="85"/>
      <c r="AI19" s="81"/>
      <c r="AJ19" s="85"/>
      <c r="AK19" s="81"/>
      <c r="AL19" s="85"/>
      <c r="AM19" s="81"/>
      <c r="AN19" s="85"/>
      <c r="AO19" s="81"/>
      <c r="AP19" s="85"/>
    </row>
    <row r="20" spans="1:42" s="80" customFormat="1" ht="12.75">
      <c r="A20" s="80" t="s">
        <v>194</v>
      </c>
      <c r="B20" s="80">
        <v>18</v>
      </c>
      <c r="C20" s="80" t="s">
        <v>253</v>
      </c>
      <c r="D20" s="83">
        <v>0</v>
      </c>
      <c r="E20" s="81"/>
      <c r="F20" s="84">
        <v>0.027008036674843357</v>
      </c>
      <c r="G20" s="84">
        <f t="shared" si="0"/>
        <v>0.027008036674843357</v>
      </c>
      <c r="H20" s="84">
        <f t="shared" si="1"/>
        <v>0</v>
      </c>
      <c r="I20" s="81"/>
      <c r="J20" s="84">
        <v>0.14772924909778684</v>
      </c>
      <c r="K20" s="84">
        <f t="shared" si="2"/>
        <v>0.14772924909778684</v>
      </c>
      <c r="L20" s="84">
        <f t="shared" si="3"/>
        <v>0</v>
      </c>
      <c r="M20" s="81"/>
      <c r="N20" s="84">
        <v>0.08299138967238644</v>
      </c>
      <c r="O20" s="84">
        <f t="shared" si="4"/>
        <v>0.08299138967238644</v>
      </c>
      <c r="P20" s="84">
        <f t="shared" si="5"/>
        <v>0</v>
      </c>
      <c r="Q20" s="81"/>
      <c r="R20" s="84"/>
      <c r="S20" s="81"/>
      <c r="T20" s="84"/>
      <c r="U20" s="81"/>
      <c r="V20" s="84"/>
      <c r="W20" s="81"/>
      <c r="X20" s="84"/>
      <c r="Y20" s="81"/>
      <c r="Z20" s="84"/>
      <c r="AA20" s="81"/>
      <c r="AB20" s="85"/>
      <c r="AC20" s="81"/>
      <c r="AD20" s="85"/>
      <c r="AE20" s="81"/>
      <c r="AF20" s="85"/>
      <c r="AG20" s="81"/>
      <c r="AH20" s="85"/>
      <c r="AI20" s="81"/>
      <c r="AJ20" s="85"/>
      <c r="AK20" s="81"/>
      <c r="AL20" s="85"/>
      <c r="AM20" s="81"/>
      <c r="AN20" s="85"/>
      <c r="AO20" s="81"/>
      <c r="AP20" s="85"/>
    </row>
    <row r="21" spans="1:42" s="80" customFormat="1" ht="12.75">
      <c r="A21" s="80" t="s">
        <v>194</v>
      </c>
      <c r="B21" s="80">
        <v>19</v>
      </c>
      <c r="C21" s="80" t="s">
        <v>254</v>
      </c>
      <c r="D21" s="83">
        <v>0.05</v>
      </c>
      <c r="E21" s="81">
        <v>1</v>
      </c>
      <c r="F21" s="84">
        <v>0.005401607334968671</v>
      </c>
      <c r="G21" s="84">
        <f t="shared" si="0"/>
        <v>0.0027008036674843355</v>
      </c>
      <c r="H21" s="84">
        <f t="shared" si="1"/>
        <v>0.00013504018337421678</v>
      </c>
      <c r="I21" s="81">
        <v>1</v>
      </c>
      <c r="J21" s="84">
        <v>0.0029545849819557365</v>
      </c>
      <c r="K21" s="84">
        <f t="shared" si="2"/>
        <v>0.0014772924909778682</v>
      </c>
      <c r="L21" s="84">
        <f t="shared" si="3"/>
        <v>7.386462454889342E-05</v>
      </c>
      <c r="M21" s="81">
        <v>1</v>
      </c>
      <c r="N21" s="84">
        <v>0.0026812602817232536</v>
      </c>
      <c r="O21" s="84">
        <f t="shared" si="4"/>
        <v>0.0013406301408616268</v>
      </c>
      <c r="P21" s="84">
        <f t="shared" si="5"/>
        <v>6.703150704308134E-05</v>
      </c>
      <c r="Q21" s="81"/>
      <c r="R21" s="84"/>
      <c r="S21" s="81"/>
      <c r="T21" s="84"/>
      <c r="U21" s="81"/>
      <c r="V21" s="84"/>
      <c r="W21" s="81"/>
      <c r="X21" s="84"/>
      <c r="Y21" s="81"/>
      <c r="Z21" s="84"/>
      <c r="AA21" s="81"/>
      <c r="AB21" s="85"/>
      <c r="AC21" s="81"/>
      <c r="AD21" s="85"/>
      <c r="AE21" s="81"/>
      <c r="AF21" s="85"/>
      <c r="AG21" s="81"/>
      <c r="AH21" s="85"/>
      <c r="AI21" s="81"/>
      <c r="AJ21" s="85"/>
      <c r="AK21" s="81"/>
      <c r="AL21" s="85"/>
      <c r="AM21" s="81"/>
      <c r="AN21" s="85"/>
      <c r="AO21" s="81"/>
      <c r="AP21" s="85"/>
    </row>
    <row r="22" spans="1:42" s="80" customFormat="1" ht="12.75">
      <c r="A22" s="80" t="s">
        <v>194</v>
      </c>
      <c r="B22" s="80">
        <v>20</v>
      </c>
      <c r="C22" s="80" t="s">
        <v>255</v>
      </c>
      <c r="D22" s="83">
        <v>0.5</v>
      </c>
      <c r="E22" s="81">
        <v>1</v>
      </c>
      <c r="F22" s="84">
        <v>0.0069449237163883</v>
      </c>
      <c r="G22" s="84">
        <f t="shared" si="0"/>
        <v>0.00347246185819415</v>
      </c>
      <c r="H22" s="84">
        <f t="shared" si="1"/>
        <v>0.001736230929097075</v>
      </c>
      <c r="I22" s="81">
        <v>1</v>
      </c>
      <c r="J22" s="84">
        <v>0.005371972694464976</v>
      </c>
      <c r="K22" s="84">
        <f t="shared" si="2"/>
        <v>0.002685986347232488</v>
      </c>
      <c r="L22" s="84">
        <f t="shared" si="3"/>
        <v>0.001342993173616244</v>
      </c>
      <c r="M22" s="81">
        <v>1</v>
      </c>
      <c r="N22" s="84">
        <v>0.0035111741784471183</v>
      </c>
      <c r="O22" s="84">
        <f t="shared" si="4"/>
        <v>0.0017555870892235592</v>
      </c>
      <c r="P22" s="84">
        <f t="shared" si="5"/>
        <v>0.0008777935446117796</v>
      </c>
      <c r="Q22" s="81"/>
      <c r="R22" s="84"/>
      <c r="S22" s="81"/>
      <c r="T22" s="84"/>
      <c r="U22" s="81"/>
      <c r="V22" s="84"/>
      <c r="W22" s="81"/>
      <c r="X22" s="84"/>
      <c r="Y22" s="81"/>
      <c r="Z22" s="84"/>
      <c r="AA22" s="81"/>
      <c r="AB22" s="85"/>
      <c r="AC22" s="81"/>
      <c r="AD22" s="85"/>
      <c r="AE22" s="81"/>
      <c r="AF22" s="85"/>
      <c r="AG22" s="81"/>
      <c r="AH22" s="85"/>
      <c r="AI22" s="81"/>
      <c r="AJ22" s="85"/>
      <c r="AK22" s="81"/>
      <c r="AL22" s="85"/>
      <c r="AM22" s="81"/>
      <c r="AN22" s="85"/>
      <c r="AO22" s="81"/>
      <c r="AP22" s="85"/>
    </row>
    <row r="23" spans="1:42" s="80" customFormat="1" ht="12.75">
      <c r="A23" s="80" t="s">
        <v>194</v>
      </c>
      <c r="B23" s="80">
        <v>21</v>
      </c>
      <c r="C23" s="80" t="s">
        <v>256</v>
      </c>
      <c r="D23" s="83">
        <v>0</v>
      </c>
      <c r="E23" s="81"/>
      <c r="F23" s="84"/>
      <c r="G23" s="84">
        <f t="shared" si="0"/>
        <v>0</v>
      </c>
      <c r="H23" s="84">
        <f t="shared" si="1"/>
        <v>0</v>
      </c>
      <c r="I23" s="81"/>
      <c r="J23" s="84">
        <v>0.011370675536617528</v>
      </c>
      <c r="K23" s="84">
        <f t="shared" si="2"/>
        <v>0.011370675536617528</v>
      </c>
      <c r="L23" s="84">
        <f t="shared" si="3"/>
        <v>0</v>
      </c>
      <c r="M23" s="81"/>
      <c r="N23" s="84"/>
      <c r="O23" s="84">
        <f t="shared" si="4"/>
        <v>0</v>
      </c>
      <c r="P23" s="84">
        <f t="shared" si="5"/>
        <v>0</v>
      </c>
      <c r="Q23" s="81"/>
      <c r="R23" s="84"/>
      <c r="S23" s="81"/>
      <c r="T23" s="84"/>
      <c r="U23" s="81"/>
      <c r="V23" s="84"/>
      <c r="W23" s="81"/>
      <c r="X23" s="84"/>
      <c r="Y23" s="81"/>
      <c r="Z23" s="84"/>
      <c r="AA23" s="81"/>
      <c r="AB23" s="85"/>
      <c r="AC23" s="81"/>
      <c r="AD23" s="85"/>
      <c r="AE23" s="81"/>
      <c r="AF23" s="85"/>
      <c r="AG23" s="81"/>
      <c r="AH23" s="85"/>
      <c r="AI23" s="81"/>
      <c r="AJ23" s="85"/>
      <c r="AK23" s="81"/>
      <c r="AL23" s="85"/>
      <c r="AM23" s="81"/>
      <c r="AN23" s="85"/>
      <c r="AO23" s="81"/>
      <c r="AP23" s="85"/>
    </row>
    <row r="24" spans="1:42" s="80" customFormat="1" ht="12.75">
      <c r="A24" s="80" t="s">
        <v>194</v>
      </c>
      <c r="B24" s="80">
        <v>22</v>
      </c>
      <c r="C24" s="80" t="s">
        <v>257</v>
      </c>
      <c r="D24" s="83">
        <v>0</v>
      </c>
      <c r="E24" s="81"/>
      <c r="F24" s="84"/>
      <c r="G24" s="84">
        <f t="shared" si="0"/>
        <v>0</v>
      </c>
      <c r="H24" s="84">
        <f t="shared" si="1"/>
        <v>0</v>
      </c>
      <c r="I24" s="81"/>
      <c r="J24" s="84">
        <v>0.01969723321303824</v>
      </c>
      <c r="K24" s="84">
        <f t="shared" si="2"/>
        <v>0.01969723321303824</v>
      </c>
      <c r="L24" s="84">
        <f t="shared" si="3"/>
        <v>0</v>
      </c>
      <c r="M24" s="81"/>
      <c r="N24" s="84"/>
      <c r="O24" s="84">
        <f t="shared" si="4"/>
        <v>0</v>
      </c>
      <c r="P24" s="84">
        <f t="shared" si="5"/>
        <v>0</v>
      </c>
      <c r="Q24" s="81"/>
      <c r="R24" s="84"/>
      <c r="S24" s="81"/>
      <c r="T24" s="84"/>
      <c r="U24" s="81"/>
      <c r="V24" s="84"/>
      <c r="W24" s="81"/>
      <c r="X24" s="84"/>
      <c r="Y24" s="81"/>
      <c r="Z24" s="84"/>
      <c r="AA24" s="81"/>
      <c r="AB24" s="85"/>
      <c r="AC24" s="81"/>
      <c r="AD24" s="85"/>
      <c r="AE24" s="81"/>
      <c r="AF24" s="85"/>
      <c r="AG24" s="81"/>
      <c r="AH24" s="85"/>
      <c r="AI24" s="81"/>
      <c r="AJ24" s="85"/>
      <c r="AK24" s="81"/>
      <c r="AL24" s="85"/>
      <c r="AM24" s="81"/>
      <c r="AN24" s="85"/>
      <c r="AO24" s="81"/>
      <c r="AP24" s="85"/>
    </row>
    <row r="25" spans="1:42" s="80" customFormat="1" ht="12.75">
      <c r="A25" s="80" t="s">
        <v>194</v>
      </c>
      <c r="B25" s="80">
        <v>23</v>
      </c>
      <c r="C25" s="80" t="s">
        <v>258</v>
      </c>
      <c r="D25" s="83">
        <v>0.1</v>
      </c>
      <c r="E25" s="81">
        <v>1</v>
      </c>
      <c r="F25" s="84">
        <v>0.0020063112958455</v>
      </c>
      <c r="G25" s="84">
        <f t="shared" si="0"/>
        <v>0.00100315564792275</v>
      </c>
      <c r="H25" s="84">
        <f t="shared" si="1"/>
        <v>0.00010031556479227502</v>
      </c>
      <c r="I25" s="81"/>
      <c r="J25" s="84">
        <v>0.0018354240039422</v>
      </c>
      <c r="K25" s="84">
        <f t="shared" si="2"/>
        <v>0.0018354240039422</v>
      </c>
      <c r="L25" s="84">
        <f t="shared" si="3"/>
        <v>0.00018354240039422003</v>
      </c>
      <c r="M25" s="81">
        <v>1</v>
      </c>
      <c r="N25" s="84">
        <v>0.001500228967154678</v>
      </c>
      <c r="O25" s="84">
        <f t="shared" si="4"/>
        <v>0.000750114483577339</v>
      </c>
      <c r="P25" s="84">
        <f t="shared" si="5"/>
        <v>7.50114483577339E-05</v>
      </c>
      <c r="Q25" s="81"/>
      <c r="R25" s="84"/>
      <c r="S25" s="81"/>
      <c r="T25" s="84"/>
      <c r="U25" s="81"/>
      <c r="V25" s="84"/>
      <c r="W25" s="81"/>
      <c r="X25" s="84"/>
      <c r="Y25" s="81"/>
      <c r="Z25" s="84"/>
      <c r="AA25" s="81"/>
      <c r="AB25" s="85"/>
      <c r="AC25" s="81"/>
      <c r="AD25" s="85"/>
      <c r="AE25" s="81"/>
      <c r="AF25" s="85"/>
      <c r="AG25" s="81"/>
      <c r="AH25" s="85"/>
      <c r="AI25" s="81"/>
      <c r="AJ25" s="85"/>
      <c r="AK25" s="81"/>
      <c r="AL25" s="85"/>
      <c r="AM25" s="81"/>
      <c r="AN25" s="85"/>
      <c r="AO25" s="81"/>
      <c r="AP25" s="85"/>
    </row>
    <row r="26" spans="1:42" s="80" customFormat="1" ht="12.75">
      <c r="A26" s="80" t="s">
        <v>194</v>
      </c>
      <c r="B26" s="80">
        <v>24</v>
      </c>
      <c r="C26" s="80" t="s">
        <v>259</v>
      </c>
      <c r="D26" s="83">
        <v>0.1</v>
      </c>
      <c r="E26" s="81">
        <v>1</v>
      </c>
      <c r="F26" s="84">
        <v>0.0015433163814196204</v>
      </c>
      <c r="G26" s="84">
        <f t="shared" si="0"/>
        <v>0.0007716581907098102</v>
      </c>
      <c r="H26" s="84">
        <f t="shared" si="1"/>
        <v>7.716581907098103E-05</v>
      </c>
      <c r="I26" s="81"/>
      <c r="J26" s="84">
        <v>0.0016563582474600342</v>
      </c>
      <c r="K26" s="84">
        <f t="shared" si="2"/>
        <v>0.0016563582474600342</v>
      </c>
      <c r="L26" s="84">
        <f t="shared" si="3"/>
        <v>0.00016563582474600342</v>
      </c>
      <c r="M26" s="81"/>
      <c r="N26" s="84">
        <v>0.0009895127230169151</v>
      </c>
      <c r="O26" s="84">
        <f t="shared" si="4"/>
        <v>0.0009895127230169151</v>
      </c>
      <c r="P26" s="84">
        <f t="shared" si="5"/>
        <v>9.895127230169151E-05</v>
      </c>
      <c r="Q26" s="81"/>
      <c r="R26" s="84"/>
      <c r="S26" s="81"/>
      <c r="T26" s="84"/>
      <c r="U26" s="81"/>
      <c r="V26" s="84"/>
      <c r="W26" s="81"/>
      <c r="X26" s="84"/>
      <c r="Y26" s="81"/>
      <c r="Z26" s="84"/>
      <c r="AA26" s="81"/>
      <c r="AB26" s="85"/>
      <c r="AC26" s="81"/>
      <c r="AD26" s="85"/>
      <c r="AE26" s="81"/>
      <c r="AF26" s="85"/>
      <c r="AG26" s="81"/>
      <c r="AH26" s="85"/>
      <c r="AI26" s="81"/>
      <c r="AJ26" s="85"/>
      <c r="AK26" s="81"/>
      <c r="AL26" s="85"/>
      <c r="AM26" s="81"/>
      <c r="AN26" s="85"/>
      <c r="AO26" s="81"/>
      <c r="AP26" s="85"/>
    </row>
    <row r="27" spans="1:42" s="80" customFormat="1" ht="12.75">
      <c r="A27" s="80" t="s">
        <v>194</v>
      </c>
      <c r="B27" s="80">
        <v>25</v>
      </c>
      <c r="C27" s="80" t="s">
        <v>260</v>
      </c>
      <c r="D27" s="83">
        <v>0.1</v>
      </c>
      <c r="E27" s="81">
        <v>1</v>
      </c>
      <c r="F27" s="84">
        <v>0.0018133967481680539</v>
      </c>
      <c r="G27" s="84">
        <f t="shared" si="0"/>
        <v>0.0009066983740840269</v>
      </c>
      <c r="H27" s="84">
        <f t="shared" si="1"/>
        <v>9.06698374084027E-05</v>
      </c>
      <c r="I27" s="81">
        <v>1</v>
      </c>
      <c r="J27" s="84">
        <v>0.0007610294650492049</v>
      </c>
      <c r="K27" s="84">
        <f t="shared" si="2"/>
        <v>0.00038051473252460243</v>
      </c>
      <c r="L27" s="84">
        <f t="shared" si="3"/>
        <v>3.805147325246024E-05</v>
      </c>
      <c r="M27" s="81"/>
      <c r="N27" s="84">
        <v>0.0013406301408616268</v>
      </c>
      <c r="O27" s="84">
        <f t="shared" si="4"/>
        <v>0.0013406301408616268</v>
      </c>
      <c r="P27" s="84">
        <f t="shared" si="5"/>
        <v>0.00013406301408616268</v>
      </c>
      <c r="Q27" s="81"/>
      <c r="R27" s="84"/>
      <c r="S27" s="81"/>
      <c r="T27" s="84"/>
      <c r="U27" s="81"/>
      <c r="V27" s="84"/>
      <c r="W27" s="81"/>
      <c r="X27" s="84"/>
      <c r="Y27" s="81"/>
      <c r="Z27" s="84"/>
      <c r="AA27" s="81"/>
      <c r="AB27" s="85"/>
      <c r="AC27" s="81"/>
      <c r="AD27" s="85"/>
      <c r="AE27" s="81"/>
      <c r="AF27" s="85"/>
      <c r="AG27" s="81"/>
      <c r="AH27" s="85"/>
      <c r="AI27" s="81"/>
      <c r="AJ27" s="85"/>
      <c r="AK27" s="81"/>
      <c r="AL27" s="85"/>
      <c r="AM27" s="81"/>
      <c r="AN27" s="85"/>
      <c r="AO27" s="81"/>
      <c r="AP27" s="85"/>
    </row>
    <row r="28" spans="1:42" s="80" customFormat="1" ht="12.75">
      <c r="A28" s="80" t="s">
        <v>194</v>
      </c>
      <c r="B28" s="80">
        <v>26</v>
      </c>
      <c r="C28" s="80" t="s">
        <v>261</v>
      </c>
      <c r="D28" s="83">
        <v>0.1</v>
      </c>
      <c r="E28" s="81">
        <v>1</v>
      </c>
      <c r="F28" s="84">
        <v>0.0013118189242066773</v>
      </c>
      <c r="G28" s="84">
        <f t="shared" si="0"/>
        <v>0.0006559094621033387</v>
      </c>
      <c r="H28" s="84">
        <f t="shared" si="1"/>
        <v>6.559094621033387E-05</v>
      </c>
      <c r="I28" s="81">
        <v>1</v>
      </c>
      <c r="J28" s="84">
        <v>0.0009848616606519122</v>
      </c>
      <c r="K28" s="84">
        <f t="shared" si="2"/>
        <v>0.0004924308303259561</v>
      </c>
      <c r="L28" s="84">
        <f t="shared" si="3"/>
        <v>4.924308303259561E-05</v>
      </c>
      <c r="M28" s="81">
        <v>1</v>
      </c>
      <c r="N28" s="84">
        <v>0.00044687671362054235</v>
      </c>
      <c r="O28" s="84">
        <f t="shared" si="4"/>
        <v>0.00022343835681027117</v>
      </c>
      <c r="P28" s="84">
        <f t="shared" si="5"/>
        <v>2.2343835681027117E-05</v>
      </c>
      <c r="Q28" s="81"/>
      <c r="R28" s="84"/>
      <c r="S28" s="81"/>
      <c r="T28" s="84"/>
      <c r="U28" s="81"/>
      <c r="V28" s="84"/>
      <c r="W28" s="81"/>
      <c r="X28" s="84"/>
      <c r="Y28" s="81"/>
      <c r="Z28" s="84"/>
      <c r="AA28" s="81"/>
      <c r="AB28" s="85"/>
      <c r="AC28" s="81"/>
      <c r="AD28" s="85"/>
      <c r="AE28" s="81"/>
      <c r="AF28" s="85"/>
      <c r="AG28" s="81"/>
      <c r="AH28" s="85"/>
      <c r="AI28" s="81"/>
      <c r="AJ28" s="85"/>
      <c r="AK28" s="81"/>
      <c r="AL28" s="85"/>
      <c r="AM28" s="81"/>
      <c r="AN28" s="85"/>
      <c r="AO28" s="81"/>
      <c r="AP28" s="85"/>
    </row>
    <row r="29" spans="1:42" s="80" customFormat="1" ht="12.75">
      <c r="A29" s="80" t="s">
        <v>194</v>
      </c>
      <c r="B29" s="80">
        <v>27</v>
      </c>
      <c r="C29" s="80" t="s">
        <v>262</v>
      </c>
      <c r="D29" s="83">
        <v>0</v>
      </c>
      <c r="E29" s="81"/>
      <c r="F29" s="84">
        <v>-0.0028937182151617877</v>
      </c>
      <c r="G29" s="84">
        <f t="shared" si="0"/>
        <v>-0.0028937182151617877</v>
      </c>
      <c r="H29" s="84">
        <f t="shared" si="1"/>
        <v>0</v>
      </c>
      <c r="I29" s="81"/>
      <c r="J29" s="84">
        <v>0.002820285664594112</v>
      </c>
      <c r="K29" s="84">
        <f t="shared" si="2"/>
        <v>0.002820285664594112</v>
      </c>
      <c r="L29" s="84">
        <f t="shared" si="3"/>
        <v>0</v>
      </c>
      <c r="M29" s="81"/>
      <c r="N29" s="84">
        <v>0.002106704507068271</v>
      </c>
      <c r="O29" s="84">
        <f t="shared" si="4"/>
        <v>0.002106704507068271</v>
      </c>
      <c r="P29" s="84">
        <f t="shared" si="5"/>
        <v>0</v>
      </c>
      <c r="Q29" s="81"/>
      <c r="R29" s="84"/>
      <c r="S29" s="81"/>
      <c r="T29" s="84"/>
      <c r="U29" s="81"/>
      <c r="V29" s="84"/>
      <c r="W29" s="81"/>
      <c r="X29" s="84"/>
      <c r="Y29" s="81"/>
      <c r="Z29" s="84"/>
      <c r="AA29" s="81"/>
      <c r="AB29" s="85"/>
      <c r="AC29" s="81"/>
      <c r="AD29" s="85"/>
      <c r="AE29" s="81"/>
      <c r="AF29" s="85"/>
      <c r="AG29" s="81"/>
      <c r="AH29" s="85"/>
      <c r="AI29" s="81"/>
      <c r="AJ29" s="85"/>
      <c r="AK29" s="81"/>
      <c r="AL29" s="85"/>
      <c r="AM29" s="81"/>
      <c r="AN29" s="85"/>
      <c r="AO29" s="81"/>
      <c r="AP29" s="85"/>
    </row>
    <row r="30" spans="1:42" s="80" customFormat="1" ht="12.75">
      <c r="A30" s="80" t="s">
        <v>194</v>
      </c>
      <c r="B30" s="80">
        <v>28</v>
      </c>
      <c r="C30" s="80" t="s">
        <v>263</v>
      </c>
      <c r="D30" s="83">
        <v>0</v>
      </c>
      <c r="E30" s="81"/>
      <c r="F30" s="84">
        <v>0.0037811251344780695</v>
      </c>
      <c r="G30" s="84">
        <f t="shared" si="0"/>
        <v>0.0037811251344780695</v>
      </c>
      <c r="H30" s="84">
        <f t="shared" si="1"/>
        <v>0</v>
      </c>
      <c r="I30" s="81"/>
      <c r="J30" s="84">
        <v>0.008057959041697463</v>
      </c>
      <c r="K30" s="84">
        <f t="shared" si="2"/>
        <v>0.008057959041697463</v>
      </c>
      <c r="L30" s="84">
        <f t="shared" si="3"/>
        <v>0</v>
      </c>
      <c r="M30" s="81"/>
      <c r="N30" s="84">
        <v>0.006383953051722033</v>
      </c>
      <c r="O30" s="84">
        <f t="shared" si="4"/>
        <v>0.006383953051722033</v>
      </c>
      <c r="P30" s="84">
        <f t="shared" si="5"/>
        <v>0</v>
      </c>
      <c r="Q30" s="81"/>
      <c r="R30" s="84"/>
      <c r="S30" s="81"/>
      <c r="T30" s="84"/>
      <c r="U30" s="81"/>
      <c r="V30" s="84"/>
      <c r="W30" s="81"/>
      <c r="X30" s="84"/>
      <c r="Y30" s="81"/>
      <c r="Z30" s="84"/>
      <c r="AA30" s="81"/>
      <c r="AB30" s="85"/>
      <c r="AC30" s="81"/>
      <c r="AD30" s="85"/>
      <c r="AE30" s="81"/>
      <c r="AF30" s="85"/>
      <c r="AG30" s="81"/>
      <c r="AH30" s="85"/>
      <c r="AI30" s="81"/>
      <c r="AJ30" s="85"/>
      <c r="AK30" s="81"/>
      <c r="AL30" s="85"/>
      <c r="AM30" s="81"/>
      <c r="AN30" s="85"/>
      <c r="AO30" s="81"/>
      <c r="AP30" s="85"/>
    </row>
    <row r="31" spans="1:42" s="80" customFormat="1" ht="12.75">
      <c r="A31" s="80" t="s">
        <v>194</v>
      </c>
      <c r="B31" s="80">
        <v>29</v>
      </c>
      <c r="C31" s="80" t="s">
        <v>264</v>
      </c>
      <c r="D31" s="83">
        <v>0.01</v>
      </c>
      <c r="E31" s="81">
        <v>1</v>
      </c>
      <c r="F31" s="84">
        <v>0.0035496276772651264</v>
      </c>
      <c r="G31" s="84">
        <f t="shared" si="0"/>
        <v>0.0017748138386325632</v>
      </c>
      <c r="H31" s="84">
        <f t="shared" si="1"/>
        <v>1.7748138386325633E-05</v>
      </c>
      <c r="I31" s="81"/>
      <c r="J31" s="84">
        <v>0.003178417177558444</v>
      </c>
      <c r="K31" s="84">
        <f t="shared" si="2"/>
        <v>0.003178417177558444</v>
      </c>
      <c r="L31" s="84">
        <f t="shared" si="3"/>
        <v>3.178417177558444E-05</v>
      </c>
      <c r="M31" s="81"/>
      <c r="N31" s="84">
        <v>0.0030962172300851866</v>
      </c>
      <c r="O31" s="84">
        <f t="shared" si="4"/>
        <v>0.0030962172300851866</v>
      </c>
      <c r="P31" s="84">
        <f t="shared" si="5"/>
        <v>3.096217230085187E-05</v>
      </c>
      <c r="Q31" s="81"/>
      <c r="R31" s="84"/>
      <c r="S31" s="81"/>
      <c r="T31" s="84"/>
      <c r="U31" s="81"/>
      <c r="V31" s="84"/>
      <c r="W31" s="81"/>
      <c r="X31" s="84"/>
      <c r="Y31" s="81"/>
      <c r="Z31" s="84"/>
      <c r="AA31" s="81"/>
      <c r="AB31" s="85"/>
      <c r="AC31" s="81"/>
      <c r="AD31" s="85"/>
      <c r="AE31" s="81"/>
      <c r="AF31" s="85"/>
      <c r="AG31" s="81"/>
      <c r="AH31" s="85"/>
      <c r="AI31" s="81"/>
      <c r="AJ31" s="85"/>
      <c r="AK31" s="81"/>
      <c r="AL31" s="85"/>
      <c r="AM31" s="81"/>
      <c r="AN31" s="85"/>
      <c r="AO31" s="81"/>
      <c r="AP31" s="85"/>
    </row>
    <row r="32" spans="1:42" s="80" customFormat="1" ht="12.75">
      <c r="A32" s="80" t="s">
        <v>194</v>
      </c>
      <c r="B32" s="80">
        <v>30</v>
      </c>
      <c r="C32" s="80" t="s">
        <v>265</v>
      </c>
      <c r="D32" s="83">
        <v>0.01</v>
      </c>
      <c r="E32" s="81">
        <v>1</v>
      </c>
      <c r="F32" s="84">
        <v>0.0030094669437682594</v>
      </c>
      <c r="G32" s="84">
        <f t="shared" si="0"/>
        <v>0.0015047334718841297</v>
      </c>
      <c r="H32" s="84">
        <f t="shared" si="1"/>
        <v>1.5047334718841298E-05</v>
      </c>
      <c r="I32" s="81">
        <v>1</v>
      </c>
      <c r="J32" s="84">
        <v>0.0018354240039422</v>
      </c>
      <c r="K32" s="84">
        <f t="shared" si="2"/>
        <v>0.0009177120019711</v>
      </c>
      <c r="L32" s="84">
        <f t="shared" si="3"/>
        <v>9.177120019711E-06</v>
      </c>
      <c r="M32" s="81">
        <v>1</v>
      </c>
      <c r="N32" s="84">
        <v>0.0014683092018960677</v>
      </c>
      <c r="O32" s="84">
        <f t="shared" si="4"/>
        <v>0.0007341546009480338</v>
      </c>
      <c r="P32" s="84">
        <f t="shared" si="5"/>
        <v>7.341546009480338E-06</v>
      </c>
      <c r="Q32" s="81"/>
      <c r="R32" s="84"/>
      <c r="S32" s="81"/>
      <c r="T32" s="84"/>
      <c r="U32" s="81"/>
      <c r="V32" s="84"/>
      <c r="W32" s="81"/>
      <c r="X32" s="84"/>
      <c r="Y32" s="81"/>
      <c r="Z32" s="84"/>
      <c r="AA32" s="81"/>
      <c r="AB32" s="85"/>
      <c r="AC32" s="81"/>
      <c r="AD32" s="85"/>
      <c r="AE32" s="81"/>
      <c r="AF32" s="85"/>
      <c r="AG32" s="81"/>
      <c r="AH32" s="85"/>
      <c r="AI32" s="81"/>
      <c r="AJ32" s="85"/>
      <c r="AK32" s="81"/>
      <c r="AL32" s="85"/>
      <c r="AM32" s="81"/>
      <c r="AN32" s="85"/>
      <c r="AO32" s="81"/>
      <c r="AP32" s="85"/>
    </row>
    <row r="33" spans="1:42" s="80" customFormat="1" ht="12.75">
      <c r="A33" s="80" t="s">
        <v>194</v>
      </c>
      <c r="B33" s="80">
        <v>31</v>
      </c>
      <c r="C33" s="80" t="s">
        <v>266</v>
      </c>
      <c r="D33" s="83">
        <v>0</v>
      </c>
      <c r="E33" s="81"/>
      <c r="F33" s="84"/>
      <c r="G33" s="84">
        <f t="shared" si="0"/>
        <v>0</v>
      </c>
      <c r="H33" s="84">
        <f t="shared" si="1"/>
        <v>0</v>
      </c>
      <c r="I33" s="81"/>
      <c r="J33" s="84">
        <v>-0.0018354240039422</v>
      </c>
      <c r="K33" s="84">
        <f t="shared" si="2"/>
        <v>-0.0018354240039422</v>
      </c>
      <c r="L33" s="84">
        <f t="shared" si="3"/>
        <v>0</v>
      </c>
      <c r="M33" s="81"/>
      <c r="N33" s="84">
        <v>-0.0014683092018960677</v>
      </c>
      <c r="O33" s="84">
        <f t="shared" si="4"/>
        <v>-0.0014683092018960677</v>
      </c>
      <c r="P33" s="84">
        <f t="shared" si="5"/>
        <v>0</v>
      </c>
      <c r="Q33" s="81"/>
      <c r="R33" s="84"/>
      <c r="S33" s="81"/>
      <c r="T33" s="84"/>
      <c r="U33" s="81"/>
      <c r="V33" s="84"/>
      <c r="W33" s="81"/>
      <c r="X33" s="84"/>
      <c r="Y33" s="81"/>
      <c r="Z33" s="84"/>
      <c r="AA33" s="81"/>
      <c r="AB33" s="85"/>
      <c r="AC33" s="81"/>
      <c r="AD33" s="85"/>
      <c r="AE33" s="81"/>
      <c r="AF33" s="85"/>
      <c r="AG33" s="81"/>
      <c r="AH33" s="85"/>
      <c r="AI33" s="81"/>
      <c r="AJ33" s="85"/>
      <c r="AK33" s="81"/>
      <c r="AL33" s="85"/>
      <c r="AM33" s="81"/>
      <c r="AN33" s="85"/>
      <c r="AO33" s="81"/>
      <c r="AP33" s="85"/>
    </row>
    <row r="34" spans="1:42" s="80" customFormat="1" ht="12.75">
      <c r="A34" s="80" t="s">
        <v>194</v>
      </c>
      <c r="B34" s="80">
        <v>32</v>
      </c>
      <c r="C34" s="80" t="s">
        <v>267</v>
      </c>
      <c r="D34" s="83">
        <v>0</v>
      </c>
      <c r="E34" s="81"/>
      <c r="F34" s="84"/>
      <c r="G34" s="84">
        <f t="shared" si="0"/>
        <v>0</v>
      </c>
      <c r="H34" s="84">
        <f t="shared" si="1"/>
        <v>0</v>
      </c>
      <c r="I34" s="81"/>
      <c r="J34" s="84">
        <v>0.003178417177558444</v>
      </c>
      <c r="K34" s="84">
        <f t="shared" si="2"/>
        <v>0.003178417177558444</v>
      </c>
      <c r="L34" s="84">
        <f t="shared" si="3"/>
        <v>0</v>
      </c>
      <c r="M34" s="81"/>
      <c r="N34" s="84">
        <v>0.0030962172300851866</v>
      </c>
      <c r="O34" s="84">
        <f t="shared" si="4"/>
        <v>0.0030962172300851866</v>
      </c>
      <c r="P34" s="84">
        <f t="shared" si="5"/>
        <v>0</v>
      </c>
      <c r="Q34" s="81"/>
      <c r="R34" s="84"/>
      <c r="S34" s="81"/>
      <c r="T34" s="84"/>
      <c r="U34" s="81"/>
      <c r="V34" s="84"/>
      <c r="W34" s="81"/>
      <c r="X34" s="84"/>
      <c r="Y34" s="81"/>
      <c r="Z34" s="84"/>
      <c r="AA34" s="81"/>
      <c r="AB34" s="85"/>
      <c r="AC34" s="81"/>
      <c r="AD34" s="85"/>
      <c r="AE34" s="81"/>
      <c r="AF34" s="85"/>
      <c r="AG34" s="81"/>
      <c r="AH34" s="85"/>
      <c r="AI34" s="81"/>
      <c r="AJ34" s="85"/>
      <c r="AK34" s="81"/>
      <c r="AL34" s="85"/>
      <c r="AM34" s="81"/>
      <c r="AN34" s="85"/>
      <c r="AO34" s="81"/>
      <c r="AP34" s="85"/>
    </row>
    <row r="35" spans="1:42" s="80" customFormat="1" ht="12.75">
      <c r="A35" s="80" t="s">
        <v>194</v>
      </c>
      <c r="B35" s="80">
        <v>33</v>
      </c>
      <c r="C35" s="80" t="s">
        <v>268</v>
      </c>
      <c r="D35" s="83">
        <v>0.001</v>
      </c>
      <c r="E35" s="81"/>
      <c r="F35" s="84">
        <v>0.004244120048903955</v>
      </c>
      <c r="G35" s="84">
        <f t="shared" si="0"/>
        <v>0.004244120048903955</v>
      </c>
      <c r="H35" s="84">
        <f t="shared" si="1"/>
        <v>4.244120048903955E-06</v>
      </c>
      <c r="I35" s="81"/>
      <c r="J35" s="84">
        <v>0.0030441178601968194</v>
      </c>
      <c r="K35" s="84">
        <f t="shared" si="2"/>
        <v>0.0030441178601968194</v>
      </c>
      <c r="L35" s="84">
        <f t="shared" si="3"/>
        <v>3.0441178601968193E-06</v>
      </c>
      <c r="M35" s="81"/>
      <c r="N35" s="84">
        <v>0.0019471056807752205</v>
      </c>
      <c r="O35" s="84">
        <f t="shared" si="4"/>
        <v>0.0019471056807752205</v>
      </c>
      <c r="P35" s="84">
        <f t="shared" si="5"/>
        <v>1.9471056807752205E-06</v>
      </c>
      <c r="Q35" s="81"/>
      <c r="R35" s="84"/>
      <c r="S35" s="81"/>
      <c r="T35" s="84"/>
      <c r="U35" s="81"/>
      <c r="V35" s="84"/>
      <c r="W35" s="81"/>
      <c r="X35" s="84"/>
      <c r="Y35" s="81"/>
      <c r="Z35" s="84"/>
      <c r="AA35" s="81"/>
      <c r="AB35" s="85"/>
      <c r="AC35" s="81"/>
      <c r="AD35" s="85"/>
      <c r="AE35" s="81"/>
      <c r="AF35" s="85"/>
      <c r="AG35" s="81"/>
      <c r="AH35" s="85"/>
      <c r="AI35" s="81"/>
      <c r="AJ35" s="85"/>
      <c r="AK35" s="81"/>
      <c r="AL35" s="85"/>
      <c r="AM35" s="81"/>
      <c r="AN35" s="85"/>
      <c r="AO35" s="81"/>
      <c r="AP35" s="85"/>
    </row>
    <row r="36" spans="1:42" s="80" customFormat="1" ht="12.75">
      <c r="A36" s="80" t="s">
        <v>194</v>
      </c>
      <c r="B36" s="80">
        <v>34</v>
      </c>
      <c r="C36" s="80" t="s">
        <v>269</v>
      </c>
      <c r="D36" s="83"/>
      <c r="E36" s="81"/>
      <c r="F36" s="84">
        <v>0.117755039902317</v>
      </c>
      <c r="G36" s="84">
        <f>SUM(G35,G34,G30,G24,G20,G17,G16,G13,G7)</f>
        <v>0.11775503990231703</v>
      </c>
      <c r="H36" s="84"/>
      <c r="I36" s="81"/>
      <c r="J36" s="84">
        <v>0.26054067568155137</v>
      </c>
      <c r="K36" s="84">
        <f>SUM(K35,K34,K30,K24,K20,K17,K16,K13,K7)</f>
        <v>0.2605406756815515</v>
      </c>
      <c r="L36" s="84"/>
      <c r="M36" s="81"/>
      <c r="N36" s="84">
        <v>0.16847252103494445</v>
      </c>
      <c r="O36" s="84">
        <f>SUM(O35,O34,O30,O24,O20,O17,O16,O13,O7)</f>
        <v>0.16847252103494445</v>
      </c>
      <c r="P36" s="84"/>
      <c r="Q36" s="81"/>
      <c r="R36" s="84"/>
      <c r="S36" s="81"/>
      <c r="T36" s="84"/>
      <c r="U36" s="81"/>
      <c r="V36" s="84"/>
      <c r="W36" s="81"/>
      <c r="X36" s="84"/>
      <c r="Y36" s="81"/>
      <c r="Z36" s="84"/>
      <c r="AA36" s="81"/>
      <c r="AB36" s="85"/>
      <c r="AC36" s="81"/>
      <c r="AD36" s="85"/>
      <c r="AE36" s="81"/>
      <c r="AF36" s="85"/>
      <c r="AG36" s="81"/>
      <c r="AH36" s="85"/>
      <c r="AI36" s="81"/>
      <c r="AJ36" s="85"/>
      <c r="AK36" s="81"/>
      <c r="AL36" s="85"/>
      <c r="AM36" s="81"/>
      <c r="AN36" s="85"/>
      <c r="AO36" s="81"/>
      <c r="AP36" s="85"/>
    </row>
    <row r="37" spans="1:42" s="80" customFormat="1" ht="12.75">
      <c r="A37" s="80" t="s">
        <v>194</v>
      </c>
      <c r="B37" s="80">
        <v>35</v>
      </c>
      <c r="C37" s="80" t="s">
        <v>26</v>
      </c>
      <c r="D37" s="83"/>
      <c r="E37" s="103">
        <f>(F37-H37)*2/F37*100</f>
        <v>97.6011364737029</v>
      </c>
      <c r="F37" s="84">
        <v>0.011950284570427475</v>
      </c>
      <c r="G37" s="84"/>
      <c r="H37" s="84">
        <f>SUM(H5:H35)</f>
        <v>0.006118477794138085</v>
      </c>
      <c r="I37" s="103">
        <f>(J37-L37)*2/J37*100</f>
        <v>90.37772321932448</v>
      </c>
      <c r="J37" s="84">
        <v>0.012690748293404</v>
      </c>
      <c r="K37" s="84"/>
      <c r="L37" s="84">
        <f>SUM(L5:L35)</f>
        <v>0.006955943609867094</v>
      </c>
      <c r="M37" s="103">
        <f>(N37-P37)*2/N37*100</f>
        <v>94.45785354192256</v>
      </c>
      <c r="N37" s="84">
        <v>0.00969374543115258</v>
      </c>
      <c r="O37" s="84"/>
      <c r="P37" s="84">
        <f>SUM(P5:P35)</f>
        <v>0.005115493500110124</v>
      </c>
      <c r="Q37" s="81"/>
      <c r="R37" s="84"/>
      <c r="S37" s="81"/>
      <c r="T37" s="84"/>
      <c r="U37" s="81"/>
      <c r="V37" s="84"/>
      <c r="W37" s="81"/>
      <c r="X37" s="84"/>
      <c r="Y37" s="81"/>
      <c r="Z37" s="84"/>
      <c r="AA37" s="81"/>
      <c r="AB37" s="85"/>
      <c r="AC37" s="81"/>
      <c r="AD37" s="85"/>
      <c r="AE37" s="81"/>
      <c r="AF37" s="85"/>
      <c r="AG37" s="81"/>
      <c r="AH37" s="85"/>
      <c r="AI37" s="81"/>
      <c r="AJ37" s="85"/>
      <c r="AK37" s="81"/>
      <c r="AL37" s="85"/>
      <c r="AM37" s="81"/>
      <c r="AN37" s="85"/>
      <c r="AO37" s="81"/>
      <c r="AP37" s="85"/>
    </row>
    <row r="38" ht="12.75">
      <c r="D38" s="83"/>
    </row>
    <row r="39" ht="12.75">
      <c r="D39" s="83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P37"/>
  <sheetViews>
    <sheetView workbookViewId="0" topLeftCell="C9">
      <selection activeCell="B35" sqref="B35"/>
    </sheetView>
  </sheetViews>
  <sheetFormatPr defaultColWidth="9.140625" defaultRowHeight="12.75"/>
  <cols>
    <col min="1" max="1" width="9.140625" style="0" hidden="1" customWidth="1"/>
    <col min="2" max="2" width="0" style="0" hidden="1" customWidth="1"/>
    <col min="3" max="3" width="17.8515625" style="0" customWidth="1"/>
    <col min="4" max="4" width="7.00390625" style="82" customWidth="1"/>
    <col min="5" max="5" width="4.57421875" style="0" bestFit="1" customWidth="1"/>
    <col min="7" max="7" width="7.7109375" style="61" customWidth="1"/>
    <col min="8" max="8" width="8.28125" style="61" customWidth="1"/>
    <col min="9" max="9" width="4.57421875" style="0" bestFit="1" customWidth="1"/>
    <col min="11" max="11" width="7.7109375" style="61" customWidth="1"/>
    <col min="12" max="12" width="8.28125" style="61" customWidth="1"/>
    <col min="13" max="13" width="4.57421875" style="0" bestFit="1" customWidth="1"/>
    <col min="15" max="15" width="7.7109375" style="61" customWidth="1"/>
    <col min="16" max="16" width="8.28125" style="61" customWidth="1"/>
  </cols>
  <sheetData>
    <row r="1" ht="12.75">
      <c r="C1" s="3" t="s">
        <v>196</v>
      </c>
    </row>
    <row r="2" spans="6:16" ht="12.75">
      <c r="F2" s="107" t="s">
        <v>161</v>
      </c>
      <c r="G2" s="108"/>
      <c r="H2" s="108"/>
      <c r="J2" s="107" t="s">
        <v>120</v>
      </c>
      <c r="K2" s="108"/>
      <c r="L2" s="108"/>
      <c r="N2" s="107" t="s">
        <v>162</v>
      </c>
      <c r="O2" s="108"/>
      <c r="P2" s="108"/>
    </row>
    <row r="3" spans="3:16" ht="12.75">
      <c r="C3" t="s">
        <v>63</v>
      </c>
      <c r="D3" s="82" t="s">
        <v>22</v>
      </c>
      <c r="F3" s="46" t="s">
        <v>24</v>
      </c>
      <c r="G3" s="109" t="s">
        <v>24</v>
      </c>
      <c r="H3" s="109" t="s">
        <v>26</v>
      </c>
      <c r="I3" s="46"/>
      <c r="J3" s="46" t="s">
        <v>24</v>
      </c>
      <c r="K3" s="109" t="s">
        <v>24</v>
      </c>
      <c r="L3" s="109" t="s">
        <v>26</v>
      </c>
      <c r="M3" s="46"/>
      <c r="N3" s="46" t="s">
        <v>24</v>
      </c>
      <c r="O3" s="109" t="s">
        <v>24</v>
      </c>
      <c r="P3" s="109" t="s">
        <v>26</v>
      </c>
    </row>
    <row r="4" spans="4:16" ht="12.75">
      <c r="D4" s="82" t="s">
        <v>234</v>
      </c>
      <c r="F4" s="46" t="s">
        <v>235</v>
      </c>
      <c r="G4" s="109" t="s">
        <v>66</v>
      </c>
      <c r="H4" s="109" t="s">
        <v>66</v>
      </c>
      <c r="I4" s="46"/>
      <c r="J4" s="46" t="s">
        <v>235</v>
      </c>
      <c r="K4" s="109" t="s">
        <v>66</v>
      </c>
      <c r="L4" s="109" t="s">
        <v>66</v>
      </c>
      <c r="M4" s="46"/>
      <c r="N4" s="46" t="s">
        <v>235</v>
      </c>
      <c r="O4" s="109" t="s">
        <v>66</v>
      </c>
      <c r="P4" s="109" t="s">
        <v>66</v>
      </c>
    </row>
    <row r="5" spans="1:42" s="80" customFormat="1" ht="12.75">
      <c r="A5" s="80" t="s">
        <v>196</v>
      </c>
      <c r="B5" s="80">
        <v>1</v>
      </c>
      <c r="C5" s="80" t="s">
        <v>236</v>
      </c>
      <c r="D5" s="83">
        <v>1</v>
      </c>
      <c r="E5" s="81"/>
      <c r="F5" s="84">
        <v>0.0004505817550468047</v>
      </c>
      <c r="G5" s="84">
        <f>IF(E5=1,F5/2,F5)</f>
        <v>0.0004505817550468047</v>
      </c>
      <c r="H5" s="84">
        <f>G5*$D5</f>
        <v>0.0004505817550468047</v>
      </c>
      <c r="I5" s="81"/>
      <c r="J5" s="84">
        <v>0.019540020685638548</v>
      </c>
      <c r="K5" s="84">
        <f>IF(I5=1,J5/2,J5)</f>
        <v>0.019540020685638548</v>
      </c>
      <c r="L5" s="84">
        <f>K5*$D5</f>
        <v>0.019540020685638548</v>
      </c>
      <c r="M5" s="81"/>
      <c r="N5" s="84">
        <v>0.018459584640669352</v>
      </c>
      <c r="O5" s="84">
        <f>IF(M5=1,N5/2,N5)</f>
        <v>0.018459584640669352</v>
      </c>
      <c r="P5" s="84">
        <f>O5*$D5</f>
        <v>0.018459584640669352</v>
      </c>
      <c r="Q5" s="81"/>
      <c r="R5" s="84"/>
      <c r="S5" s="81"/>
      <c r="T5" s="84"/>
      <c r="U5" s="81"/>
      <c r="V5" s="84"/>
      <c r="W5" s="81"/>
      <c r="X5" s="84"/>
      <c r="Y5" s="81"/>
      <c r="Z5" s="84"/>
      <c r="AA5" s="81"/>
      <c r="AB5" s="85"/>
      <c r="AC5" s="81"/>
      <c r="AD5" s="85"/>
      <c r="AE5" s="81"/>
      <c r="AF5" s="85"/>
      <c r="AG5" s="81"/>
      <c r="AH5" s="85"/>
      <c r="AI5" s="81"/>
      <c r="AJ5" s="85"/>
      <c r="AK5" s="81"/>
      <c r="AL5" s="85"/>
      <c r="AM5" s="81"/>
      <c r="AN5" s="85"/>
      <c r="AO5" s="81"/>
      <c r="AP5" s="85"/>
    </row>
    <row r="6" spans="1:42" s="80" customFormat="1" ht="12.75">
      <c r="A6" s="80" t="s">
        <v>196</v>
      </c>
      <c r="B6" s="80">
        <v>2</v>
      </c>
      <c r="C6" s="80" t="s">
        <v>237</v>
      </c>
      <c r="D6" s="83">
        <v>0</v>
      </c>
      <c r="E6" s="81"/>
      <c r="F6" s="84">
        <v>2.3168270156285207</v>
      </c>
      <c r="G6" s="84">
        <f aca="true" t="shared" si="0" ref="G6:G35">IF(E6=1,F6/2,F6)</f>
        <v>2.3168270156285207</v>
      </c>
      <c r="H6" s="84">
        <f aca="true" t="shared" si="1" ref="H6:H35">G6*$D6</f>
        <v>0</v>
      </c>
      <c r="I6" s="81"/>
      <c r="J6" s="84">
        <v>6.689200414716929</v>
      </c>
      <c r="K6" s="84">
        <f aca="true" t="shared" si="2" ref="K6:K35">IF(I6=1,J6/2,J6)</f>
        <v>6.689200414716929</v>
      </c>
      <c r="L6" s="84">
        <f aca="true" t="shared" si="3" ref="L6:L35">K6*$D6</f>
        <v>0</v>
      </c>
      <c r="M6" s="81">
        <v>1</v>
      </c>
      <c r="N6" s="84">
        <v>2.941551005108767</v>
      </c>
      <c r="O6" s="84">
        <f aca="true" t="shared" si="4" ref="O6:O35">IF(M6=1,N6/2,N6)</f>
        <v>1.4707755025543836</v>
      </c>
      <c r="P6" s="84">
        <f aca="true" t="shared" si="5" ref="P6:P35">O6*$D6</f>
        <v>0</v>
      </c>
      <c r="Q6" s="81"/>
      <c r="R6" s="84"/>
      <c r="S6" s="81"/>
      <c r="T6" s="84"/>
      <c r="U6" s="81"/>
      <c r="V6" s="84"/>
      <c r="W6" s="81"/>
      <c r="X6" s="84"/>
      <c r="Y6" s="81"/>
      <c r="Z6" s="84"/>
      <c r="AA6" s="81"/>
      <c r="AB6" s="85"/>
      <c r="AC6" s="81"/>
      <c r="AD6" s="85"/>
      <c r="AE6" s="81"/>
      <c r="AF6" s="85"/>
      <c r="AG6" s="81"/>
      <c r="AH6" s="85"/>
      <c r="AI6" s="81"/>
      <c r="AJ6" s="85"/>
      <c r="AK6" s="81"/>
      <c r="AL6" s="85"/>
      <c r="AM6" s="81"/>
      <c r="AN6" s="85"/>
      <c r="AO6" s="81"/>
      <c r="AP6" s="85"/>
    </row>
    <row r="7" spans="1:42" s="80" customFormat="1" ht="12.75">
      <c r="A7" s="80" t="s">
        <v>196</v>
      </c>
      <c r="B7" s="80">
        <v>3</v>
      </c>
      <c r="C7" s="80" t="s">
        <v>238</v>
      </c>
      <c r="D7" s="83">
        <v>0</v>
      </c>
      <c r="E7" s="81"/>
      <c r="F7" s="84">
        <v>2.3172775973835673</v>
      </c>
      <c r="G7" s="84">
        <f t="shared" si="0"/>
        <v>2.3172775973835673</v>
      </c>
      <c r="H7" s="84">
        <f t="shared" si="1"/>
        <v>0</v>
      </c>
      <c r="I7" s="81"/>
      <c r="J7" s="84">
        <v>6.708740435402567</v>
      </c>
      <c r="K7" s="84">
        <f t="shared" si="2"/>
        <v>6.708740435402567</v>
      </c>
      <c r="L7" s="84">
        <f t="shared" si="3"/>
        <v>0</v>
      </c>
      <c r="M7" s="81"/>
      <c r="N7" s="84">
        <v>2.9600105897494364</v>
      </c>
      <c r="O7" s="84">
        <f t="shared" si="4"/>
        <v>2.9600105897494364</v>
      </c>
      <c r="P7" s="84">
        <f t="shared" si="5"/>
        <v>0</v>
      </c>
      <c r="Q7" s="81"/>
      <c r="R7" s="84"/>
      <c r="S7" s="81"/>
      <c r="T7" s="84"/>
      <c r="U7" s="81"/>
      <c r="V7" s="84"/>
      <c r="W7" s="81"/>
      <c r="X7" s="84"/>
      <c r="Y7" s="81"/>
      <c r="Z7" s="84"/>
      <c r="AA7" s="81"/>
      <c r="AB7" s="85"/>
      <c r="AC7" s="81"/>
      <c r="AD7" s="85"/>
      <c r="AE7" s="81"/>
      <c r="AF7" s="85"/>
      <c r="AG7" s="81"/>
      <c r="AH7" s="85"/>
      <c r="AI7" s="81"/>
      <c r="AJ7" s="85"/>
      <c r="AK7" s="81"/>
      <c r="AL7" s="85"/>
      <c r="AM7" s="81"/>
      <c r="AN7" s="85"/>
      <c r="AO7" s="81"/>
      <c r="AP7" s="85"/>
    </row>
    <row r="8" spans="1:42" s="80" customFormat="1" ht="12.75">
      <c r="A8" s="80" t="s">
        <v>196</v>
      </c>
      <c r="B8" s="80">
        <v>4</v>
      </c>
      <c r="C8" s="80" t="s">
        <v>239</v>
      </c>
      <c r="D8" s="83">
        <v>0.5</v>
      </c>
      <c r="E8" s="81">
        <v>1</v>
      </c>
      <c r="F8" s="84">
        <v>0.0050529525387391664</v>
      </c>
      <c r="G8" s="84">
        <f t="shared" si="0"/>
        <v>0.0025264762693695832</v>
      </c>
      <c r="H8" s="84">
        <f t="shared" si="1"/>
        <v>0.0012632381346847916</v>
      </c>
      <c r="I8" s="81"/>
      <c r="J8" s="84">
        <v>0.008994612696563776</v>
      </c>
      <c r="K8" s="84">
        <f t="shared" si="2"/>
        <v>0.008994612696563776</v>
      </c>
      <c r="L8" s="84">
        <f t="shared" si="3"/>
        <v>0.004497306348281888</v>
      </c>
      <c r="M8" s="81">
        <v>1</v>
      </c>
      <c r="N8" s="84">
        <v>0.007545760037326244</v>
      </c>
      <c r="O8" s="84">
        <f t="shared" si="4"/>
        <v>0.003772880018663122</v>
      </c>
      <c r="P8" s="84">
        <f t="shared" si="5"/>
        <v>0.001886440009331561</v>
      </c>
      <c r="Q8" s="81"/>
      <c r="R8" s="84"/>
      <c r="S8" s="81"/>
      <c r="T8" s="84"/>
      <c r="U8" s="81"/>
      <c r="V8" s="84"/>
      <c r="W8" s="81"/>
      <c r="X8" s="84"/>
      <c r="Y8" s="81"/>
      <c r="Z8" s="84"/>
      <c r="AA8" s="81"/>
      <c r="AB8" s="85"/>
      <c r="AC8" s="81"/>
      <c r="AD8" s="85"/>
      <c r="AE8" s="81"/>
      <c r="AF8" s="85"/>
      <c r="AG8" s="81"/>
      <c r="AH8" s="85"/>
      <c r="AI8" s="81"/>
      <c r="AJ8" s="85"/>
      <c r="AK8" s="81"/>
      <c r="AL8" s="85"/>
      <c r="AM8" s="81"/>
      <c r="AN8" s="85"/>
      <c r="AO8" s="81"/>
      <c r="AP8" s="85"/>
    </row>
    <row r="9" spans="1:42" s="80" customFormat="1" ht="12.75">
      <c r="A9" s="80" t="s">
        <v>196</v>
      </c>
      <c r="B9" s="80">
        <v>5</v>
      </c>
      <c r="C9" s="80" t="s">
        <v>240</v>
      </c>
      <c r="D9" s="83">
        <v>0</v>
      </c>
      <c r="E9" s="81"/>
      <c r="F9" s="84">
        <v>0.05287898739585</v>
      </c>
      <c r="G9" s="84">
        <f t="shared" si="0"/>
        <v>0.05287898739585</v>
      </c>
      <c r="H9" s="84">
        <f t="shared" si="1"/>
        <v>0</v>
      </c>
      <c r="I9" s="81"/>
      <c r="J9" s="84">
        <v>0.36319625750607515</v>
      </c>
      <c r="K9" s="84">
        <f t="shared" si="2"/>
        <v>0.36319625750607515</v>
      </c>
      <c r="L9" s="84">
        <f t="shared" si="3"/>
        <v>0</v>
      </c>
      <c r="M9" s="81"/>
      <c r="N9" s="84">
        <v>0.08637142497660555</v>
      </c>
      <c r="O9" s="84">
        <f t="shared" si="4"/>
        <v>0.08637142497660555</v>
      </c>
      <c r="P9" s="84">
        <f t="shared" si="5"/>
        <v>0</v>
      </c>
      <c r="Q9" s="81"/>
      <c r="R9" s="84"/>
      <c r="S9" s="81"/>
      <c r="T9" s="84"/>
      <c r="U9" s="81"/>
      <c r="V9" s="84"/>
      <c r="W9" s="81"/>
      <c r="X9" s="84"/>
      <c r="Y9" s="81"/>
      <c r="Z9" s="84"/>
      <c r="AA9" s="81"/>
      <c r="AB9" s="85"/>
      <c r="AC9" s="81"/>
      <c r="AD9" s="85"/>
      <c r="AE9" s="81"/>
      <c r="AF9" s="85"/>
      <c r="AG9" s="81"/>
      <c r="AH9" s="85"/>
      <c r="AI9" s="81"/>
      <c r="AJ9" s="85"/>
      <c r="AK9" s="81"/>
      <c r="AL9" s="85"/>
      <c r="AM9" s="81"/>
      <c r="AN9" s="85"/>
      <c r="AO9" s="81"/>
      <c r="AP9" s="85"/>
    </row>
    <row r="10" spans="1:42" s="80" customFormat="1" ht="12.75">
      <c r="A10" s="80" t="s">
        <v>196</v>
      </c>
      <c r="B10" s="80">
        <v>6</v>
      </c>
      <c r="C10" s="80" t="s">
        <v>241</v>
      </c>
      <c r="D10" s="83">
        <v>0</v>
      </c>
      <c r="E10" s="81"/>
      <c r="F10" s="84">
        <v>0.05793193993458917</v>
      </c>
      <c r="G10" s="84">
        <f t="shared" si="0"/>
        <v>0.05793193993458917</v>
      </c>
      <c r="H10" s="84">
        <f t="shared" si="1"/>
        <v>0</v>
      </c>
      <c r="I10" s="81"/>
      <c r="J10" s="84">
        <v>0.3721908702026389</v>
      </c>
      <c r="K10" s="84">
        <f t="shared" si="2"/>
        <v>0.3721908702026389</v>
      </c>
      <c r="L10" s="84">
        <f t="shared" si="3"/>
        <v>0</v>
      </c>
      <c r="M10" s="81"/>
      <c r="N10" s="84">
        <v>0.09391718501393179</v>
      </c>
      <c r="O10" s="84">
        <f t="shared" si="4"/>
        <v>0.09391718501393179</v>
      </c>
      <c r="P10" s="84">
        <f t="shared" si="5"/>
        <v>0</v>
      </c>
      <c r="Q10" s="81"/>
      <c r="R10" s="84"/>
      <c r="S10" s="81"/>
      <c r="T10" s="84"/>
      <c r="U10" s="81"/>
      <c r="V10" s="84"/>
      <c r="W10" s="81"/>
      <c r="X10" s="84"/>
      <c r="Y10" s="81"/>
      <c r="Z10" s="84"/>
      <c r="AA10" s="81"/>
      <c r="AB10" s="85"/>
      <c r="AC10" s="81"/>
      <c r="AD10" s="85"/>
      <c r="AE10" s="81"/>
      <c r="AF10" s="85"/>
      <c r="AG10" s="81"/>
      <c r="AH10" s="85"/>
      <c r="AI10" s="81"/>
      <c r="AJ10" s="85"/>
      <c r="AK10" s="81"/>
      <c r="AL10" s="85"/>
      <c r="AM10" s="81"/>
      <c r="AN10" s="85"/>
      <c r="AO10" s="81"/>
      <c r="AP10" s="85"/>
    </row>
    <row r="11" spans="1:42" s="80" customFormat="1" ht="12.75">
      <c r="A11" s="80" t="s">
        <v>196</v>
      </c>
      <c r="B11" s="80">
        <v>7</v>
      </c>
      <c r="C11" s="80" t="s">
        <v>242</v>
      </c>
      <c r="D11" s="83">
        <v>0.1</v>
      </c>
      <c r="E11" s="81">
        <v>1</v>
      </c>
      <c r="F11" s="84">
        <v>0.006211591337430951</v>
      </c>
      <c r="G11" s="84">
        <f t="shared" si="0"/>
        <v>0.0031057956687154755</v>
      </c>
      <c r="H11" s="84">
        <f t="shared" si="1"/>
        <v>0.0003105795668715476</v>
      </c>
      <c r="I11" s="81">
        <v>1</v>
      </c>
      <c r="J11" s="84">
        <v>0.0062341970758942</v>
      </c>
      <c r="K11" s="84">
        <f t="shared" si="2"/>
        <v>0.0031170985379471</v>
      </c>
      <c r="L11" s="84">
        <f t="shared" si="3"/>
        <v>0.00031170985379471003</v>
      </c>
      <c r="M11" s="81">
        <v>1</v>
      </c>
      <c r="N11" s="84">
        <v>0.005829342518106111</v>
      </c>
      <c r="O11" s="84">
        <f t="shared" si="4"/>
        <v>0.0029146712590530557</v>
      </c>
      <c r="P11" s="84">
        <f t="shared" si="5"/>
        <v>0.00029146712590530556</v>
      </c>
      <c r="Q11" s="81"/>
      <c r="R11" s="84"/>
      <c r="S11" s="81"/>
      <c r="T11" s="84"/>
      <c r="U11" s="81"/>
      <c r="V11" s="84"/>
      <c r="W11" s="81"/>
      <c r="X11" s="84"/>
      <c r="Y11" s="81"/>
      <c r="Z11" s="84"/>
      <c r="AA11" s="81"/>
      <c r="AB11" s="85"/>
      <c r="AC11" s="81"/>
      <c r="AD11" s="85"/>
      <c r="AE11" s="81"/>
      <c r="AF11" s="85"/>
      <c r="AG11" s="81"/>
      <c r="AH11" s="85"/>
      <c r="AI11" s="81"/>
      <c r="AJ11" s="85"/>
      <c r="AK11" s="81"/>
      <c r="AL11" s="85"/>
      <c r="AM11" s="81"/>
      <c r="AN11" s="85"/>
      <c r="AO11" s="81"/>
      <c r="AP11" s="85"/>
    </row>
    <row r="12" spans="1:42" s="80" customFormat="1" ht="12.75">
      <c r="A12" s="80" t="s">
        <v>196</v>
      </c>
      <c r="B12" s="80">
        <v>8</v>
      </c>
      <c r="C12" s="80" t="s">
        <v>243</v>
      </c>
      <c r="D12" s="83">
        <v>0.1</v>
      </c>
      <c r="E12" s="81">
        <v>1</v>
      </c>
      <c r="F12" s="84">
        <v>0.0054713498827112</v>
      </c>
      <c r="G12" s="84">
        <f t="shared" si="0"/>
        <v>0.0027356749413556</v>
      </c>
      <c r="H12" s="84">
        <f t="shared" si="1"/>
        <v>0.00027356749413556</v>
      </c>
      <c r="I12" s="81">
        <v>1</v>
      </c>
      <c r="J12" s="84">
        <v>0.0066994356636475</v>
      </c>
      <c r="K12" s="84">
        <f t="shared" si="2"/>
        <v>0.00334971783182375</v>
      </c>
      <c r="L12" s="84">
        <f t="shared" si="3"/>
        <v>0.000334971783182375</v>
      </c>
      <c r="M12" s="81">
        <v>1</v>
      </c>
      <c r="N12" s="84">
        <v>0.006444662006128424</v>
      </c>
      <c r="O12" s="84">
        <f t="shared" si="4"/>
        <v>0.003222331003064212</v>
      </c>
      <c r="P12" s="84">
        <f t="shared" si="5"/>
        <v>0.0003222331003064212</v>
      </c>
      <c r="Q12" s="81"/>
      <c r="R12" s="84"/>
      <c r="S12" s="81"/>
      <c r="T12" s="84"/>
      <c r="U12" s="81"/>
      <c r="V12" s="84"/>
      <c r="W12" s="81"/>
      <c r="X12" s="84"/>
      <c r="Y12" s="81"/>
      <c r="Z12" s="84"/>
      <c r="AA12" s="81"/>
      <c r="AB12" s="85"/>
      <c r="AC12" s="81"/>
      <c r="AD12" s="85"/>
      <c r="AE12" s="81"/>
      <c r="AF12" s="85"/>
      <c r="AG12" s="81"/>
      <c r="AH12" s="85"/>
      <c r="AI12" s="81"/>
      <c r="AJ12" s="85"/>
      <c r="AK12" s="81"/>
      <c r="AL12" s="85"/>
      <c r="AM12" s="81"/>
      <c r="AN12" s="85"/>
      <c r="AO12" s="81"/>
      <c r="AP12" s="85"/>
    </row>
    <row r="13" spans="1:42" s="80" customFormat="1" ht="12.75">
      <c r="A13" s="80" t="s">
        <v>196</v>
      </c>
      <c r="B13" s="80">
        <v>9</v>
      </c>
      <c r="C13" s="80" t="s">
        <v>244</v>
      </c>
      <c r="D13" s="83">
        <v>0.1</v>
      </c>
      <c r="E13" s="81">
        <v>1</v>
      </c>
      <c r="F13" s="84">
        <v>0.004473633139393275</v>
      </c>
      <c r="G13" s="84">
        <f t="shared" si="0"/>
        <v>0.0022368165696966375</v>
      </c>
      <c r="H13" s="84">
        <f t="shared" si="1"/>
        <v>0.00022368165696966377</v>
      </c>
      <c r="I13" s="81">
        <v>1</v>
      </c>
      <c r="J13" s="84">
        <v>0.005893022111541784</v>
      </c>
      <c r="K13" s="84">
        <f t="shared" si="2"/>
        <v>0.002946511055770892</v>
      </c>
      <c r="L13" s="84">
        <f t="shared" si="3"/>
        <v>0.0002946511055770892</v>
      </c>
      <c r="M13" s="81">
        <v>1</v>
      </c>
      <c r="N13" s="84">
        <v>0.0065418177147635245</v>
      </c>
      <c r="O13" s="84">
        <f t="shared" si="4"/>
        <v>0.0032709088573817623</v>
      </c>
      <c r="P13" s="84">
        <f t="shared" si="5"/>
        <v>0.00032709088573817626</v>
      </c>
      <c r="Q13" s="81"/>
      <c r="R13" s="84"/>
      <c r="S13" s="81"/>
      <c r="T13" s="84"/>
      <c r="U13" s="81"/>
      <c r="V13" s="84"/>
      <c r="W13" s="81"/>
      <c r="X13" s="84"/>
      <c r="Y13" s="81"/>
      <c r="Z13" s="84"/>
      <c r="AA13" s="81"/>
      <c r="AB13" s="85"/>
      <c r="AC13" s="81"/>
      <c r="AD13" s="85"/>
      <c r="AE13" s="81"/>
      <c r="AF13" s="85"/>
      <c r="AG13" s="81"/>
      <c r="AH13" s="85"/>
      <c r="AI13" s="81"/>
      <c r="AJ13" s="85"/>
      <c r="AK13" s="81"/>
      <c r="AL13" s="85"/>
      <c r="AM13" s="81"/>
      <c r="AN13" s="85"/>
      <c r="AO13" s="81"/>
      <c r="AP13" s="85"/>
    </row>
    <row r="14" spans="1:42" s="80" customFormat="1" ht="12.75">
      <c r="A14" s="80" t="s">
        <v>196</v>
      </c>
      <c r="B14" s="80">
        <v>12</v>
      </c>
      <c r="C14" s="80" t="s">
        <v>247</v>
      </c>
      <c r="D14" s="83">
        <v>0.01</v>
      </c>
      <c r="E14" s="81"/>
      <c r="F14" s="84">
        <v>0.01126454387617012</v>
      </c>
      <c r="G14" s="84">
        <f t="shared" si="0"/>
        <v>0.01126454387617012</v>
      </c>
      <c r="H14" s="84">
        <f t="shared" si="1"/>
        <v>0.0001126454387617012</v>
      </c>
      <c r="I14" s="81"/>
      <c r="J14" s="84">
        <v>0.07071626533850141</v>
      </c>
      <c r="K14" s="84">
        <f t="shared" si="2"/>
        <v>0.07071626533850141</v>
      </c>
      <c r="L14" s="84">
        <f t="shared" si="3"/>
        <v>0.0007071626533850141</v>
      </c>
      <c r="M14" s="81">
        <v>1</v>
      </c>
      <c r="N14" s="84">
        <v>0.008776399013370868</v>
      </c>
      <c r="O14" s="84">
        <f t="shared" si="4"/>
        <v>0.004388199506685434</v>
      </c>
      <c r="P14" s="84">
        <f t="shared" si="5"/>
        <v>4.3881995066854336E-05</v>
      </c>
      <c r="Q14" s="81"/>
      <c r="R14" s="84"/>
      <c r="S14" s="81"/>
      <c r="T14" s="84"/>
      <c r="U14" s="81"/>
      <c r="V14" s="84"/>
      <c r="W14" s="81"/>
      <c r="X14" s="84"/>
      <c r="Y14" s="81"/>
      <c r="Z14" s="84"/>
      <c r="AA14" s="81"/>
      <c r="AB14" s="85"/>
      <c r="AC14" s="81"/>
      <c r="AD14" s="85"/>
      <c r="AE14" s="81"/>
      <c r="AF14" s="85"/>
      <c r="AG14" s="81"/>
      <c r="AH14" s="85"/>
      <c r="AI14" s="81"/>
      <c r="AJ14" s="85"/>
      <c r="AK14" s="81"/>
      <c r="AL14" s="85"/>
      <c r="AM14" s="81"/>
      <c r="AN14" s="85"/>
      <c r="AO14" s="81"/>
      <c r="AP14" s="85"/>
    </row>
    <row r="15" spans="1:42" s="80" customFormat="1" ht="12.75">
      <c r="A15" s="80" t="s">
        <v>196</v>
      </c>
      <c r="B15" s="80">
        <v>13</v>
      </c>
      <c r="C15" s="80" t="s">
        <v>248</v>
      </c>
      <c r="D15" s="83">
        <v>0</v>
      </c>
      <c r="E15" s="81"/>
      <c r="F15" s="84"/>
      <c r="G15" s="84">
        <f t="shared" si="0"/>
        <v>0</v>
      </c>
      <c r="H15" s="84">
        <f t="shared" si="1"/>
        <v>0</v>
      </c>
      <c r="I15" s="81"/>
      <c r="J15" s="84">
        <v>0.04776449500933866</v>
      </c>
      <c r="K15" s="84">
        <f t="shared" si="2"/>
        <v>0.04776449500933866</v>
      </c>
      <c r="L15" s="84">
        <f t="shared" si="3"/>
        <v>0</v>
      </c>
      <c r="M15" s="81"/>
      <c r="N15" s="84"/>
      <c r="O15" s="84">
        <f t="shared" si="4"/>
        <v>0</v>
      </c>
      <c r="P15" s="84">
        <f t="shared" si="5"/>
        <v>0</v>
      </c>
      <c r="Q15" s="81"/>
      <c r="R15" s="84"/>
      <c r="S15" s="81"/>
      <c r="T15" s="84"/>
      <c r="U15" s="81"/>
      <c r="V15" s="84"/>
      <c r="W15" s="81"/>
      <c r="X15" s="84"/>
      <c r="Y15" s="81"/>
      <c r="Z15" s="84"/>
      <c r="AA15" s="81"/>
      <c r="AB15" s="85"/>
      <c r="AC15" s="81"/>
      <c r="AD15" s="85"/>
      <c r="AE15" s="81"/>
      <c r="AF15" s="85"/>
      <c r="AG15" s="81"/>
      <c r="AH15" s="85"/>
      <c r="AI15" s="81"/>
      <c r="AJ15" s="85"/>
      <c r="AK15" s="81"/>
      <c r="AL15" s="85"/>
      <c r="AM15" s="81"/>
      <c r="AN15" s="85"/>
      <c r="AO15" s="81"/>
      <c r="AP15" s="85"/>
    </row>
    <row r="16" spans="1:42" s="80" customFormat="1" ht="12.75">
      <c r="A16" s="80" t="s">
        <v>196</v>
      </c>
      <c r="B16" s="80">
        <v>14</v>
      </c>
      <c r="C16" s="80" t="s">
        <v>249</v>
      </c>
      <c r="D16" s="83">
        <v>0</v>
      </c>
      <c r="E16" s="81"/>
      <c r="F16" s="84"/>
      <c r="G16" s="84">
        <f t="shared" si="0"/>
        <v>0</v>
      </c>
      <c r="H16" s="84">
        <f t="shared" si="1"/>
        <v>0</v>
      </c>
      <c r="I16" s="81"/>
      <c r="J16" s="84">
        <v>0.11848076034784</v>
      </c>
      <c r="K16" s="84">
        <f t="shared" si="2"/>
        <v>0.11848076034784</v>
      </c>
      <c r="L16" s="84">
        <f t="shared" si="3"/>
        <v>0</v>
      </c>
      <c r="M16" s="81"/>
      <c r="N16" s="84"/>
      <c r="O16" s="84">
        <f t="shared" si="4"/>
        <v>0</v>
      </c>
      <c r="P16" s="84">
        <f t="shared" si="5"/>
        <v>0</v>
      </c>
      <c r="Q16" s="81"/>
      <c r="R16" s="84"/>
      <c r="S16" s="81"/>
      <c r="T16" s="84"/>
      <c r="U16" s="81"/>
      <c r="V16" s="84"/>
      <c r="W16" s="81"/>
      <c r="X16" s="84"/>
      <c r="Y16" s="81"/>
      <c r="Z16" s="84"/>
      <c r="AA16" s="81"/>
      <c r="AB16" s="85"/>
      <c r="AC16" s="81"/>
      <c r="AD16" s="85"/>
      <c r="AE16" s="81"/>
      <c r="AF16" s="85"/>
      <c r="AG16" s="81"/>
      <c r="AH16" s="85"/>
      <c r="AI16" s="81"/>
      <c r="AJ16" s="85"/>
      <c r="AK16" s="81"/>
      <c r="AL16" s="85"/>
      <c r="AM16" s="81"/>
      <c r="AN16" s="85"/>
      <c r="AO16" s="81"/>
      <c r="AP16" s="85"/>
    </row>
    <row r="17" spans="1:42" s="80" customFormat="1" ht="12.75">
      <c r="A17" s="80" t="s">
        <v>196</v>
      </c>
      <c r="B17" s="80">
        <v>15</v>
      </c>
      <c r="C17" s="80" t="s">
        <v>250</v>
      </c>
      <c r="D17" s="83">
        <v>0.001</v>
      </c>
      <c r="E17" s="81"/>
      <c r="F17" s="84">
        <v>0.05181690183038255</v>
      </c>
      <c r="G17" s="84">
        <f t="shared" si="0"/>
        <v>0.05181690183038255</v>
      </c>
      <c r="H17" s="84">
        <f t="shared" si="1"/>
        <v>5.1816901830382554E-05</v>
      </c>
      <c r="I17" s="81"/>
      <c r="J17" s="84">
        <v>0.56138789588898</v>
      </c>
      <c r="K17" s="84">
        <f t="shared" si="2"/>
        <v>0.56138789588898</v>
      </c>
      <c r="L17" s="84">
        <f t="shared" si="3"/>
        <v>0.00056138789588898</v>
      </c>
      <c r="M17" s="81"/>
      <c r="N17" s="84">
        <v>0.07740071454596446</v>
      </c>
      <c r="O17" s="84">
        <f t="shared" si="4"/>
        <v>0.07740071454596446</v>
      </c>
      <c r="P17" s="84">
        <f t="shared" si="5"/>
        <v>7.740071454596447E-05</v>
      </c>
      <c r="Q17" s="81"/>
      <c r="R17" s="84"/>
      <c r="S17" s="81"/>
      <c r="T17" s="84"/>
      <c r="U17" s="81"/>
      <c r="V17" s="84"/>
      <c r="W17" s="81"/>
      <c r="X17" s="84"/>
      <c r="Y17" s="81"/>
      <c r="Z17" s="84"/>
      <c r="AA17" s="81"/>
      <c r="AB17" s="85"/>
      <c r="AC17" s="81"/>
      <c r="AD17" s="85"/>
      <c r="AE17" s="81"/>
      <c r="AF17" s="85"/>
      <c r="AG17" s="81"/>
      <c r="AH17" s="85"/>
      <c r="AI17" s="81"/>
      <c r="AJ17" s="85"/>
      <c r="AK17" s="81"/>
      <c r="AL17" s="85"/>
      <c r="AM17" s="81"/>
      <c r="AN17" s="85"/>
      <c r="AO17" s="81"/>
      <c r="AP17" s="85"/>
    </row>
    <row r="18" spans="1:42" s="80" customFormat="1" ht="12.75">
      <c r="A18" s="80" t="s">
        <v>196</v>
      </c>
      <c r="B18" s="80">
        <v>16</v>
      </c>
      <c r="C18" s="80" t="s">
        <v>251</v>
      </c>
      <c r="D18" s="83">
        <v>0.1</v>
      </c>
      <c r="E18" s="81"/>
      <c r="F18" s="84">
        <v>0.020598023087854</v>
      </c>
      <c r="G18" s="84">
        <f t="shared" si="0"/>
        <v>0.020598023087854</v>
      </c>
      <c r="H18" s="84">
        <f t="shared" si="1"/>
        <v>0.0020598023087854</v>
      </c>
      <c r="I18" s="81"/>
      <c r="J18" s="84">
        <v>0.06203181170043983</v>
      </c>
      <c r="K18" s="84">
        <f t="shared" si="2"/>
        <v>0.06203181170043983</v>
      </c>
      <c r="L18" s="84">
        <f t="shared" si="3"/>
        <v>0.0062031811700439836</v>
      </c>
      <c r="M18" s="81"/>
      <c r="N18" s="84">
        <v>0.07124751966574136</v>
      </c>
      <c r="O18" s="84">
        <f t="shared" si="4"/>
        <v>0.07124751966574136</v>
      </c>
      <c r="P18" s="84">
        <f t="shared" si="5"/>
        <v>0.007124751966574136</v>
      </c>
      <c r="Q18" s="81"/>
      <c r="R18" s="84"/>
      <c r="S18" s="81"/>
      <c r="T18" s="84"/>
      <c r="U18" s="81"/>
      <c r="V18" s="84"/>
      <c r="W18" s="81"/>
      <c r="X18" s="84"/>
      <c r="Y18" s="81"/>
      <c r="Z18" s="84"/>
      <c r="AA18" s="81"/>
      <c r="AB18" s="85"/>
      <c r="AC18" s="81"/>
      <c r="AD18" s="85"/>
      <c r="AE18" s="81"/>
      <c r="AF18" s="85"/>
      <c r="AG18" s="81"/>
      <c r="AH18" s="85"/>
      <c r="AI18" s="81"/>
      <c r="AJ18" s="85"/>
      <c r="AK18" s="81"/>
      <c r="AL18" s="85"/>
      <c r="AM18" s="81"/>
      <c r="AN18" s="85"/>
      <c r="AO18" s="81"/>
      <c r="AP18" s="85"/>
    </row>
    <row r="19" spans="1:42" s="80" customFormat="1" ht="12.75">
      <c r="A19" s="80" t="s">
        <v>196</v>
      </c>
      <c r="B19" s="80">
        <v>17</v>
      </c>
      <c r="C19" s="80" t="s">
        <v>252</v>
      </c>
      <c r="D19" s="83">
        <v>0</v>
      </c>
      <c r="E19" s="81"/>
      <c r="F19" s="84">
        <v>0.7196434316318966</v>
      </c>
      <c r="G19" s="84">
        <f t="shared" si="0"/>
        <v>0.7196434316318966</v>
      </c>
      <c r="H19" s="84">
        <f t="shared" si="1"/>
        <v>0</v>
      </c>
      <c r="I19" s="81"/>
      <c r="J19" s="84">
        <v>1.85599180607716</v>
      </c>
      <c r="K19" s="84">
        <f t="shared" si="2"/>
        <v>1.85599180607716</v>
      </c>
      <c r="L19" s="84">
        <f t="shared" si="3"/>
        <v>0</v>
      </c>
      <c r="M19" s="81"/>
      <c r="N19" s="84">
        <v>1.07195131860729</v>
      </c>
      <c r="O19" s="84">
        <f t="shared" si="4"/>
        <v>1.07195131860729</v>
      </c>
      <c r="P19" s="84">
        <f t="shared" si="5"/>
        <v>0</v>
      </c>
      <c r="Q19" s="81"/>
      <c r="R19" s="84"/>
      <c r="S19" s="81"/>
      <c r="T19" s="84"/>
      <c r="U19" s="81"/>
      <c r="V19" s="84"/>
      <c r="W19" s="81"/>
      <c r="X19" s="84"/>
      <c r="Y19" s="81"/>
      <c r="Z19" s="84"/>
      <c r="AA19" s="81"/>
      <c r="AB19" s="85"/>
      <c r="AC19" s="81"/>
      <c r="AD19" s="85"/>
      <c r="AE19" s="81"/>
      <c r="AF19" s="85"/>
      <c r="AG19" s="81"/>
      <c r="AH19" s="85"/>
      <c r="AI19" s="81"/>
      <c r="AJ19" s="85"/>
      <c r="AK19" s="81"/>
      <c r="AL19" s="85"/>
      <c r="AM19" s="81"/>
      <c r="AN19" s="85"/>
      <c r="AO19" s="81"/>
      <c r="AP19" s="85"/>
    </row>
    <row r="20" spans="1:42" s="80" customFormat="1" ht="12.75">
      <c r="A20" s="80" t="s">
        <v>196</v>
      </c>
      <c r="B20" s="80">
        <v>18</v>
      </c>
      <c r="C20" s="80" t="s">
        <v>253</v>
      </c>
      <c r="D20" s="83">
        <v>0</v>
      </c>
      <c r="E20" s="81"/>
      <c r="F20" s="84">
        <v>0.74024145471975</v>
      </c>
      <c r="G20" s="84">
        <f t="shared" si="0"/>
        <v>0.74024145471975</v>
      </c>
      <c r="H20" s="84">
        <f t="shared" si="1"/>
        <v>0</v>
      </c>
      <c r="I20" s="81"/>
      <c r="J20" s="84">
        <v>1.9180236177776</v>
      </c>
      <c r="K20" s="84">
        <f t="shared" si="2"/>
        <v>1.9180236177776</v>
      </c>
      <c r="L20" s="84">
        <f t="shared" si="3"/>
        <v>0</v>
      </c>
      <c r="M20" s="81"/>
      <c r="N20" s="84">
        <v>1.1431988382730318</v>
      </c>
      <c r="O20" s="84">
        <f t="shared" si="4"/>
        <v>1.1431988382730318</v>
      </c>
      <c r="P20" s="84">
        <f t="shared" si="5"/>
        <v>0</v>
      </c>
      <c r="Q20" s="81"/>
      <c r="R20" s="84"/>
      <c r="S20" s="81"/>
      <c r="T20" s="84"/>
      <c r="U20" s="81"/>
      <c r="V20" s="84"/>
      <c r="W20" s="81"/>
      <c r="X20" s="84"/>
      <c r="Y20" s="81"/>
      <c r="Z20" s="84"/>
      <c r="AA20" s="81"/>
      <c r="AB20" s="85"/>
      <c r="AC20" s="81"/>
      <c r="AD20" s="85"/>
      <c r="AE20" s="81"/>
      <c r="AF20" s="85"/>
      <c r="AG20" s="81"/>
      <c r="AH20" s="85"/>
      <c r="AI20" s="81"/>
      <c r="AJ20" s="85"/>
      <c r="AK20" s="81"/>
      <c r="AL20" s="85"/>
      <c r="AM20" s="81"/>
      <c r="AN20" s="85"/>
      <c r="AO20" s="81"/>
      <c r="AP20" s="85"/>
    </row>
    <row r="21" spans="1:42" s="80" customFormat="1" ht="12.75">
      <c r="A21" s="80" t="s">
        <v>196</v>
      </c>
      <c r="B21" s="80">
        <v>19</v>
      </c>
      <c r="C21" s="80" t="s">
        <v>254</v>
      </c>
      <c r="D21" s="83">
        <v>0.05</v>
      </c>
      <c r="E21" s="81">
        <v>1</v>
      </c>
      <c r="F21" s="84">
        <v>0.002928781407804231</v>
      </c>
      <c r="G21" s="84">
        <f t="shared" si="0"/>
        <v>0.0014643907039021155</v>
      </c>
      <c r="H21" s="84">
        <f t="shared" si="1"/>
        <v>7.321953519510578E-05</v>
      </c>
      <c r="I21" s="81">
        <v>1</v>
      </c>
      <c r="J21" s="84">
        <v>0.004652385877532987</v>
      </c>
      <c r="K21" s="84">
        <f t="shared" si="2"/>
        <v>0.0023261929387664933</v>
      </c>
      <c r="L21" s="84">
        <f t="shared" si="3"/>
        <v>0.00011630964693832468</v>
      </c>
      <c r="M21" s="81">
        <v>1</v>
      </c>
      <c r="N21" s="84">
        <v>0.0037566874005572713</v>
      </c>
      <c r="O21" s="84">
        <f t="shared" si="4"/>
        <v>0.0018783437002786356</v>
      </c>
      <c r="P21" s="84">
        <f t="shared" si="5"/>
        <v>9.391718501393179E-05</v>
      </c>
      <c r="Q21" s="81"/>
      <c r="R21" s="84"/>
      <c r="S21" s="81"/>
      <c r="T21" s="84"/>
      <c r="U21" s="81"/>
      <c r="V21" s="84"/>
      <c r="W21" s="81"/>
      <c r="X21" s="84"/>
      <c r="Y21" s="81"/>
      <c r="Z21" s="84"/>
      <c r="AA21" s="81"/>
      <c r="AB21" s="85"/>
      <c r="AC21" s="81"/>
      <c r="AD21" s="85"/>
      <c r="AE21" s="81"/>
      <c r="AF21" s="85"/>
      <c r="AG21" s="81"/>
      <c r="AH21" s="85"/>
      <c r="AI21" s="81"/>
      <c r="AJ21" s="85"/>
      <c r="AK21" s="81"/>
      <c r="AL21" s="85"/>
      <c r="AM21" s="81"/>
      <c r="AN21" s="85"/>
      <c r="AO21" s="81"/>
      <c r="AP21" s="85"/>
    </row>
    <row r="22" spans="1:42" s="80" customFormat="1" ht="12.75">
      <c r="A22" s="80" t="s">
        <v>196</v>
      </c>
      <c r="B22" s="80">
        <v>20</v>
      </c>
      <c r="C22" s="80" t="s">
        <v>255</v>
      </c>
      <c r="D22" s="83">
        <v>0.5</v>
      </c>
      <c r="E22" s="81">
        <v>1</v>
      </c>
      <c r="F22" s="84">
        <v>0.00254256847490697</v>
      </c>
      <c r="G22" s="84">
        <f t="shared" si="0"/>
        <v>0.001271284237453485</v>
      </c>
      <c r="H22" s="84">
        <f t="shared" si="1"/>
        <v>0.0006356421187267425</v>
      </c>
      <c r="I22" s="81">
        <v>1</v>
      </c>
      <c r="J22" s="84">
        <v>0.004776449500933868</v>
      </c>
      <c r="K22" s="84">
        <f t="shared" si="2"/>
        <v>0.002388224750466934</v>
      </c>
      <c r="L22" s="84">
        <f t="shared" si="3"/>
        <v>0.001194112375233467</v>
      </c>
      <c r="M22" s="81">
        <v>1</v>
      </c>
      <c r="N22" s="84">
        <v>0.004404392124791283</v>
      </c>
      <c r="O22" s="84">
        <f t="shared" si="4"/>
        <v>0.0022021960623956416</v>
      </c>
      <c r="P22" s="84">
        <f t="shared" si="5"/>
        <v>0.0011010980311978208</v>
      </c>
      <c r="Q22" s="81"/>
      <c r="R22" s="84"/>
      <c r="S22" s="81"/>
      <c r="T22" s="84"/>
      <c r="U22" s="81"/>
      <c r="V22" s="84"/>
      <c r="W22" s="81"/>
      <c r="X22" s="84"/>
      <c r="Y22" s="81"/>
      <c r="Z22" s="84"/>
      <c r="AA22" s="81"/>
      <c r="AB22" s="85"/>
      <c r="AC22" s="81"/>
      <c r="AD22" s="85"/>
      <c r="AE22" s="81"/>
      <c r="AF22" s="85"/>
      <c r="AG22" s="81"/>
      <c r="AH22" s="85"/>
      <c r="AI22" s="81"/>
      <c r="AJ22" s="85"/>
      <c r="AK22" s="81"/>
      <c r="AL22" s="85"/>
      <c r="AM22" s="81"/>
      <c r="AN22" s="85"/>
      <c r="AO22" s="81"/>
      <c r="AP22" s="85"/>
    </row>
    <row r="23" spans="1:42" s="80" customFormat="1" ht="12.75">
      <c r="A23" s="80" t="s">
        <v>196</v>
      </c>
      <c r="B23" s="80">
        <v>21</v>
      </c>
      <c r="C23" s="80" t="s">
        <v>256</v>
      </c>
      <c r="D23" s="83">
        <v>0</v>
      </c>
      <c r="E23" s="81"/>
      <c r="F23" s="84">
        <v>0.0492421489444008</v>
      </c>
      <c r="G23" s="84">
        <f t="shared" si="0"/>
        <v>0.0492421489444008</v>
      </c>
      <c r="H23" s="84">
        <f t="shared" si="1"/>
        <v>0</v>
      </c>
      <c r="I23" s="81"/>
      <c r="J23" s="84">
        <v>0.1794890471552226</v>
      </c>
      <c r="K23" s="84">
        <f t="shared" si="2"/>
        <v>0.1794890471552226</v>
      </c>
      <c r="L23" s="84">
        <f t="shared" si="3"/>
        <v>0</v>
      </c>
      <c r="M23" s="81"/>
      <c r="N23" s="84">
        <v>0.061791030691924785</v>
      </c>
      <c r="O23" s="84">
        <f t="shared" si="4"/>
        <v>0.061791030691924785</v>
      </c>
      <c r="P23" s="84">
        <f t="shared" si="5"/>
        <v>0</v>
      </c>
      <c r="Q23" s="81"/>
      <c r="R23" s="84"/>
      <c r="S23" s="81"/>
      <c r="T23" s="84"/>
      <c r="U23" s="81"/>
      <c r="V23" s="84"/>
      <c r="W23" s="81"/>
      <c r="X23" s="84"/>
      <c r="Y23" s="81"/>
      <c r="Z23" s="84"/>
      <c r="AA23" s="81"/>
      <c r="AB23" s="85"/>
      <c r="AC23" s="81"/>
      <c r="AD23" s="85"/>
      <c r="AE23" s="81"/>
      <c r="AF23" s="85"/>
      <c r="AG23" s="81"/>
      <c r="AH23" s="85"/>
      <c r="AI23" s="81"/>
      <c r="AJ23" s="85"/>
      <c r="AK23" s="81"/>
      <c r="AL23" s="85"/>
      <c r="AM23" s="81"/>
      <c r="AN23" s="85"/>
      <c r="AO23" s="81"/>
      <c r="AP23" s="85"/>
    </row>
    <row r="24" spans="1:42" s="80" customFormat="1" ht="12.75">
      <c r="A24" s="80" t="s">
        <v>196</v>
      </c>
      <c r="B24" s="80">
        <v>22</v>
      </c>
      <c r="C24" s="80" t="s">
        <v>257</v>
      </c>
      <c r="D24" s="83">
        <v>0</v>
      </c>
      <c r="E24" s="81"/>
      <c r="F24" s="84">
        <v>0.054713498827112</v>
      </c>
      <c r="G24" s="84">
        <f t="shared" si="0"/>
        <v>0.054713498827112</v>
      </c>
      <c r="H24" s="84">
        <f t="shared" si="1"/>
        <v>0</v>
      </c>
      <c r="I24" s="81"/>
      <c r="J24" s="84">
        <v>0.18891788253369</v>
      </c>
      <c r="K24" s="84">
        <f t="shared" si="2"/>
        <v>0.18891788253369</v>
      </c>
      <c r="L24" s="84">
        <f t="shared" si="3"/>
        <v>0</v>
      </c>
      <c r="M24" s="81"/>
      <c r="N24" s="84">
        <v>0.06995211021727334</v>
      </c>
      <c r="O24" s="84">
        <f t="shared" si="4"/>
        <v>0.06995211021727334</v>
      </c>
      <c r="P24" s="84">
        <f t="shared" si="5"/>
        <v>0</v>
      </c>
      <c r="Q24" s="81"/>
      <c r="R24" s="84"/>
      <c r="S24" s="81"/>
      <c r="T24" s="84"/>
      <c r="U24" s="81"/>
      <c r="V24" s="84"/>
      <c r="W24" s="81"/>
      <c r="X24" s="84"/>
      <c r="Y24" s="81"/>
      <c r="Z24" s="84"/>
      <c r="AA24" s="81"/>
      <c r="AB24" s="85"/>
      <c r="AC24" s="81"/>
      <c r="AD24" s="85"/>
      <c r="AE24" s="81"/>
      <c r="AF24" s="85"/>
      <c r="AG24" s="81"/>
      <c r="AH24" s="85"/>
      <c r="AI24" s="81"/>
      <c r="AJ24" s="85"/>
      <c r="AK24" s="81"/>
      <c r="AL24" s="85"/>
      <c r="AM24" s="81"/>
      <c r="AN24" s="85"/>
      <c r="AO24" s="81"/>
      <c r="AP24" s="85"/>
    </row>
    <row r="25" spans="1:42" s="80" customFormat="1" ht="12.75">
      <c r="A25" s="80" t="s">
        <v>196</v>
      </c>
      <c r="B25" s="80">
        <v>23</v>
      </c>
      <c r="C25" s="80" t="s">
        <v>258</v>
      </c>
      <c r="D25" s="83">
        <v>0.1</v>
      </c>
      <c r="E25" s="81">
        <v>1</v>
      </c>
      <c r="F25" s="84">
        <v>0.0037977605068230686</v>
      </c>
      <c r="G25" s="84">
        <f t="shared" si="0"/>
        <v>0.0018988802534115343</v>
      </c>
      <c r="H25" s="84">
        <f t="shared" si="1"/>
        <v>0.00018988802534115345</v>
      </c>
      <c r="I25" s="81">
        <v>1</v>
      </c>
      <c r="J25" s="84">
        <v>0.0080951514269074</v>
      </c>
      <c r="K25" s="84">
        <f t="shared" si="2"/>
        <v>0.0040475757134537</v>
      </c>
      <c r="L25" s="84">
        <f t="shared" si="3"/>
        <v>0.00040475757134537005</v>
      </c>
      <c r="M25" s="81">
        <v>1</v>
      </c>
      <c r="N25" s="84">
        <v>0.0055054901559891</v>
      </c>
      <c r="O25" s="84">
        <f t="shared" si="4"/>
        <v>0.00275274507799455</v>
      </c>
      <c r="P25" s="84">
        <f t="shared" si="5"/>
        <v>0.00027527450779945504</v>
      </c>
      <c r="Q25" s="81"/>
      <c r="R25" s="84"/>
      <c r="S25" s="81"/>
      <c r="T25" s="84"/>
      <c r="U25" s="81"/>
      <c r="V25" s="84"/>
      <c r="W25" s="81"/>
      <c r="X25" s="84"/>
      <c r="Y25" s="81"/>
      <c r="Z25" s="84"/>
      <c r="AA25" s="81"/>
      <c r="AB25" s="85"/>
      <c r="AC25" s="81"/>
      <c r="AD25" s="85"/>
      <c r="AE25" s="81"/>
      <c r="AF25" s="85"/>
      <c r="AG25" s="81"/>
      <c r="AH25" s="85"/>
      <c r="AI25" s="81"/>
      <c r="AJ25" s="85"/>
      <c r="AK25" s="81"/>
      <c r="AL25" s="85"/>
      <c r="AM25" s="81"/>
      <c r="AN25" s="85"/>
      <c r="AO25" s="81"/>
      <c r="AP25" s="85"/>
    </row>
    <row r="26" spans="1:42" s="80" customFormat="1" ht="12.75">
      <c r="A26" s="80" t="s">
        <v>196</v>
      </c>
      <c r="B26" s="80">
        <v>24</v>
      </c>
      <c r="C26" s="80" t="s">
        <v>259</v>
      </c>
      <c r="D26" s="83">
        <v>0.1</v>
      </c>
      <c r="E26" s="81">
        <v>1</v>
      </c>
      <c r="F26" s="84">
        <v>0.0019310646644863</v>
      </c>
      <c r="G26" s="84">
        <f t="shared" si="0"/>
        <v>0.00096553233224315</v>
      </c>
      <c r="H26" s="84">
        <f t="shared" si="1"/>
        <v>9.6553233224315E-05</v>
      </c>
      <c r="I26" s="81">
        <v>1</v>
      </c>
      <c r="J26" s="84">
        <v>0.004094099572229028</v>
      </c>
      <c r="K26" s="84">
        <f t="shared" si="2"/>
        <v>0.002047049786114514</v>
      </c>
      <c r="L26" s="84">
        <f t="shared" si="3"/>
        <v>0.00020470497861145142</v>
      </c>
      <c r="M26" s="81">
        <v>1</v>
      </c>
      <c r="N26" s="84">
        <v>0.004436777361002986</v>
      </c>
      <c r="O26" s="84">
        <f t="shared" si="4"/>
        <v>0.002218388680501493</v>
      </c>
      <c r="P26" s="84">
        <f t="shared" si="5"/>
        <v>0.00022183886805014928</v>
      </c>
      <c r="Q26" s="81"/>
      <c r="R26" s="84"/>
      <c r="S26" s="81"/>
      <c r="T26" s="84"/>
      <c r="U26" s="81"/>
      <c r="V26" s="84"/>
      <c r="W26" s="81"/>
      <c r="X26" s="84"/>
      <c r="Y26" s="81"/>
      <c r="Z26" s="84"/>
      <c r="AA26" s="81"/>
      <c r="AB26" s="85"/>
      <c r="AC26" s="81"/>
      <c r="AD26" s="85"/>
      <c r="AE26" s="81"/>
      <c r="AF26" s="85"/>
      <c r="AG26" s="81"/>
      <c r="AH26" s="85"/>
      <c r="AI26" s="81"/>
      <c r="AJ26" s="85"/>
      <c r="AK26" s="81"/>
      <c r="AL26" s="85"/>
      <c r="AM26" s="81"/>
      <c r="AN26" s="85"/>
      <c r="AO26" s="81"/>
      <c r="AP26" s="85"/>
    </row>
    <row r="27" spans="1:42" s="80" customFormat="1" ht="12.75">
      <c r="A27" s="80" t="s">
        <v>196</v>
      </c>
      <c r="B27" s="80">
        <v>25</v>
      </c>
      <c r="C27" s="80" t="s">
        <v>260</v>
      </c>
      <c r="D27" s="83">
        <v>0.1</v>
      </c>
      <c r="E27" s="81">
        <v>1</v>
      </c>
      <c r="F27" s="84">
        <v>0.005857562815608462</v>
      </c>
      <c r="G27" s="84">
        <f t="shared" si="0"/>
        <v>0.002928781407804231</v>
      </c>
      <c r="H27" s="84">
        <f t="shared" si="1"/>
        <v>0.0002928781407804231</v>
      </c>
      <c r="I27" s="81">
        <v>1</v>
      </c>
      <c r="J27" s="84">
        <v>0.0065443561343964</v>
      </c>
      <c r="K27" s="84">
        <f t="shared" si="2"/>
        <v>0.0032721780671982</v>
      </c>
      <c r="L27" s="84">
        <f t="shared" si="3"/>
        <v>0.00032721780671982</v>
      </c>
      <c r="M27" s="81"/>
      <c r="N27" s="84">
        <v>0.013925651571031265</v>
      </c>
      <c r="O27" s="84">
        <f t="shared" si="4"/>
        <v>0.013925651571031265</v>
      </c>
      <c r="P27" s="84">
        <f t="shared" si="5"/>
        <v>0.0013925651571031266</v>
      </c>
      <c r="Q27" s="81"/>
      <c r="R27" s="84"/>
      <c r="S27" s="81"/>
      <c r="T27" s="84"/>
      <c r="U27" s="81"/>
      <c r="V27" s="84"/>
      <c r="W27" s="81"/>
      <c r="X27" s="84"/>
      <c r="Y27" s="81"/>
      <c r="Z27" s="84"/>
      <c r="AA27" s="81"/>
      <c r="AB27" s="85"/>
      <c r="AC27" s="81"/>
      <c r="AD27" s="85"/>
      <c r="AE27" s="81"/>
      <c r="AF27" s="85"/>
      <c r="AG27" s="81"/>
      <c r="AH27" s="85"/>
      <c r="AI27" s="81"/>
      <c r="AJ27" s="85"/>
      <c r="AK27" s="81"/>
      <c r="AL27" s="85"/>
      <c r="AM27" s="81"/>
      <c r="AN27" s="85"/>
      <c r="AO27" s="81"/>
      <c r="AP27" s="85"/>
    </row>
    <row r="28" spans="1:42" s="80" customFormat="1" ht="12.75">
      <c r="A28" s="80" t="s">
        <v>196</v>
      </c>
      <c r="B28" s="80">
        <v>26</v>
      </c>
      <c r="C28" s="80" t="s">
        <v>261</v>
      </c>
      <c r="D28" s="83">
        <v>0.1</v>
      </c>
      <c r="E28" s="81">
        <v>1</v>
      </c>
      <c r="F28" s="84">
        <v>0.003701207273598753</v>
      </c>
      <c r="G28" s="84">
        <f t="shared" si="0"/>
        <v>0.0018506036367993764</v>
      </c>
      <c r="H28" s="84">
        <f t="shared" si="1"/>
        <v>0.00018506036367993764</v>
      </c>
      <c r="I28" s="81">
        <v>1</v>
      </c>
      <c r="J28" s="84">
        <v>0.005241688088687166</v>
      </c>
      <c r="K28" s="84">
        <f t="shared" si="2"/>
        <v>0.002620844044343583</v>
      </c>
      <c r="L28" s="84">
        <f t="shared" si="3"/>
        <v>0.0002620844044343583</v>
      </c>
      <c r="M28" s="81">
        <v>1</v>
      </c>
      <c r="N28" s="84">
        <v>0.004242465943732781</v>
      </c>
      <c r="O28" s="84">
        <f t="shared" si="4"/>
        <v>0.0021212329718663906</v>
      </c>
      <c r="P28" s="84">
        <f t="shared" si="5"/>
        <v>0.00021212329718663906</v>
      </c>
      <c r="Q28" s="81"/>
      <c r="R28" s="84"/>
      <c r="S28" s="81"/>
      <c r="T28" s="84"/>
      <c r="U28" s="81"/>
      <c r="V28" s="84"/>
      <c r="W28" s="81"/>
      <c r="X28" s="84"/>
      <c r="Y28" s="81"/>
      <c r="Z28" s="84"/>
      <c r="AA28" s="81"/>
      <c r="AB28" s="85"/>
      <c r="AC28" s="81"/>
      <c r="AD28" s="85"/>
      <c r="AE28" s="81"/>
      <c r="AF28" s="85"/>
      <c r="AG28" s="81"/>
      <c r="AH28" s="85"/>
      <c r="AI28" s="81"/>
      <c r="AJ28" s="85"/>
      <c r="AK28" s="81"/>
      <c r="AL28" s="85"/>
      <c r="AM28" s="81"/>
      <c r="AN28" s="85"/>
      <c r="AO28" s="81"/>
      <c r="AP28" s="85"/>
    </row>
    <row r="29" spans="1:42" s="80" customFormat="1" ht="12.75">
      <c r="A29" s="80" t="s">
        <v>196</v>
      </c>
      <c r="B29" s="80">
        <v>27</v>
      </c>
      <c r="C29" s="80" t="s">
        <v>262</v>
      </c>
      <c r="D29" s="83">
        <v>0</v>
      </c>
      <c r="E29" s="81"/>
      <c r="F29" s="84"/>
      <c r="G29" s="84">
        <f t="shared" si="0"/>
        <v>0</v>
      </c>
      <c r="H29" s="84">
        <f t="shared" si="1"/>
        <v>0</v>
      </c>
      <c r="I29" s="81"/>
      <c r="J29" s="84">
        <v>0.019446972968088</v>
      </c>
      <c r="K29" s="84">
        <f t="shared" si="2"/>
        <v>0.019446972968088</v>
      </c>
      <c r="L29" s="84">
        <f t="shared" si="3"/>
        <v>0</v>
      </c>
      <c r="M29" s="81"/>
      <c r="N29" s="84">
        <v>-0.014184733460724871</v>
      </c>
      <c r="O29" s="84">
        <f t="shared" si="4"/>
        <v>-0.014184733460724871</v>
      </c>
      <c r="P29" s="84">
        <f t="shared" si="5"/>
        <v>0</v>
      </c>
      <c r="Q29" s="81"/>
      <c r="R29" s="84"/>
      <c r="S29" s="81"/>
      <c r="T29" s="84"/>
      <c r="U29" s="81"/>
      <c r="V29" s="84"/>
      <c r="W29" s="81"/>
      <c r="X29" s="84"/>
      <c r="Y29" s="81"/>
      <c r="Z29" s="84"/>
      <c r="AA29" s="81"/>
      <c r="AB29" s="85"/>
      <c r="AC29" s="81"/>
      <c r="AD29" s="85"/>
      <c r="AE29" s="81"/>
      <c r="AF29" s="85"/>
      <c r="AG29" s="81"/>
      <c r="AH29" s="85"/>
      <c r="AI29" s="81"/>
      <c r="AJ29" s="85"/>
      <c r="AK29" s="81"/>
      <c r="AL29" s="85"/>
      <c r="AM29" s="81"/>
      <c r="AN29" s="85"/>
      <c r="AO29" s="81"/>
      <c r="AP29" s="85"/>
    </row>
    <row r="30" spans="1:42" s="80" customFormat="1" ht="12.75">
      <c r="A30" s="80" t="s">
        <v>196</v>
      </c>
      <c r="B30" s="80">
        <v>28</v>
      </c>
      <c r="C30" s="80" t="s">
        <v>263</v>
      </c>
      <c r="D30" s="83">
        <v>0</v>
      </c>
      <c r="E30" s="81"/>
      <c r="F30" s="84"/>
      <c r="G30" s="84">
        <f t="shared" si="0"/>
        <v>0</v>
      </c>
      <c r="H30" s="84">
        <f t="shared" si="1"/>
        <v>0</v>
      </c>
      <c r="I30" s="81"/>
      <c r="J30" s="84">
        <v>0.04342226819030789</v>
      </c>
      <c r="K30" s="84">
        <f t="shared" si="2"/>
        <v>0.04342226819030789</v>
      </c>
      <c r="L30" s="84">
        <f t="shared" si="3"/>
        <v>0</v>
      </c>
      <c r="M30" s="81"/>
      <c r="N30" s="84">
        <v>0.013925651571031265</v>
      </c>
      <c r="O30" s="84">
        <f t="shared" si="4"/>
        <v>0.013925651571031265</v>
      </c>
      <c r="P30" s="84">
        <f t="shared" si="5"/>
        <v>0</v>
      </c>
      <c r="Q30" s="81"/>
      <c r="R30" s="84"/>
      <c r="S30" s="81"/>
      <c r="T30" s="84"/>
      <c r="U30" s="81"/>
      <c r="V30" s="84"/>
      <c r="W30" s="81"/>
      <c r="X30" s="84"/>
      <c r="Y30" s="81"/>
      <c r="Z30" s="84"/>
      <c r="AA30" s="81"/>
      <c r="AB30" s="85"/>
      <c r="AC30" s="81"/>
      <c r="AD30" s="85"/>
      <c r="AE30" s="81"/>
      <c r="AF30" s="85"/>
      <c r="AG30" s="81"/>
      <c r="AH30" s="85"/>
      <c r="AI30" s="81"/>
      <c r="AJ30" s="85"/>
      <c r="AK30" s="81"/>
      <c r="AL30" s="85"/>
      <c r="AM30" s="81"/>
      <c r="AN30" s="85"/>
      <c r="AO30" s="81"/>
      <c r="AP30" s="85"/>
    </row>
    <row r="31" spans="1:42" s="80" customFormat="1" ht="12.75">
      <c r="A31" s="80" t="s">
        <v>196</v>
      </c>
      <c r="B31" s="80">
        <v>29</v>
      </c>
      <c r="C31" s="80" t="s">
        <v>264</v>
      </c>
      <c r="D31" s="83">
        <v>0.01</v>
      </c>
      <c r="E31" s="81">
        <v>1</v>
      </c>
      <c r="F31" s="84">
        <v>0.007724258657945224</v>
      </c>
      <c r="G31" s="84">
        <f t="shared" si="0"/>
        <v>0.003862129328972612</v>
      </c>
      <c r="H31" s="84">
        <f t="shared" si="1"/>
        <v>3.862129328972612E-05</v>
      </c>
      <c r="I31" s="81"/>
      <c r="J31" s="84">
        <v>0.02760415620669572</v>
      </c>
      <c r="K31" s="84">
        <f t="shared" si="2"/>
        <v>0.02760415620669572</v>
      </c>
      <c r="L31" s="84">
        <f t="shared" si="3"/>
        <v>0.0002760415620669572</v>
      </c>
      <c r="M31" s="81">
        <v>1</v>
      </c>
      <c r="N31" s="84">
        <v>0.006185580116434817</v>
      </c>
      <c r="O31" s="84">
        <f t="shared" si="4"/>
        <v>0.0030927900582174085</v>
      </c>
      <c r="P31" s="84">
        <f t="shared" si="5"/>
        <v>3.0927900582174085E-05</v>
      </c>
      <c r="Q31" s="81"/>
      <c r="R31" s="84"/>
      <c r="S31" s="81"/>
      <c r="T31" s="84"/>
      <c r="U31" s="81"/>
      <c r="V31" s="84"/>
      <c r="W31" s="81"/>
      <c r="X31" s="84"/>
      <c r="Y31" s="81"/>
      <c r="Z31" s="84"/>
      <c r="AA31" s="81"/>
      <c r="AB31" s="85"/>
      <c r="AC31" s="81"/>
      <c r="AD31" s="85"/>
      <c r="AE31" s="81"/>
      <c r="AF31" s="85"/>
      <c r="AG31" s="81"/>
      <c r="AH31" s="85"/>
      <c r="AI31" s="81"/>
      <c r="AJ31" s="85"/>
      <c r="AK31" s="81"/>
      <c r="AL31" s="85"/>
      <c r="AM31" s="81"/>
      <c r="AN31" s="85"/>
      <c r="AO31" s="81"/>
      <c r="AP31" s="85"/>
    </row>
    <row r="32" spans="1:42" s="80" customFormat="1" ht="12.75">
      <c r="A32" s="80" t="s">
        <v>196</v>
      </c>
      <c r="B32" s="80">
        <v>30</v>
      </c>
      <c r="C32" s="80" t="s">
        <v>265</v>
      </c>
      <c r="D32" s="83">
        <v>0.01</v>
      </c>
      <c r="E32" s="81">
        <v>1</v>
      </c>
      <c r="F32" s="84">
        <v>0.00836794687944066</v>
      </c>
      <c r="G32" s="84">
        <f t="shared" si="0"/>
        <v>0.00418397343972033</v>
      </c>
      <c r="H32" s="84">
        <f t="shared" si="1"/>
        <v>4.1839734397203305E-05</v>
      </c>
      <c r="I32" s="81">
        <v>1</v>
      </c>
      <c r="J32" s="84">
        <v>0.0070095947221497</v>
      </c>
      <c r="K32" s="84">
        <f t="shared" si="2"/>
        <v>0.00350479736107485</v>
      </c>
      <c r="L32" s="84">
        <f t="shared" si="3"/>
        <v>3.5047973610748506E-05</v>
      </c>
      <c r="M32" s="81">
        <v>1</v>
      </c>
      <c r="N32" s="84">
        <v>0.007869612399443249</v>
      </c>
      <c r="O32" s="84">
        <f t="shared" si="4"/>
        <v>0.0039348061997216245</v>
      </c>
      <c r="P32" s="84">
        <f t="shared" si="5"/>
        <v>3.934806199721625E-05</v>
      </c>
      <c r="Q32" s="81"/>
      <c r="R32" s="84"/>
      <c r="S32" s="81"/>
      <c r="T32" s="84"/>
      <c r="U32" s="81"/>
      <c r="V32" s="84"/>
      <c r="W32" s="81"/>
      <c r="X32" s="84"/>
      <c r="Y32" s="81"/>
      <c r="Z32" s="84"/>
      <c r="AA32" s="81"/>
      <c r="AB32" s="85"/>
      <c r="AC32" s="81"/>
      <c r="AD32" s="85"/>
      <c r="AE32" s="81"/>
      <c r="AF32" s="85"/>
      <c r="AG32" s="81"/>
      <c r="AH32" s="85"/>
      <c r="AI32" s="81"/>
      <c r="AJ32" s="85"/>
      <c r="AK32" s="81"/>
      <c r="AL32" s="85"/>
      <c r="AM32" s="81"/>
      <c r="AN32" s="85"/>
      <c r="AO32" s="81"/>
      <c r="AP32" s="85"/>
    </row>
    <row r="33" spans="1:42" s="80" customFormat="1" ht="12.75">
      <c r="A33" s="80" t="s">
        <v>196</v>
      </c>
      <c r="B33" s="80">
        <v>31</v>
      </c>
      <c r="C33" s="80" t="s">
        <v>266</v>
      </c>
      <c r="D33" s="83">
        <v>0</v>
      </c>
      <c r="E33" s="81"/>
      <c r="F33" s="84"/>
      <c r="G33" s="84">
        <f t="shared" si="0"/>
        <v>0</v>
      </c>
      <c r="H33" s="84">
        <f t="shared" si="1"/>
        <v>0</v>
      </c>
      <c r="I33" s="81">
        <v>1</v>
      </c>
      <c r="J33" s="84">
        <v>0.14527850300243</v>
      </c>
      <c r="K33" s="84">
        <f t="shared" si="2"/>
        <v>0.072639251501215</v>
      </c>
      <c r="L33" s="84">
        <f t="shared" si="3"/>
        <v>0</v>
      </c>
      <c r="M33" s="81"/>
      <c r="N33" s="84"/>
      <c r="O33" s="84">
        <f t="shared" si="4"/>
        <v>0</v>
      </c>
      <c r="P33" s="84">
        <f t="shared" si="5"/>
        <v>0</v>
      </c>
      <c r="Q33" s="81"/>
      <c r="R33" s="84"/>
      <c r="S33" s="81"/>
      <c r="T33" s="84"/>
      <c r="U33" s="81"/>
      <c r="V33" s="84"/>
      <c r="W33" s="81"/>
      <c r="X33" s="84"/>
      <c r="Y33" s="81"/>
      <c r="Z33" s="84"/>
      <c r="AA33" s="81"/>
      <c r="AB33" s="85"/>
      <c r="AC33" s="81"/>
      <c r="AD33" s="85"/>
      <c r="AE33" s="81"/>
      <c r="AF33" s="85"/>
      <c r="AG33" s="81"/>
      <c r="AH33" s="85"/>
      <c r="AI33" s="81"/>
      <c r="AJ33" s="85"/>
      <c r="AK33" s="81"/>
      <c r="AL33" s="85"/>
      <c r="AM33" s="81"/>
      <c r="AN33" s="85"/>
      <c r="AO33" s="81"/>
      <c r="AP33" s="85"/>
    </row>
    <row r="34" spans="1:42" s="80" customFormat="1" ht="12.75">
      <c r="A34" s="80" t="s">
        <v>196</v>
      </c>
      <c r="B34" s="80">
        <v>32</v>
      </c>
      <c r="C34" s="80" t="s">
        <v>267</v>
      </c>
      <c r="D34" s="83">
        <v>0</v>
      </c>
      <c r="E34" s="81"/>
      <c r="F34" s="84"/>
      <c r="G34" s="84">
        <f t="shared" si="0"/>
        <v>0</v>
      </c>
      <c r="H34" s="84">
        <f t="shared" si="1"/>
        <v>0</v>
      </c>
      <c r="I34" s="81"/>
      <c r="J34" s="84">
        <v>0.1798922539312755</v>
      </c>
      <c r="K34" s="84">
        <f t="shared" si="2"/>
        <v>0.1798922539312755</v>
      </c>
      <c r="L34" s="84">
        <f t="shared" si="3"/>
        <v>0</v>
      </c>
      <c r="M34" s="81"/>
      <c r="N34" s="84"/>
      <c r="O34" s="84">
        <f t="shared" si="4"/>
        <v>0</v>
      </c>
      <c r="P34" s="84">
        <f t="shared" si="5"/>
        <v>0</v>
      </c>
      <c r="Q34" s="81"/>
      <c r="R34" s="84"/>
      <c r="S34" s="81"/>
      <c r="T34" s="84"/>
      <c r="U34" s="81"/>
      <c r="V34" s="84"/>
      <c r="W34" s="81"/>
      <c r="X34" s="84"/>
      <c r="Y34" s="81"/>
      <c r="Z34" s="84"/>
      <c r="AA34" s="81"/>
      <c r="AB34" s="85"/>
      <c r="AC34" s="81"/>
      <c r="AD34" s="85"/>
      <c r="AE34" s="81"/>
      <c r="AF34" s="85"/>
      <c r="AG34" s="81"/>
      <c r="AH34" s="85"/>
      <c r="AI34" s="81"/>
      <c r="AJ34" s="85"/>
      <c r="AK34" s="81"/>
      <c r="AL34" s="85"/>
      <c r="AM34" s="81"/>
      <c r="AN34" s="85"/>
      <c r="AO34" s="81"/>
      <c r="AP34" s="85"/>
    </row>
    <row r="35" spans="1:42" s="80" customFormat="1" ht="12.75">
      <c r="A35" s="80" t="s">
        <v>196</v>
      </c>
      <c r="B35" s="80">
        <v>33</v>
      </c>
      <c r="C35" s="80" t="s">
        <v>268</v>
      </c>
      <c r="D35" s="83">
        <v>0.001</v>
      </c>
      <c r="E35" s="81">
        <v>1</v>
      </c>
      <c r="F35" s="84">
        <v>0.02446015241682654</v>
      </c>
      <c r="G35" s="84">
        <f t="shared" si="0"/>
        <v>0.01223007620841327</v>
      </c>
      <c r="H35" s="84">
        <f t="shared" si="1"/>
        <v>1.2230076208413271E-05</v>
      </c>
      <c r="I35" s="81"/>
      <c r="J35" s="84">
        <v>0.1885767075693371</v>
      </c>
      <c r="K35" s="84">
        <f t="shared" si="2"/>
        <v>0.1885767075693371</v>
      </c>
      <c r="L35" s="84">
        <f t="shared" si="3"/>
        <v>0.00018857670756933708</v>
      </c>
      <c r="M35" s="81">
        <v>1</v>
      </c>
      <c r="N35" s="84">
        <v>0.013925651571031265</v>
      </c>
      <c r="O35" s="84">
        <f t="shared" si="4"/>
        <v>0.006962825785515632</v>
      </c>
      <c r="P35" s="84">
        <f t="shared" si="5"/>
        <v>6.9628257855156325E-06</v>
      </c>
      <c r="Q35" s="81"/>
      <c r="R35" s="84"/>
      <c r="S35" s="81"/>
      <c r="T35" s="84"/>
      <c r="U35" s="81"/>
      <c r="V35" s="84"/>
      <c r="W35" s="81"/>
      <c r="X35" s="84"/>
      <c r="Y35" s="81"/>
      <c r="Z35" s="84"/>
      <c r="AA35" s="81"/>
      <c r="AB35" s="85"/>
      <c r="AC35" s="81"/>
      <c r="AD35" s="85"/>
      <c r="AE35" s="81"/>
      <c r="AF35" s="85"/>
      <c r="AG35" s="81"/>
      <c r="AH35" s="85"/>
      <c r="AI35" s="81"/>
      <c r="AJ35" s="85"/>
      <c r="AK35" s="81"/>
      <c r="AL35" s="85"/>
      <c r="AM35" s="81"/>
      <c r="AN35" s="85"/>
      <c r="AO35" s="81"/>
      <c r="AP35" s="85"/>
    </row>
    <row r="36" spans="1:42" s="80" customFormat="1" ht="12.75">
      <c r="A36" s="80" t="s">
        <v>196</v>
      </c>
      <c r="B36" s="80">
        <v>34</v>
      </c>
      <c r="C36" s="80" t="s">
        <v>269</v>
      </c>
      <c r="D36" s="83"/>
      <c r="E36" s="81"/>
      <c r="F36" s="84">
        <v>3.246441545112228</v>
      </c>
      <c r="G36" s="84">
        <f>SUM(G35,G34,G30,G24,G20,G17,G16,G13,G7)</f>
        <v>3.178516345538922</v>
      </c>
      <c r="H36" s="84"/>
      <c r="I36" s="81"/>
      <c r="J36" s="84">
        <v>10.279632691844236</v>
      </c>
      <c r="K36" s="84">
        <f>SUM(K35,K34,K30,K24,K20,K17,K16,K13,K7)</f>
        <v>9.910388332697368</v>
      </c>
      <c r="L36" s="84"/>
      <c r="M36" s="81"/>
      <c r="N36" s="84">
        <v>4.3723307409417</v>
      </c>
      <c r="O36" s="84">
        <f>SUM(O35,O34,O30,O24,O20,O17,O16,O13,O7)</f>
        <v>4.274721638999635</v>
      </c>
      <c r="P36" s="84"/>
      <c r="Q36" s="81"/>
      <c r="R36" s="84"/>
      <c r="S36" s="81"/>
      <c r="T36" s="84"/>
      <c r="U36" s="81"/>
      <c r="V36" s="84"/>
      <c r="W36" s="81"/>
      <c r="X36" s="84"/>
      <c r="Y36" s="81"/>
      <c r="Z36" s="84"/>
      <c r="AA36" s="81"/>
      <c r="AB36" s="85"/>
      <c r="AC36" s="81"/>
      <c r="AD36" s="85"/>
      <c r="AE36" s="81"/>
      <c r="AF36" s="85"/>
      <c r="AG36" s="81"/>
      <c r="AH36" s="85"/>
      <c r="AI36" s="81"/>
      <c r="AJ36" s="85"/>
      <c r="AK36" s="81"/>
      <c r="AL36" s="85"/>
      <c r="AM36" s="81"/>
      <c r="AN36" s="85"/>
      <c r="AO36" s="81"/>
      <c r="AP36" s="85"/>
    </row>
    <row r="37" spans="1:42" s="80" customFormat="1" ht="12.75">
      <c r="A37" s="80" t="s">
        <v>196</v>
      </c>
      <c r="B37" s="80">
        <v>35</v>
      </c>
      <c r="C37" s="80" t="s">
        <v>26</v>
      </c>
      <c r="D37" s="83"/>
      <c r="E37" s="103">
        <f>(F37-H37)*2/F37*100</f>
        <v>73.11400103519655</v>
      </c>
      <c r="F37" s="84">
        <v>0.009948845151433447</v>
      </c>
      <c r="G37" s="84"/>
      <c r="H37" s="84">
        <f>SUM(H5:H35)</f>
        <v>0.006311845777928871</v>
      </c>
      <c r="I37" s="103">
        <f>(J37-L37)*2/J37*100</f>
        <v>17.900035041890952</v>
      </c>
      <c r="J37" s="84">
        <v>0.03894481202177014</v>
      </c>
      <c r="K37" s="84"/>
      <c r="L37" s="84">
        <f>SUM(L5:L35)</f>
        <v>0.03545924452232243</v>
      </c>
      <c r="M37" s="103">
        <f>(N37-P37)*2/N37*100</f>
        <v>26.401895918313382</v>
      </c>
      <c r="N37" s="84">
        <v>0.036759510066815</v>
      </c>
      <c r="O37" s="84"/>
      <c r="P37" s="84">
        <f>SUM(P5:P35)</f>
        <v>0.03190690627285379</v>
      </c>
      <c r="Q37" s="81"/>
      <c r="R37" s="84"/>
      <c r="S37" s="81"/>
      <c r="T37" s="84"/>
      <c r="U37" s="81"/>
      <c r="V37" s="84"/>
      <c r="W37" s="81"/>
      <c r="X37" s="84"/>
      <c r="Y37" s="81"/>
      <c r="Z37" s="84"/>
      <c r="AA37" s="81"/>
      <c r="AB37" s="85"/>
      <c r="AC37" s="81"/>
      <c r="AD37" s="85"/>
      <c r="AE37" s="81"/>
      <c r="AF37" s="85"/>
      <c r="AG37" s="81"/>
      <c r="AH37" s="85"/>
      <c r="AI37" s="81"/>
      <c r="AJ37" s="85"/>
      <c r="AK37" s="81"/>
      <c r="AL37" s="85"/>
      <c r="AM37" s="81"/>
      <c r="AN37" s="85"/>
      <c r="AO37" s="81"/>
      <c r="AP37" s="85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P39"/>
  <sheetViews>
    <sheetView workbookViewId="0" topLeftCell="C11">
      <selection activeCell="B35" sqref="B35"/>
    </sheetView>
  </sheetViews>
  <sheetFormatPr defaultColWidth="9.140625" defaultRowHeight="12.75"/>
  <cols>
    <col min="1" max="1" width="9.140625" style="0" hidden="1" customWidth="1"/>
    <col min="2" max="2" width="3.421875" style="0" hidden="1" customWidth="1"/>
    <col min="3" max="3" width="12.7109375" style="0" customWidth="1"/>
    <col min="4" max="4" width="7.00390625" style="82" customWidth="1"/>
    <col min="5" max="5" width="3.57421875" style="0" bestFit="1" customWidth="1"/>
    <col min="7" max="7" width="7.7109375" style="61" customWidth="1"/>
    <col min="8" max="8" width="8.28125" style="61" customWidth="1"/>
    <col min="9" max="9" width="3.57421875" style="0" bestFit="1" customWidth="1"/>
    <col min="11" max="11" width="7.7109375" style="61" customWidth="1"/>
    <col min="12" max="12" width="8.28125" style="61" customWidth="1"/>
    <col min="13" max="13" width="3.7109375" style="0" customWidth="1"/>
    <col min="15" max="15" width="7.7109375" style="61" customWidth="1"/>
    <col min="16" max="16" width="8.28125" style="61" customWidth="1"/>
  </cols>
  <sheetData>
    <row r="1" ht="12.75">
      <c r="C1" s="3" t="s">
        <v>203</v>
      </c>
    </row>
    <row r="2" spans="6:16" ht="12.75">
      <c r="F2" s="107" t="s">
        <v>161</v>
      </c>
      <c r="G2" s="108"/>
      <c r="H2" s="108"/>
      <c r="J2" s="107" t="s">
        <v>120</v>
      </c>
      <c r="K2" s="108"/>
      <c r="L2" s="108"/>
      <c r="N2" s="107" t="s">
        <v>162</v>
      </c>
      <c r="O2" s="108"/>
      <c r="P2" s="108"/>
    </row>
    <row r="3" spans="3:16" ht="12.75">
      <c r="C3" t="s">
        <v>63</v>
      </c>
      <c r="D3" s="82" t="s">
        <v>22</v>
      </c>
      <c r="F3" s="46" t="s">
        <v>24</v>
      </c>
      <c r="G3" s="109" t="s">
        <v>24</v>
      </c>
      <c r="H3" s="109" t="s">
        <v>26</v>
      </c>
      <c r="I3" s="46"/>
      <c r="J3" s="46" t="s">
        <v>24</v>
      </c>
      <c r="K3" s="109" t="s">
        <v>24</v>
      </c>
      <c r="L3" s="109" t="s">
        <v>26</v>
      </c>
      <c r="M3" s="46"/>
      <c r="N3" s="46" t="s">
        <v>24</v>
      </c>
      <c r="O3" s="109" t="s">
        <v>24</v>
      </c>
      <c r="P3" s="109" t="s">
        <v>26</v>
      </c>
    </row>
    <row r="4" spans="4:16" ht="12.75">
      <c r="D4" s="82" t="s">
        <v>234</v>
      </c>
      <c r="F4" s="46" t="s">
        <v>235</v>
      </c>
      <c r="G4" s="109" t="s">
        <v>66</v>
      </c>
      <c r="H4" s="109" t="s">
        <v>66</v>
      </c>
      <c r="I4" s="46"/>
      <c r="J4" s="46" t="s">
        <v>235</v>
      </c>
      <c r="K4" s="109" t="s">
        <v>66</v>
      </c>
      <c r="L4" s="109" t="s">
        <v>66</v>
      </c>
      <c r="M4" s="46"/>
      <c r="N4" s="46" t="s">
        <v>235</v>
      </c>
      <c r="O4" s="109" t="s">
        <v>66</v>
      </c>
      <c r="P4" s="109" t="s">
        <v>66</v>
      </c>
    </row>
    <row r="5" spans="1:16" s="80" customFormat="1" ht="12.75">
      <c r="A5" s="80" t="s">
        <v>203</v>
      </c>
      <c r="C5" s="80" t="s">
        <v>236</v>
      </c>
      <c r="D5" s="83">
        <v>1</v>
      </c>
      <c r="E5" s="81"/>
      <c r="F5" s="111">
        <v>0.08656012854635245</v>
      </c>
      <c r="G5" s="84">
        <f>IF(E5=1,F5/2,F5)</f>
        <v>0.08656012854635245</v>
      </c>
      <c r="H5" s="84">
        <f>G5*$D5</f>
        <v>0.08656012854635245</v>
      </c>
      <c r="I5" s="81"/>
      <c r="J5" s="111">
        <v>0.057301872572323</v>
      </c>
      <c r="K5" s="84">
        <f>IF(I5=1,J5/2,J5)</f>
        <v>0.057301872572323</v>
      </c>
      <c r="L5" s="84">
        <f>K5*$D5</f>
        <v>0.057301872572323</v>
      </c>
      <c r="M5" s="81"/>
      <c r="N5" s="111">
        <v>0.023281888932858465</v>
      </c>
      <c r="O5" s="84">
        <f>IF(M5=1,N5/2,N5)</f>
        <v>0.023281888932858465</v>
      </c>
      <c r="P5" s="84">
        <f>O5*$D5</f>
        <v>0.023281888932858465</v>
      </c>
    </row>
    <row r="6" spans="4:16" s="80" customFormat="1" ht="12.75">
      <c r="D6" s="83">
        <v>0</v>
      </c>
      <c r="E6" s="81"/>
      <c r="F6" s="111"/>
      <c r="G6" s="84">
        <f aca="true" t="shared" si="0" ref="G6:G37">IF(E6=1,F6/2,F6)</f>
        <v>0</v>
      </c>
      <c r="H6" s="84">
        <f aca="true" t="shared" si="1" ref="H6:H37">G6*$D6</f>
        <v>0</v>
      </c>
      <c r="I6" s="81"/>
      <c r="J6" s="111"/>
      <c r="K6" s="84">
        <f aca="true" t="shared" si="2" ref="K6:K37">IF(I6=1,J6/2,J6)</f>
        <v>0</v>
      </c>
      <c r="L6" s="84">
        <f aca="true" t="shared" si="3" ref="L6:L37">K6*$D6</f>
        <v>0</v>
      </c>
      <c r="M6" s="81"/>
      <c r="N6" s="111"/>
      <c r="O6" s="84">
        <f aca="true" t="shared" si="4" ref="O6:O37">IF(M6=1,N6/2,N6)</f>
        <v>0</v>
      </c>
      <c r="P6" s="84">
        <f aca="true" t="shared" si="5" ref="P6:P37">O6*$D6</f>
        <v>0</v>
      </c>
    </row>
    <row r="7" spans="1:16" s="80" customFormat="1" ht="12.75">
      <c r="A7" s="80" t="s">
        <v>203</v>
      </c>
      <c r="C7" s="80" t="s">
        <v>238</v>
      </c>
      <c r="D7" s="83">
        <v>0</v>
      </c>
      <c r="E7" s="81"/>
      <c r="F7" s="111">
        <v>5.645225774762117</v>
      </c>
      <c r="G7" s="84">
        <f t="shared" si="0"/>
        <v>5.645225774762117</v>
      </c>
      <c r="H7" s="84">
        <f t="shared" si="1"/>
        <v>0</v>
      </c>
      <c r="I7" s="81"/>
      <c r="J7" s="111">
        <v>4.584149805785842</v>
      </c>
      <c r="K7" s="84">
        <f t="shared" si="2"/>
        <v>4.584149805785842</v>
      </c>
      <c r="L7" s="84">
        <f t="shared" si="3"/>
        <v>0</v>
      </c>
      <c r="M7" s="81"/>
      <c r="N7" s="111">
        <v>3.940011973252971</v>
      </c>
      <c r="O7" s="84">
        <f t="shared" si="4"/>
        <v>3.940011973252971</v>
      </c>
      <c r="P7" s="84">
        <f t="shared" si="5"/>
        <v>0</v>
      </c>
    </row>
    <row r="8" spans="1:16" s="80" customFormat="1" ht="12.75">
      <c r="A8" s="80" t="s">
        <v>203</v>
      </c>
      <c r="C8" s="80" t="s">
        <v>239</v>
      </c>
      <c r="D8" s="83">
        <v>0.5</v>
      </c>
      <c r="E8" s="81"/>
      <c r="F8" s="111">
        <v>0.016182980554318</v>
      </c>
      <c r="G8" s="84">
        <f t="shared" si="0"/>
        <v>0.016182980554318</v>
      </c>
      <c r="H8" s="84">
        <f t="shared" si="1"/>
        <v>0.008091490277159</v>
      </c>
      <c r="I8" s="81"/>
      <c r="J8" s="111">
        <v>0.017954586739327878</v>
      </c>
      <c r="K8" s="84">
        <f t="shared" si="2"/>
        <v>0.017954586739327878</v>
      </c>
      <c r="L8" s="84">
        <f t="shared" si="3"/>
        <v>0.008977293369663939</v>
      </c>
      <c r="M8" s="81"/>
      <c r="N8" s="111">
        <v>0.011820035919759</v>
      </c>
      <c r="O8" s="84">
        <f t="shared" si="4"/>
        <v>0.011820035919759</v>
      </c>
      <c r="P8" s="84">
        <f t="shared" si="5"/>
        <v>0.0059100179598795</v>
      </c>
    </row>
    <row r="9" spans="4:16" s="80" customFormat="1" ht="12.75">
      <c r="D9" s="83">
        <v>0</v>
      </c>
      <c r="E9" s="81"/>
      <c r="F9" s="111"/>
      <c r="G9" s="84">
        <f t="shared" si="0"/>
        <v>0</v>
      </c>
      <c r="H9" s="84">
        <f t="shared" si="1"/>
        <v>0</v>
      </c>
      <c r="I9" s="81"/>
      <c r="J9" s="111"/>
      <c r="K9" s="84">
        <f t="shared" si="2"/>
        <v>0</v>
      </c>
      <c r="L9" s="84">
        <f t="shared" si="3"/>
        <v>0</v>
      </c>
      <c r="M9" s="81"/>
      <c r="N9" s="111"/>
      <c r="O9" s="84">
        <f t="shared" si="4"/>
        <v>0</v>
      </c>
      <c r="P9" s="84">
        <f t="shared" si="5"/>
        <v>0</v>
      </c>
    </row>
    <row r="10" spans="1:16" s="80" customFormat="1" ht="12.75">
      <c r="A10" s="80" t="s">
        <v>203</v>
      </c>
      <c r="C10" s="80" t="s">
        <v>241</v>
      </c>
      <c r="D10" s="83">
        <v>0</v>
      </c>
      <c r="E10" s="81"/>
      <c r="F10" s="111">
        <v>0.3236596110863614</v>
      </c>
      <c r="G10" s="84">
        <f t="shared" si="0"/>
        <v>0.3236596110863614</v>
      </c>
      <c r="H10" s="84">
        <f t="shared" si="1"/>
        <v>0</v>
      </c>
      <c r="I10" s="81"/>
      <c r="J10" s="111">
        <v>0.25976848899453103</v>
      </c>
      <c r="K10" s="84">
        <f t="shared" si="2"/>
        <v>0.25976848899453103</v>
      </c>
      <c r="L10" s="84">
        <f t="shared" si="3"/>
        <v>0</v>
      </c>
      <c r="M10" s="81"/>
      <c r="N10" s="111">
        <v>0.2220734021288038</v>
      </c>
      <c r="O10" s="84">
        <f t="shared" si="4"/>
        <v>0.2220734021288038</v>
      </c>
      <c r="P10" s="84">
        <f t="shared" si="5"/>
        <v>0</v>
      </c>
    </row>
    <row r="11" spans="1:16" s="80" customFormat="1" ht="12.75">
      <c r="A11" s="80" t="s">
        <v>203</v>
      </c>
      <c r="C11" s="80" t="s">
        <v>242</v>
      </c>
      <c r="D11" s="83">
        <v>0.1</v>
      </c>
      <c r="E11" s="81">
        <v>1</v>
      </c>
      <c r="F11" s="111">
        <v>0.0018817419249207</v>
      </c>
      <c r="G11" s="84">
        <f t="shared" si="0"/>
        <v>0.00094087096246035</v>
      </c>
      <c r="H11" s="84">
        <f t="shared" si="1"/>
        <v>9.408709624603501E-05</v>
      </c>
      <c r="I11" s="81">
        <v>1</v>
      </c>
      <c r="J11" s="111">
        <v>0.0049661622896013296</v>
      </c>
      <c r="K11" s="84">
        <f t="shared" si="2"/>
        <v>0.0024830811448006648</v>
      </c>
      <c r="L11" s="84">
        <f t="shared" si="3"/>
        <v>0.00024830811448006647</v>
      </c>
      <c r="M11" s="81">
        <v>1</v>
      </c>
      <c r="N11" s="111">
        <v>0.005014560693231054</v>
      </c>
      <c r="O11" s="84">
        <f t="shared" si="4"/>
        <v>0.002507280346615527</v>
      </c>
      <c r="P11" s="84">
        <f t="shared" si="5"/>
        <v>0.0002507280346615527</v>
      </c>
    </row>
    <row r="12" spans="1:16" s="80" customFormat="1" ht="12.75">
      <c r="A12" s="80" t="s">
        <v>203</v>
      </c>
      <c r="C12" s="80" t="s">
        <v>243</v>
      </c>
      <c r="D12" s="83">
        <v>0.1</v>
      </c>
      <c r="E12" s="81">
        <v>1</v>
      </c>
      <c r="F12" s="111">
        <v>0.0052688773897779755</v>
      </c>
      <c r="G12" s="84">
        <f t="shared" si="0"/>
        <v>0.0026344386948889877</v>
      </c>
      <c r="H12" s="84">
        <f t="shared" si="1"/>
        <v>0.00026344386948889877</v>
      </c>
      <c r="I12" s="81">
        <v>1</v>
      </c>
      <c r="J12" s="111">
        <v>0.0061121997410477896</v>
      </c>
      <c r="K12" s="84">
        <f t="shared" si="2"/>
        <v>0.0030560998705238948</v>
      </c>
      <c r="L12" s="84">
        <f t="shared" si="3"/>
        <v>0.0003056099870523895</v>
      </c>
      <c r="M12" s="81">
        <v>1</v>
      </c>
      <c r="N12" s="111">
        <v>0.0064472923198685</v>
      </c>
      <c r="O12" s="84">
        <f t="shared" si="4"/>
        <v>0.00322364615993425</v>
      </c>
      <c r="P12" s="84">
        <f t="shared" si="5"/>
        <v>0.000322364615993425</v>
      </c>
    </row>
    <row r="13" spans="1:16" s="80" customFormat="1" ht="12.75">
      <c r="A13" s="80" t="s">
        <v>203</v>
      </c>
      <c r="C13" s="80" t="s">
        <v>244</v>
      </c>
      <c r="D13" s="83">
        <v>0.1</v>
      </c>
      <c r="E13" s="81">
        <v>1</v>
      </c>
      <c r="F13" s="111">
        <v>0.0026344386948889877</v>
      </c>
      <c r="G13" s="84">
        <f t="shared" si="0"/>
        <v>0.0013172193474444939</v>
      </c>
      <c r="H13" s="84">
        <f t="shared" si="1"/>
        <v>0.00013172193474444939</v>
      </c>
      <c r="I13" s="81">
        <v>1</v>
      </c>
      <c r="J13" s="111">
        <v>0.0049661622896013296</v>
      </c>
      <c r="K13" s="84">
        <f t="shared" si="2"/>
        <v>0.0024830811448006648</v>
      </c>
      <c r="L13" s="84">
        <f t="shared" si="3"/>
        <v>0.00024830811448006647</v>
      </c>
      <c r="M13" s="81">
        <v>1</v>
      </c>
      <c r="N13" s="111">
        <v>0.0035818290665936</v>
      </c>
      <c r="O13" s="84">
        <f t="shared" si="4"/>
        <v>0.0017909145332968</v>
      </c>
      <c r="P13" s="84">
        <f t="shared" si="5"/>
        <v>0.00017909145332968</v>
      </c>
    </row>
    <row r="14" spans="4:16" s="80" customFormat="1" ht="12.75">
      <c r="D14" s="83">
        <v>0</v>
      </c>
      <c r="E14" s="81"/>
      <c r="F14" s="111"/>
      <c r="G14" s="84">
        <f t="shared" si="0"/>
        <v>0</v>
      </c>
      <c r="H14" s="84">
        <f t="shared" si="1"/>
        <v>0</v>
      </c>
      <c r="I14" s="81"/>
      <c r="J14" s="111"/>
      <c r="K14" s="84">
        <f t="shared" si="2"/>
        <v>0</v>
      </c>
      <c r="L14" s="84">
        <f t="shared" si="3"/>
        <v>0</v>
      </c>
      <c r="M14" s="81"/>
      <c r="N14" s="111"/>
      <c r="O14" s="84">
        <f t="shared" si="4"/>
        <v>0</v>
      </c>
      <c r="P14" s="84">
        <f t="shared" si="5"/>
        <v>0</v>
      </c>
    </row>
    <row r="15" spans="1:16" s="80" customFormat="1" ht="12.75">
      <c r="A15" s="80" t="s">
        <v>203</v>
      </c>
      <c r="C15" s="80" t="s">
        <v>246</v>
      </c>
      <c r="D15" s="83">
        <v>0</v>
      </c>
      <c r="E15" s="81"/>
      <c r="F15" s="111">
        <v>0.018817419249207</v>
      </c>
      <c r="G15" s="84">
        <f t="shared" si="0"/>
        <v>0.018817419249207</v>
      </c>
      <c r="H15" s="84">
        <f t="shared" si="1"/>
        <v>0</v>
      </c>
      <c r="I15" s="81"/>
      <c r="J15" s="111">
        <v>0.017190561771697</v>
      </c>
      <c r="K15" s="84">
        <f t="shared" si="2"/>
        <v>0.017190561771697</v>
      </c>
      <c r="L15" s="84">
        <f t="shared" si="3"/>
        <v>0</v>
      </c>
      <c r="M15" s="81"/>
      <c r="N15" s="111">
        <v>0.030087364159386322</v>
      </c>
      <c r="O15" s="84">
        <f t="shared" si="4"/>
        <v>0.030087364159386322</v>
      </c>
      <c r="P15" s="84">
        <f t="shared" si="5"/>
        <v>0</v>
      </c>
    </row>
    <row r="16" spans="1:16" s="80" customFormat="1" ht="12.75">
      <c r="A16" s="80" t="s">
        <v>203</v>
      </c>
      <c r="C16" s="80" t="s">
        <v>247</v>
      </c>
      <c r="D16" s="83">
        <v>0.01</v>
      </c>
      <c r="E16" s="81"/>
      <c r="F16" s="111">
        <v>0.013172193474445</v>
      </c>
      <c r="G16" s="84">
        <f t="shared" si="0"/>
        <v>0.013172193474445</v>
      </c>
      <c r="H16" s="84">
        <f t="shared" si="1"/>
        <v>0.00013172193474445</v>
      </c>
      <c r="I16" s="81"/>
      <c r="J16" s="111">
        <v>0.016808549287881423</v>
      </c>
      <c r="K16" s="84">
        <f t="shared" si="2"/>
        <v>0.016808549287881423</v>
      </c>
      <c r="L16" s="84">
        <f t="shared" si="3"/>
        <v>0.00016808549287881423</v>
      </c>
      <c r="M16" s="81"/>
      <c r="N16" s="111">
        <v>0.015043682079693161</v>
      </c>
      <c r="O16" s="84">
        <f t="shared" si="4"/>
        <v>0.015043682079693161</v>
      </c>
      <c r="P16" s="84">
        <f t="shared" si="5"/>
        <v>0.0001504368207969316</v>
      </c>
    </row>
    <row r="17" spans="4:16" s="80" customFormat="1" ht="12.75">
      <c r="D17" s="83">
        <v>0</v>
      </c>
      <c r="E17" s="81"/>
      <c r="F17" s="111"/>
      <c r="G17" s="84">
        <f t="shared" si="0"/>
        <v>0</v>
      </c>
      <c r="H17" s="84">
        <f t="shared" si="1"/>
        <v>0</v>
      </c>
      <c r="I17" s="81"/>
      <c r="J17" s="111"/>
      <c r="K17" s="84">
        <f t="shared" si="2"/>
        <v>0</v>
      </c>
      <c r="L17" s="84">
        <f t="shared" si="3"/>
        <v>0</v>
      </c>
      <c r="M17" s="81"/>
      <c r="N17" s="111"/>
      <c r="O17" s="84">
        <f t="shared" si="4"/>
        <v>0</v>
      </c>
      <c r="P17" s="84">
        <f t="shared" si="5"/>
        <v>0</v>
      </c>
    </row>
    <row r="18" spans="1:16" s="80" customFormat="1" ht="12.75">
      <c r="A18" s="80" t="s">
        <v>203</v>
      </c>
      <c r="C18" s="80" t="s">
        <v>249</v>
      </c>
      <c r="D18" s="83">
        <v>0</v>
      </c>
      <c r="E18" s="81"/>
      <c r="F18" s="111">
        <v>0.025968038563905737</v>
      </c>
      <c r="G18" s="84">
        <f t="shared" si="0"/>
        <v>0.025968038563905737</v>
      </c>
      <c r="H18" s="84">
        <f t="shared" si="1"/>
        <v>0</v>
      </c>
      <c r="I18" s="81"/>
      <c r="J18" s="111">
        <v>0.03705521093010223</v>
      </c>
      <c r="K18" s="84">
        <f t="shared" si="2"/>
        <v>0.03705521093010223</v>
      </c>
      <c r="L18" s="84">
        <f t="shared" si="3"/>
        <v>0</v>
      </c>
      <c r="M18" s="81"/>
      <c r="N18" s="111">
        <v>0.03152009578602376</v>
      </c>
      <c r="O18" s="84">
        <f t="shared" si="4"/>
        <v>0.03152009578602376</v>
      </c>
      <c r="P18" s="84">
        <f t="shared" si="5"/>
        <v>0</v>
      </c>
    </row>
    <row r="19" spans="1:16" s="80" customFormat="1" ht="12.75">
      <c r="A19" s="80" t="s">
        <v>203</v>
      </c>
      <c r="C19" s="80" t="s">
        <v>250</v>
      </c>
      <c r="D19" s="83">
        <v>0.001</v>
      </c>
      <c r="E19" s="81"/>
      <c r="F19" s="111">
        <v>1.505393539936564</v>
      </c>
      <c r="G19" s="84">
        <f t="shared" si="0"/>
        <v>1.505393539936564</v>
      </c>
      <c r="H19" s="84">
        <f t="shared" si="1"/>
        <v>0.001505393539936564</v>
      </c>
      <c r="I19" s="81"/>
      <c r="J19" s="111">
        <v>3.0178986221423463</v>
      </c>
      <c r="K19" s="84">
        <f t="shared" si="2"/>
        <v>3.0178986221423463</v>
      </c>
      <c r="L19" s="84">
        <f t="shared" si="3"/>
        <v>0.0030178986221423465</v>
      </c>
      <c r="M19" s="81"/>
      <c r="N19" s="111">
        <v>1.6118230799671245</v>
      </c>
      <c r="O19" s="84">
        <f t="shared" si="4"/>
        <v>1.6118230799671245</v>
      </c>
      <c r="P19" s="84">
        <f t="shared" si="5"/>
        <v>0.0016118230799671246</v>
      </c>
    </row>
    <row r="20" spans="1:16" s="80" customFormat="1" ht="12.75">
      <c r="A20" s="80" t="s">
        <v>203</v>
      </c>
      <c r="C20" s="80" t="s">
        <v>251</v>
      </c>
      <c r="D20" s="83">
        <v>0.1</v>
      </c>
      <c r="E20" s="81"/>
      <c r="F20" s="111">
        <v>0.1994646440415948</v>
      </c>
      <c r="G20" s="84">
        <f t="shared" si="0"/>
        <v>0.1994646440415948</v>
      </c>
      <c r="H20" s="84">
        <f t="shared" si="1"/>
        <v>0.01994646440415948</v>
      </c>
      <c r="I20" s="81"/>
      <c r="J20" s="111">
        <v>0.15662511836435</v>
      </c>
      <c r="K20" s="84">
        <f t="shared" si="2"/>
        <v>0.15662511836435</v>
      </c>
      <c r="L20" s="84">
        <f t="shared" si="3"/>
        <v>0.015662511836435</v>
      </c>
      <c r="M20" s="81"/>
      <c r="N20" s="111">
        <v>0.11820035919759</v>
      </c>
      <c r="O20" s="84">
        <f t="shared" si="4"/>
        <v>0.11820035919759</v>
      </c>
      <c r="P20" s="84">
        <f t="shared" si="5"/>
        <v>0.011820035919759001</v>
      </c>
    </row>
    <row r="21" spans="4:16" s="80" customFormat="1" ht="12.75">
      <c r="D21" s="83">
        <v>0</v>
      </c>
      <c r="E21" s="81"/>
      <c r="F21" s="111"/>
      <c r="G21" s="84">
        <f t="shared" si="0"/>
        <v>0</v>
      </c>
      <c r="H21" s="84">
        <f t="shared" si="1"/>
        <v>0</v>
      </c>
      <c r="I21" s="81"/>
      <c r="J21" s="111"/>
      <c r="K21" s="84">
        <f t="shared" si="2"/>
        <v>0</v>
      </c>
      <c r="L21" s="84">
        <f t="shared" si="3"/>
        <v>0</v>
      </c>
      <c r="M21" s="81"/>
      <c r="N21" s="111"/>
      <c r="O21" s="84">
        <f t="shared" si="4"/>
        <v>0</v>
      </c>
      <c r="P21" s="84">
        <f t="shared" si="5"/>
        <v>0</v>
      </c>
    </row>
    <row r="22" spans="1:16" s="80" customFormat="1" ht="12.75">
      <c r="A22" s="80" t="s">
        <v>203</v>
      </c>
      <c r="C22" s="80" t="s">
        <v>253</v>
      </c>
      <c r="D22" s="83">
        <v>0</v>
      </c>
      <c r="E22" s="81"/>
      <c r="F22" s="111">
        <v>3.612944495847754</v>
      </c>
      <c r="G22" s="84">
        <f t="shared" si="0"/>
        <v>3.612944495847754</v>
      </c>
      <c r="H22" s="84">
        <f t="shared" si="1"/>
        <v>0</v>
      </c>
      <c r="I22" s="81"/>
      <c r="J22" s="111">
        <v>2.7504898834715</v>
      </c>
      <c r="K22" s="84">
        <f t="shared" si="2"/>
        <v>2.7504898834715</v>
      </c>
      <c r="L22" s="84">
        <f t="shared" si="3"/>
        <v>0</v>
      </c>
      <c r="M22" s="81"/>
      <c r="N22" s="111">
        <v>1.5760047893011884</v>
      </c>
      <c r="O22" s="84">
        <f t="shared" si="4"/>
        <v>1.5760047893011884</v>
      </c>
      <c r="P22" s="84">
        <f t="shared" si="5"/>
        <v>0</v>
      </c>
    </row>
    <row r="23" spans="1:16" s="80" customFormat="1" ht="12.75">
      <c r="A23" s="80" t="s">
        <v>203</v>
      </c>
      <c r="C23" s="80" t="s">
        <v>254</v>
      </c>
      <c r="D23" s="83">
        <v>0.05</v>
      </c>
      <c r="E23" s="81"/>
      <c r="F23" s="111">
        <v>0.00940870962460353</v>
      </c>
      <c r="G23" s="84">
        <f t="shared" si="0"/>
        <v>0.00940870962460353</v>
      </c>
      <c r="H23" s="84">
        <f t="shared" si="1"/>
        <v>0.00047043548123017653</v>
      </c>
      <c r="I23" s="81"/>
      <c r="J23" s="111">
        <v>0.0072582371924942496</v>
      </c>
      <c r="K23" s="84">
        <f t="shared" si="2"/>
        <v>0.0072582371924942496</v>
      </c>
      <c r="L23" s="84">
        <f t="shared" si="3"/>
        <v>0.0003629118596247125</v>
      </c>
      <c r="M23" s="81"/>
      <c r="N23" s="111">
        <v>0.00394001197325297</v>
      </c>
      <c r="O23" s="84">
        <f t="shared" si="4"/>
        <v>0.00394001197325297</v>
      </c>
      <c r="P23" s="84">
        <f t="shared" si="5"/>
        <v>0.0001970005986626485</v>
      </c>
    </row>
    <row r="24" spans="1:16" s="80" customFormat="1" ht="12.75">
      <c r="A24" s="80" t="s">
        <v>203</v>
      </c>
      <c r="C24" s="80" t="s">
        <v>255</v>
      </c>
      <c r="D24" s="83">
        <v>0.5</v>
      </c>
      <c r="E24" s="81"/>
      <c r="F24" s="111">
        <v>0.007903316084666963</v>
      </c>
      <c r="G24" s="84">
        <f t="shared" si="0"/>
        <v>0.007903316084666963</v>
      </c>
      <c r="H24" s="84">
        <f t="shared" si="1"/>
        <v>0.003951658042333482</v>
      </c>
      <c r="I24" s="81"/>
      <c r="J24" s="111">
        <v>0.0057301872572323</v>
      </c>
      <c r="K24" s="84">
        <f t="shared" si="2"/>
        <v>0.0057301872572323</v>
      </c>
      <c r="L24" s="84">
        <f t="shared" si="3"/>
        <v>0.00286509362861615</v>
      </c>
      <c r="M24" s="81"/>
      <c r="N24" s="111">
        <v>0.0716365813318722</v>
      </c>
      <c r="O24" s="84">
        <f t="shared" si="4"/>
        <v>0.0716365813318722</v>
      </c>
      <c r="P24" s="84">
        <f t="shared" si="5"/>
        <v>0.0358182906659361</v>
      </c>
    </row>
    <row r="25" spans="4:16" s="80" customFormat="1" ht="12.75">
      <c r="D25" s="83">
        <v>0</v>
      </c>
      <c r="E25" s="81"/>
      <c r="F25" s="111"/>
      <c r="G25" s="84">
        <f t="shared" si="0"/>
        <v>0</v>
      </c>
      <c r="H25" s="84">
        <f t="shared" si="1"/>
        <v>0</v>
      </c>
      <c r="I25" s="81"/>
      <c r="J25" s="111"/>
      <c r="K25" s="84">
        <f t="shared" si="2"/>
        <v>0</v>
      </c>
      <c r="L25" s="84">
        <f t="shared" si="3"/>
        <v>0</v>
      </c>
      <c r="M25" s="81"/>
      <c r="N25" s="111"/>
      <c r="O25" s="84">
        <f t="shared" si="4"/>
        <v>0</v>
      </c>
      <c r="P25" s="84">
        <f t="shared" si="5"/>
        <v>0</v>
      </c>
    </row>
    <row r="26" spans="1:16" s="80" customFormat="1" ht="12.75">
      <c r="A26" s="80" t="s">
        <v>203</v>
      </c>
      <c r="C26" s="80" t="s">
        <v>257</v>
      </c>
      <c r="D26" s="83">
        <v>0</v>
      </c>
      <c r="E26" s="81"/>
      <c r="F26" s="111">
        <v>0.24838993408953314</v>
      </c>
      <c r="G26" s="84">
        <f t="shared" si="0"/>
        <v>0.24838993408953314</v>
      </c>
      <c r="H26" s="84">
        <f t="shared" si="1"/>
        <v>0</v>
      </c>
      <c r="I26" s="81"/>
      <c r="J26" s="111">
        <v>0.16808549287881422</v>
      </c>
      <c r="K26" s="84">
        <f t="shared" si="2"/>
        <v>0.16808549287881422</v>
      </c>
      <c r="L26" s="84">
        <f t="shared" si="3"/>
        <v>0</v>
      </c>
      <c r="M26" s="81"/>
      <c r="N26" s="111">
        <v>0.12536401733077632</v>
      </c>
      <c r="O26" s="84">
        <f t="shared" si="4"/>
        <v>0.12536401733077632</v>
      </c>
      <c r="P26" s="84">
        <f t="shared" si="5"/>
        <v>0</v>
      </c>
    </row>
    <row r="27" spans="1:16" s="80" customFormat="1" ht="12.75">
      <c r="A27" s="80" t="s">
        <v>203</v>
      </c>
      <c r="C27" s="80" t="s">
        <v>258</v>
      </c>
      <c r="D27" s="83">
        <v>0.1</v>
      </c>
      <c r="E27" s="81"/>
      <c r="F27" s="111">
        <v>0.011666799934508375</v>
      </c>
      <c r="G27" s="84">
        <f t="shared" si="0"/>
        <v>0.011666799934508375</v>
      </c>
      <c r="H27" s="84">
        <f t="shared" si="1"/>
        <v>0.0011666799934508375</v>
      </c>
      <c r="I27" s="81">
        <v>1</v>
      </c>
      <c r="J27" s="111">
        <v>0.0061121997410477896</v>
      </c>
      <c r="K27" s="84">
        <f t="shared" si="2"/>
        <v>0.0030560998705238948</v>
      </c>
      <c r="L27" s="84">
        <f t="shared" si="3"/>
        <v>0.0003056099870523895</v>
      </c>
      <c r="M27" s="81"/>
      <c r="N27" s="111">
        <v>0.0064472923198685</v>
      </c>
      <c r="O27" s="84">
        <f t="shared" si="4"/>
        <v>0.0064472923198685</v>
      </c>
      <c r="P27" s="84">
        <f t="shared" si="5"/>
        <v>0.00064472923198685</v>
      </c>
    </row>
    <row r="28" spans="1:16" s="80" customFormat="1" ht="12.75">
      <c r="A28" s="80" t="s">
        <v>203</v>
      </c>
      <c r="C28" s="80" t="s">
        <v>259</v>
      </c>
      <c r="D28" s="83">
        <v>0.1</v>
      </c>
      <c r="E28" s="81">
        <v>1</v>
      </c>
      <c r="F28" s="111">
        <v>0.004892529004793834</v>
      </c>
      <c r="G28" s="84">
        <f t="shared" si="0"/>
        <v>0.002446264502396917</v>
      </c>
      <c r="H28" s="84">
        <f t="shared" si="1"/>
        <v>0.00024462645023969173</v>
      </c>
      <c r="I28" s="81"/>
      <c r="J28" s="111">
        <v>0.0038201248381548687</v>
      </c>
      <c r="K28" s="84">
        <f t="shared" si="2"/>
        <v>0.0038201248381548687</v>
      </c>
      <c r="L28" s="84">
        <f t="shared" si="3"/>
        <v>0.0003820124838154869</v>
      </c>
      <c r="M28" s="81"/>
      <c r="N28" s="111">
        <v>0.0029370998346067603</v>
      </c>
      <c r="O28" s="84">
        <f t="shared" si="4"/>
        <v>0.0029370998346067603</v>
      </c>
      <c r="P28" s="84">
        <f t="shared" si="5"/>
        <v>0.00029370998346067603</v>
      </c>
    </row>
    <row r="29" spans="1:16" s="80" customFormat="1" ht="12.75">
      <c r="A29" s="80" t="s">
        <v>203</v>
      </c>
      <c r="C29" s="80" t="s">
        <v>260</v>
      </c>
      <c r="D29" s="83">
        <v>0.1</v>
      </c>
      <c r="E29" s="81">
        <v>1</v>
      </c>
      <c r="F29" s="111">
        <v>0.004139832234825552</v>
      </c>
      <c r="G29" s="84">
        <f t="shared" si="0"/>
        <v>0.002069916117412776</v>
      </c>
      <c r="H29" s="84">
        <f t="shared" si="1"/>
        <v>0.0002069916117412776</v>
      </c>
      <c r="I29" s="81">
        <v>1</v>
      </c>
      <c r="J29" s="111">
        <v>0.0037055210930102226</v>
      </c>
      <c r="K29" s="84">
        <f t="shared" si="2"/>
        <v>0.0018527605465051113</v>
      </c>
      <c r="L29" s="84">
        <f t="shared" si="3"/>
        <v>0.00018527605465051115</v>
      </c>
      <c r="M29" s="81">
        <v>1</v>
      </c>
      <c r="N29" s="111">
        <v>0.006805475226527857</v>
      </c>
      <c r="O29" s="84">
        <f t="shared" si="4"/>
        <v>0.0034027376132639287</v>
      </c>
      <c r="P29" s="84">
        <f t="shared" si="5"/>
        <v>0.00034027376132639287</v>
      </c>
    </row>
    <row r="30" spans="1:16" s="80" customFormat="1" ht="12.75">
      <c r="A30" s="80" t="s">
        <v>203</v>
      </c>
      <c r="C30" s="80" t="s">
        <v>261</v>
      </c>
      <c r="D30" s="83">
        <v>0.1</v>
      </c>
      <c r="E30" s="81">
        <v>1</v>
      </c>
      <c r="F30" s="111">
        <v>0.003010787079873129</v>
      </c>
      <c r="G30" s="84">
        <f t="shared" si="0"/>
        <v>0.0015053935399365645</v>
      </c>
      <c r="H30" s="84">
        <f t="shared" si="1"/>
        <v>0.00015053935399365645</v>
      </c>
      <c r="I30" s="81">
        <v>1</v>
      </c>
      <c r="J30" s="111">
        <v>0.001948263667458983</v>
      </c>
      <c r="K30" s="84">
        <f t="shared" si="2"/>
        <v>0.0009741318337294915</v>
      </c>
      <c r="L30" s="84">
        <f t="shared" si="3"/>
        <v>9.741318337294916E-05</v>
      </c>
      <c r="M30" s="81">
        <v>1</v>
      </c>
      <c r="N30" s="111">
        <v>0.0017909145332968</v>
      </c>
      <c r="O30" s="84">
        <f t="shared" si="4"/>
        <v>0.0008954572666484</v>
      </c>
      <c r="P30" s="84">
        <f t="shared" si="5"/>
        <v>8.954572666484E-05</v>
      </c>
    </row>
    <row r="31" spans="4:16" s="80" customFormat="1" ht="12.75">
      <c r="D31" s="83">
        <v>0</v>
      </c>
      <c r="E31" s="81"/>
      <c r="F31" s="111"/>
      <c r="G31" s="84">
        <f t="shared" si="0"/>
        <v>0</v>
      </c>
      <c r="H31" s="84">
        <f t="shared" si="1"/>
        <v>0</v>
      </c>
      <c r="I31" s="81"/>
      <c r="J31" s="111"/>
      <c r="K31" s="84">
        <f t="shared" si="2"/>
        <v>0</v>
      </c>
      <c r="L31" s="84">
        <f t="shared" si="3"/>
        <v>0</v>
      </c>
      <c r="M31" s="81"/>
      <c r="N31" s="111"/>
      <c r="O31" s="84">
        <f t="shared" si="4"/>
        <v>0</v>
      </c>
      <c r="P31" s="84">
        <f t="shared" si="5"/>
        <v>0</v>
      </c>
    </row>
    <row r="32" spans="1:16" s="80" customFormat="1" ht="12.75">
      <c r="A32" s="80" t="s">
        <v>203</v>
      </c>
      <c r="C32" s="80" t="s">
        <v>263</v>
      </c>
      <c r="D32" s="83">
        <v>0</v>
      </c>
      <c r="E32" s="81"/>
      <c r="F32" s="111">
        <v>0.045161806198097</v>
      </c>
      <c r="G32" s="84">
        <f t="shared" si="0"/>
        <v>0.045161806198097</v>
      </c>
      <c r="H32" s="84">
        <f t="shared" si="1"/>
        <v>0</v>
      </c>
      <c r="I32" s="81"/>
      <c r="J32" s="111">
        <v>0.02788691131853054</v>
      </c>
      <c r="K32" s="84">
        <f t="shared" si="2"/>
        <v>0.02788691131853054</v>
      </c>
      <c r="L32" s="84">
        <f t="shared" si="3"/>
        <v>0</v>
      </c>
      <c r="M32" s="81"/>
      <c r="N32" s="111">
        <v>0.02543098637281463</v>
      </c>
      <c r="O32" s="84">
        <f t="shared" si="4"/>
        <v>0.02543098637281463</v>
      </c>
      <c r="P32" s="84">
        <f t="shared" si="5"/>
        <v>0</v>
      </c>
    </row>
    <row r="33" spans="1:16" s="80" customFormat="1" ht="12.75">
      <c r="A33" s="80" t="s">
        <v>203</v>
      </c>
      <c r="C33" s="80" t="s">
        <v>264</v>
      </c>
      <c r="D33" s="83">
        <v>0.01</v>
      </c>
      <c r="E33" s="81"/>
      <c r="F33" s="111">
        <v>0.009032361239619388</v>
      </c>
      <c r="G33" s="84">
        <f t="shared" si="0"/>
        <v>0.009032361239619388</v>
      </c>
      <c r="H33" s="84">
        <f t="shared" si="1"/>
        <v>9.032361239619388E-05</v>
      </c>
      <c r="I33" s="81"/>
      <c r="J33" s="111">
        <v>0.0072582371924942496</v>
      </c>
      <c r="K33" s="84">
        <f t="shared" si="2"/>
        <v>0.0072582371924942496</v>
      </c>
      <c r="L33" s="84">
        <f t="shared" si="3"/>
        <v>7.25823719249425E-05</v>
      </c>
      <c r="M33" s="81"/>
      <c r="N33" s="111">
        <v>0.006089109413209138</v>
      </c>
      <c r="O33" s="84">
        <f t="shared" si="4"/>
        <v>0.006089109413209138</v>
      </c>
      <c r="P33" s="84">
        <f t="shared" si="5"/>
        <v>6.089109413209138E-05</v>
      </c>
    </row>
    <row r="34" spans="1:16" s="80" customFormat="1" ht="12.75">
      <c r="A34" s="80" t="s">
        <v>203</v>
      </c>
      <c r="C34" s="80" t="s">
        <v>265</v>
      </c>
      <c r="D34" s="83">
        <v>0.01</v>
      </c>
      <c r="E34" s="81">
        <v>1</v>
      </c>
      <c r="F34" s="111">
        <v>0.006021574159746258</v>
      </c>
      <c r="G34" s="84">
        <f t="shared" si="0"/>
        <v>0.003010787079873129</v>
      </c>
      <c r="H34" s="84">
        <f t="shared" si="1"/>
        <v>3.010787079873129E-05</v>
      </c>
      <c r="I34" s="81">
        <v>1</v>
      </c>
      <c r="J34" s="111">
        <v>0.0018718611706958856</v>
      </c>
      <c r="K34" s="84">
        <f t="shared" si="2"/>
        <v>0.0009359305853479428</v>
      </c>
      <c r="L34" s="84">
        <f t="shared" si="3"/>
        <v>9.359305853479428E-06</v>
      </c>
      <c r="M34" s="81">
        <v>1</v>
      </c>
      <c r="N34" s="111">
        <v>0.008596389759824664</v>
      </c>
      <c r="O34" s="84">
        <f t="shared" si="4"/>
        <v>0.004298194879912332</v>
      </c>
      <c r="P34" s="84">
        <f t="shared" si="5"/>
        <v>4.298194879912332E-05</v>
      </c>
    </row>
    <row r="35" spans="4:16" s="80" customFormat="1" ht="12.75">
      <c r="D35" s="83">
        <v>0</v>
      </c>
      <c r="E35" s="81"/>
      <c r="F35" s="111"/>
      <c r="G35" s="84">
        <f t="shared" si="0"/>
        <v>0</v>
      </c>
      <c r="H35" s="84">
        <f t="shared" si="1"/>
        <v>0</v>
      </c>
      <c r="I35" s="81"/>
      <c r="J35" s="111"/>
      <c r="K35" s="84">
        <f t="shared" si="2"/>
        <v>0</v>
      </c>
      <c r="L35" s="84">
        <f t="shared" si="3"/>
        <v>0</v>
      </c>
      <c r="M35" s="81"/>
      <c r="N35" s="111"/>
      <c r="O35" s="84">
        <f t="shared" si="4"/>
        <v>0</v>
      </c>
      <c r="P35" s="84">
        <f t="shared" si="5"/>
        <v>0</v>
      </c>
    </row>
    <row r="36" spans="1:16" s="80" customFormat="1" ht="12.75">
      <c r="A36" s="80" t="s">
        <v>203</v>
      </c>
      <c r="C36" s="80" t="s">
        <v>267</v>
      </c>
      <c r="D36" s="83">
        <v>0</v>
      </c>
      <c r="E36" s="81"/>
      <c r="F36" s="111">
        <v>0.12795845089460797</v>
      </c>
      <c r="G36" s="84">
        <f t="shared" si="0"/>
        <v>0.12795845089460797</v>
      </c>
      <c r="H36" s="84">
        <f t="shared" si="1"/>
        <v>0</v>
      </c>
      <c r="I36" s="81"/>
      <c r="J36" s="111">
        <v>0.01107836203064912</v>
      </c>
      <c r="K36" s="84">
        <f t="shared" si="2"/>
        <v>0.01107836203064912</v>
      </c>
      <c r="L36" s="84">
        <f t="shared" si="3"/>
        <v>0</v>
      </c>
      <c r="M36" s="81"/>
      <c r="N36" s="111">
        <v>0.006089109413209138</v>
      </c>
      <c r="O36" s="84">
        <f t="shared" si="4"/>
        <v>0.006089109413209138</v>
      </c>
      <c r="P36" s="84">
        <f t="shared" si="5"/>
        <v>0</v>
      </c>
    </row>
    <row r="37" spans="1:16" s="80" customFormat="1" ht="12.75">
      <c r="A37" s="80" t="s">
        <v>203</v>
      </c>
      <c r="C37" s="80" t="s">
        <v>268</v>
      </c>
      <c r="D37" s="83">
        <v>0.001</v>
      </c>
      <c r="E37" s="81"/>
      <c r="F37" s="111">
        <v>0.008656012854635246</v>
      </c>
      <c r="G37" s="84">
        <f t="shared" si="0"/>
        <v>0.008656012854635246</v>
      </c>
      <c r="H37" s="84">
        <f t="shared" si="1"/>
        <v>8.656012854635245E-06</v>
      </c>
      <c r="I37" s="81"/>
      <c r="J37" s="111">
        <v>0.010696349546833633</v>
      </c>
      <c r="K37" s="84">
        <f t="shared" si="2"/>
        <v>0.010696349546833633</v>
      </c>
      <c r="L37" s="84">
        <f t="shared" si="3"/>
        <v>1.0696349546833634E-05</v>
      </c>
      <c r="M37" s="81">
        <v>1</v>
      </c>
      <c r="N37" s="111">
        <v>0.012536401733077636</v>
      </c>
      <c r="O37" s="84">
        <f t="shared" si="4"/>
        <v>0.006268200866538818</v>
      </c>
      <c r="P37" s="84">
        <f t="shared" si="5"/>
        <v>6.268200866538818E-06</v>
      </c>
    </row>
    <row r="38" spans="1:15" s="80" customFormat="1" ht="12.75">
      <c r="A38" s="80" t="s">
        <v>203</v>
      </c>
      <c r="C38" s="80" t="s">
        <v>269</v>
      </c>
      <c r="D38" s="83"/>
      <c r="E38" s="81"/>
      <c r="F38" s="111">
        <v>11.562175083482781</v>
      </c>
      <c r="G38" s="84">
        <f>SUM(G37,G36,G32,G26,G22,G19,G18,G15,G10,G7)</f>
        <v>11.562175083482781</v>
      </c>
      <c r="I38" s="81"/>
      <c r="J38" s="111">
        <v>10.88429968887085</v>
      </c>
      <c r="K38" s="84">
        <f>SUM(K37,K36,K32,K26,K22,K19,K18,K15,K10,K7)</f>
        <v>10.884299688870847</v>
      </c>
      <c r="L38" s="84">
        <f>SUM(L5:L37)</f>
        <v>0.09022084333391306</v>
      </c>
      <c r="M38" s="81"/>
      <c r="N38" s="111">
        <v>7.580941219445375</v>
      </c>
      <c r="O38" s="84">
        <f>SUM(O37,O36,O32,O26,O22,O19,O18,O15,O10,O7)</f>
        <v>7.574673018578837</v>
      </c>
    </row>
    <row r="39" spans="1:16" s="80" customFormat="1" ht="12.75">
      <c r="A39" s="80" t="s">
        <v>203</v>
      </c>
      <c r="C39" s="80" t="s">
        <v>26</v>
      </c>
      <c r="D39" s="83"/>
      <c r="E39" s="103">
        <f>(F39-H39)*2/F39*100</f>
        <v>1.8064821185550293</v>
      </c>
      <c r="F39" s="111">
        <v>0.12416598821912278</v>
      </c>
      <c r="H39" s="84">
        <f>SUM(H5:H37)</f>
        <v>0.12304447003186998</v>
      </c>
      <c r="I39" s="103">
        <f>(J39-L39)*2/J39*100</f>
        <v>3.055825414761055</v>
      </c>
      <c r="J39" s="111">
        <v>0.091620728080855</v>
      </c>
      <c r="L39" s="84">
        <f>SUM(L5:L37)</f>
        <v>0.09022084333391306</v>
      </c>
      <c r="M39" s="103">
        <f>(N39-P39)*2/N39*100</f>
        <v>2.993881594704374</v>
      </c>
      <c r="N39" s="111">
        <v>0.08225133177072237</v>
      </c>
      <c r="P39" s="84">
        <f>SUM(P5:P37)</f>
        <v>0.08102007802908093</v>
      </c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L33"/>
  <sheetViews>
    <sheetView workbookViewId="0" topLeftCell="B3">
      <selection activeCell="B35" sqref="B35"/>
    </sheetView>
  </sheetViews>
  <sheetFormatPr defaultColWidth="9.140625" defaultRowHeight="12.75"/>
  <cols>
    <col min="1" max="1" width="2.421875" style="1" hidden="1" customWidth="1"/>
    <col min="2" max="2" width="23.8515625" style="1" customWidth="1"/>
    <col min="3" max="3" width="58.421875" style="1" customWidth="1"/>
    <col min="4" max="16384" width="8.8515625" style="1" customWidth="1"/>
  </cols>
  <sheetData>
    <row r="1" spans="2:12" ht="12.75">
      <c r="B1" s="3" t="s">
        <v>73</v>
      </c>
      <c r="C1" s="9"/>
      <c r="D1" s="9"/>
      <c r="E1" s="9"/>
      <c r="F1" s="9"/>
      <c r="G1" s="9"/>
      <c r="H1" s="9"/>
      <c r="I1" s="9"/>
      <c r="J1" s="9"/>
      <c r="K1" s="9"/>
      <c r="L1" s="9"/>
    </row>
    <row r="2" spans="2:12" ht="12.75"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2:12" ht="12.75">
      <c r="B3" s="9" t="s">
        <v>101</v>
      </c>
      <c r="C3" s="10">
        <v>603</v>
      </c>
      <c r="D3" s="9"/>
      <c r="E3" s="9"/>
      <c r="F3" s="9"/>
      <c r="G3" s="9"/>
      <c r="H3" s="9"/>
      <c r="I3" s="9"/>
      <c r="J3" s="9"/>
      <c r="K3" s="9"/>
      <c r="L3" s="9"/>
    </row>
    <row r="4" spans="2:12" ht="12.75">
      <c r="B4" s="9" t="s">
        <v>0</v>
      </c>
      <c r="C4" t="s">
        <v>159</v>
      </c>
      <c r="D4" s="9"/>
      <c r="E4" s="9"/>
      <c r="F4" s="9"/>
      <c r="G4" s="9"/>
      <c r="H4" s="9"/>
      <c r="I4" s="9"/>
      <c r="J4" s="9"/>
      <c r="K4" s="9"/>
      <c r="L4" s="9"/>
    </row>
    <row r="5" spans="2:12" ht="12.75">
      <c r="B5" s="9" t="s">
        <v>1</v>
      </c>
      <c r="C5" s="9" t="s">
        <v>295</v>
      </c>
      <c r="D5" s="9"/>
      <c r="E5" s="9"/>
      <c r="F5" s="9"/>
      <c r="G5" s="9"/>
      <c r="H5" s="9"/>
      <c r="I5" s="9"/>
      <c r="J5" s="9"/>
      <c r="K5" s="9"/>
      <c r="L5" s="9"/>
    </row>
    <row r="6" spans="2:12" ht="12.75">
      <c r="B6" s="9" t="s">
        <v>2</v>
      </c>
      <c r="C6" s="9"/>
      <c r="D6" s="9"/>
      <c r="E6" s="9"/>
      <c r="F6" s="9"/>
      <c r="G6" s="9"/>
      <c r="H6" s="9"/>
      <c r="I6" s="9"/>
      <c r="J6" s="9"/>
      <c r="K6" s="9"/>
      <c r="L6" s="9"/>
    </row>
    <row r="7" spans="2:12" ht="12.75">
      <c r="B7" s="9" t="s">
        <v>3</v>
      </c>
      <c r="C7" s="9" t="s">
        <v>156</v>
      </c>
      <c r="D7" s="9"/>
      <c r="E7" s="9"/>
      <c r="F7" s="9"/>
      <c r="G7" s="9"/>
      <c r="H7" s="9"/>
      <c r="I7" s="9"/>
      <c r="J7" s="9"/>
      <c r="K7" s="9"/>
      <c r="L7" s="9"/>
    </row>
    <row r="8" spans="2:12" ht="12.75">
      <c r="B8" s="9" t="s">
        <v>4</v>
      </c>
      <c r="C8" s="9" t="s">
        <v>157</v>
      </c>
      <c r="D8" s="9"/>
      <c r="E8" s="9"/>
      <c r="F8" s="9"/>
      <c r="G8" s="9"/>
      <c r="H8" s="9"/>
      <c r="I8" s="9"/>
      <c r="J8" s="9"/>
      <c r="K8" s="9"/>
      <c r="L8" s="9"/>
    </row>
    <row r="9" spans="2:12" ht="12.75">
      <c r="B9" s="9" t="s">
        <v>5</v>
      </c>
      <c r="C9" s="9" t="s">
        <v>158</v>
      </c>
      <c r="D9" s="9"/>
      <c r="E9" s="9"/>
      <c r="F9" s="9"/>
      <c r="G9" s="9"/>
      <c r="H9" s="9"/>
      <c r="I9" s="9"/>
      <c r="J9" s="9"/>
      <c r="K9" s="9"/>
      <c r="L9" s="9"/>
    </row>
    <row r="10" spans="2:12" ht="12.75">
      <c r="B10" s="9" t="s">
        <v>6</v>
      </c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2:12" ht="12.75">
      <c r="B11" s="9" t="s">
        <v>305</v>
      </c>
      <c r="C11" s="10"/>
      <c r="D11" s="9"/>
      <c r="E11" s="9"/>
      <c r="F11" s="9"/>
      <c r="G11" s="9"/>
      <c r="H11" s="9"/>
      <c r="I11" s="9"/>
      <c r="J11" s="9"/>
      <c r="K11" s="9"/>
      <c r="L11" s="9"/>
    </row>
    <row r="12" spans="2:12" ht="12.75">
      <c r="B12" s="9" t="s">
        <v>274</v>
      </c>
      <c r="C12" s="9" t="s">
        <v>351</v>
      </c>
      <c r="D12" s="9"/>
      <c r="E12" s="9"/>
      <c r="F12" s="9"/>
      <c r="G12" s="9"/>
      <c r="H12" s="9"/>
      <c r="I12" s="9"/>
      <c r="J12" s="9"/>
      <c r="K12" s="9"/>
      <c r="L12" s="9"/>
    </row>
    <row r="13" spans="2:12" ht="12.75">
      <c r="B13" s="9" t="s">
        <v>275</v>
      </c>
      <c r="C13" s="9" t="s">
        <v>276</v>
      </c>
      <c r="D13" s="9"/>
      <c r="E13" s="9"/>
      <c r="F13" s="9"/>
      <c r="G13" s="9"/>
      <c r="H13" s="9"/>
      <c r="I13" s="9"/>
      <c r="J13" s="9"/>
      <c r="K13" s="9"/>
      <c r="L13" s="9"/>
    </row>
    <row r="14" spans="2:12" s="39" customFormat="1" ht="12.75">
      <c r="B14" s="38" t="s">
        <v>64</v>
      </c>
      <c r="C14" s="38" t="s">
        <v>277</v>
      </c>
      <c r="D14" s="38"/>
      <c r="E14" s="38"/>
      <c r="F14" s="38"/>
      <c r="G14" s="38"/>
      <c r="H14" s="38"/>
      <c r="I14" s="38"/>
      <c r="J14" s="38"/>
      <c r="K14" s="38"/>
      <c r="L14" s="38"/>
    </row>
    <row r="15" spans="2:12" s="39" customFormat="1" ht="25.5">
      <c r="B15" s="38"/>
      <c r="C15" s="38" t="s">
        <v>149</v>
      </c>
      <c r="D15" s="38"/>
      <c r="E15" s="38"/>
      <c r="F15" s="38"/>
      <c r="G15" s="38"/>
      <c r="H15" s="38"/>
      <c r="I15" s="38"/>
      <c r="J15" s="38"/>
      <c r="K15" s="38"/>
      <c r="L15" s="38"/>
    </row>
    <row r="16" spans="2:12" s="39" customFormat="1" ht="12.75">
      <c r="B16" s="38" t="s">
        <v>70</v>
      </c>
      <c r="C16" s="40">
        <v>175</v>
      </c>
      <c r="D16" s="38"/>
      <c r="E16" s="38"/>
      <c r="F16" s="38"/>
      <c r="G16" s="38"/>
      <c r="H16" s="38"/>
      <c r="I16" s="38"/>
      <c r="J16" s="38"/>
      <c r="K16" s="38"/>
      <c r="L16" s="38"/>
    </row>
    <row r="17" spans="2:12" s="39" customFormat="1" ht="12.75">
      <c r="B17" s="9" t="s">
        <v>74</v>
      </c>
      <c r="C17" s="38"/>
      <c r="F17" s="38"/>
      <c r="G17" s="38"/>
      <c r="H17" s="38"/>
      <c r="I17" s="38"/>
      <c r="J17" s="38"/>
      <c r="K17" s="38"/>
      <c r="L17" s="38"/>
    </row>
    <row r="18" spans="2:12" s="39" customFormat="1" ht="12.75">
      <c r="B18" s="38" t="s">
        <v>306</v>
      </c>
      <c r="C18" s="38" t="s">
        <v>160</v>
      </c>
      <c r="D18" s="38"/>
      <c r="E18" s="38"/>
      <c r="F18" s="38"/>
      <c r="G18" s="38"/>
      <c r="H18" s="38"/>
      <c r="I18" s="38"/>
      <c r="J18" s="38"/>
      <c r="K18" s="38"/>
      <c r="L18" s="38"/>
    </row>
    <row r="19" spans="2:12" s="39" customFormat="1" ht="12.75">
      <c r="B19" s="38" t="s">
        <v>307</v>
      </c>
      <c r="C19" s="38" t="s">
        <v>394</v>
      </c>
      <c r="D19" s="38"/>
      <c r="E19" s="38"/>
      <c r="F19" s="38"/>
      <c r="G19" s="38"/>
      <c r="H19" s="38"/>
      <c r="I19" s="38"/>
      <c r="J19" s="38"/>
      <c r="K19" s="38"/>
      <c r="L19" s="38"/>
    </row>
    <row r="20" spans="2:12" ht="12.75">
      <c r="B20" s="38" t="s">
        <v>7</v>
      </c>
      <c r="C20" s="38" t="s">
        <v>168</v>
      </c>
      <c r="D20" s="9"/>
      <c r="E20" s="9"/>
      <c r="F20" s="9"/>
      <c r="G20" s="9"/>
      <c r="H20" s="9"/>
      <c r="I20" s="9"/>
      <c r="J20" s="9"/>
      <c r="K20" s="9"/>
      <c r="L20" s="9"/>
    </row>
    <row r="21" spans="2:12" ht="12.75">
      <c r="B21" s="9" t="s">
        <v>68</v>
      </c>
      <c r="C21" s="9" t="s">
        <v>308</v>
      </c>
      <c r="D21" s="9"/>
      <c r="E21" s="9"/>
      <c r="F21" s="9"/>
      <c r="G21" s="9"/>
      <c r="H21" s="9"/>
      <c r="I21" s="9"/>
      <c r="J21" s="9"/>
      <c r="K21" s="9"/>
      <c r="L21" s="9"/>
    </row>
    <row r="22" spans="2:12" ht="25.5">
      <c r="B22" s="9" t="s">
        <v>75</v>
      </c>
      <c r="C22" s="44" t="s">
        <v>150</v>
      </c>
      <c r="D22" s="9"/>
      <c r="E22" s="9"/>
      <c r="F22" s="9"/>
      <c r="G22" s="9"/>
      <c r="H22" s="9"/>
      <c r="I22" s="9"/>
      <c r="J22" s="9"/>
      <c r="K22" s="9"/>
      <c r="L22" s="9"/>
    </row>
    <row r="23" spans="2:12" ht="12.75">
      <c r="B23" s="9" t="s">
        <v>69</v>
      </c>
      <c r="C23" s="9" t="s">
        <v>119</v>
      </c>
      <c r="D23" s="9"/>
      <c r="E23" s="9"/>
      <c r="F23" s="9"/>
      <c r="G23" s="9"/>
      <c r="H23" s="9"/>
      <c r="I23" s="9"/>
      <c r="J23" s="9"/>
      <c r="K23" s="9"/>
      <c r="L23" s="9"/>
    </row>
    <row r="24" spans="2:12" ht="12.75" customHeight="1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2:12" ht="12.75">
      <c r="B25" s="9" t="s">
        <v>8</v>
      </c>
      <c r="C25" s="10"/>
      <c r="D25" s="9"/>
      <c r="E25" s="9"/>
      <c r="F25" s="9"/>
      <c r="G25" s="9"/>
      <c r="H25" s="9"/>
      <c r="I25" s="9"/>
      <c r="J25" s="9"/>
      <c r="K25" s="9"/>
      <c r="L25" s="9"/>
    </row>
    <row r="26" spans="2:12" ht="12.75">
      <c r="B26" s="9" t="s">
        <v>9</v>
      </c>
      <c r="C26" s="43">
        <v>5.5</v>
      </c>
      <c r="D26" s="9"/>
      <c r="E26" s="9"/>
      <c r="F26" s="9"/>
      <c r="G26" s="9"/>
      <c r="H26" s="9"/>
      <c r="I26" s="9"/>
      <c r="J26" s="9"/>
      <c r="K26" s="9"/>
      <c r="L26" s="9"/>
    </row>
    <row r="27" spans="2:12" ht="12.75">
      <c r="B27" s="9" t="s">
        <v>10</v>
      </c>
      <c r="C27" s="10">
        <v>130</v>
      </c>
      <c r="D27" s="9"/>
      <c r="E27" s="9"/>
      <c r="F27" s="9"/>
      <c r="G27" s="9"/>
      <c r="H27" s="9"/>
      <c r="I27" s="9"/>
      <c r="J27" s="9"/>
      <c r="K27" s="9"/>
      <c r="L27" s="9"/>
    </row>
    <row r="28" spans="2:12" ht="12.75">
      <c r="B28" s="9" t="s">
        <v>71</v>
      </c>
      <c r="C28" s="11">
        <v>32</v>
      </c>
      <c r="D28" s="9"/>
      <c r="E28" s="9"/>
      <c r="F28" s="9"/>
      <c r="G28" s="9"/>
      <c r="H28" s="9"/>
      <c r="I28" s="9"/>
      <c r="J28" s="9"/>
      <c r="K28" s="9"/>
      <c r="L28" s="9"/>
    </row>
    <row r="29" spans="2:12" ht="14.25" customHeight="1">
      <c r="B29" s="9" t="s">
        <v>72</v>
      </c>
      <c r="C29" s="67">
        <f>'emiss 1'!M53</f>
        <v>104</v>
      </c>
      <c r="D29" s="9"/>
      <c r="E29" s="9"/>
      <c r="F29" s="9"/>
      <c r="G29" s="9"/>
      <c r="H29" s="9"/>
      <c r="I29" s="9"/>
      <c r="J29" s="9"/>
      <c r="K29" s="9"/>
      <c r="L29" s="9"/>
    </row>
    <row r="30" spans="2:12" ht="12" customHeight="1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2:12" ht="12.75">
      <c r="B31" s="9" t="s">
        <v>11</v>
      </c>
      <c r="C31" s="9" t="s">
        <v>399</v>
      </c>
      <c r="D31" s="9"/>
      <c r="E31" s="9"/>
      <c r="F31" s="9"/>
      <c r="G31" s="9"/>
      <c r="H31" s="9"/>
      <c r="I31" s="9"/>
      <c r="J31" s="9"/>
      <c r="K31" s="9"/>
      <c r="L31" s="9"/>
    </row>
    <row r="32" spans="2:12" ht="12.75">
      <c r="B32" s="9" t="s">
        <v>86</v>
      </c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2:12" ht="12.7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P39"/>
  <sheetViews>
    <sheetView workbookViewId="0" topLeftCell="C11">
      <selection activeCell="B35" sqref="B35"/>
    </sheetView>
  </sheetViews>
  <sheetFormatPr defaultColWidth="9.140625" defaultRowHeight="12.75"/>
  <cols>
    <col min="1" max="1" width="9.140625" style="0" hidden="1" customWidth="1"/>
    <col min="2" max="2" width="0" style="0" hidden="1" customWidth="1"/>
    <col min="3" max="3" width="16.00390625" style="0" customWidth="1"/>
    <col min="4" max="4" width="7.00390625" style="82" customWidth="1"/>
    <col min="5" max="5" width="6.421875" style="0" customWidth="1"/>
    <col min="7" max="7" width="7.7109375" style="61" customWidth="1"/>
    <col min="8" max="8" width="8.28125" style="61" customWidth="1"/>
    <col min="9" max="9" width="6.421875" style="0" customWidth="1"/>
    <col min="11" max="11" width="7.7109375" style="61" customWidth="1"/>
    <col min="12" max="12" width="8.28125" style="61" customWidth="1"/>
    <col min="13" max="13" width="3.7109375" style="0" customWidth="1"/>
    <col min="15" max="15" width="7.7109375" style="61" customWidth="1"/>
    <col min="16" max="16" width="8.28125" style="61" customWidth="1"/>
  </cols>
  <sheetData>
    <row r="1" ht="12.75">
      <c r="C1" s="3" t="s">
        <v>205</v>
      </c>
    </row>
    <row r="2" spans="6:16" ht="12.75">
      <c r="F2" s="107" t="s">
        <v>161</v>
      </c>
      <c r="G2" s="108"/>
      <c r="H2" s="108"/>
      <c r="J2" s="107" t="s">
        <v>120</v>
      </c>
      <c r="K2" s="108"/>
      <c r="L2" s="108"/>
      <c r="N2" s="107" t="s">
        <v>162</v>
      </c>
      <c r="O2" s="108"/>
      <c r="P2" s="108"/>
    </row>
    <row r="3" spans="3:16" ht="12.75">
      <c r="C3" t="s">
        <v>63</v>
      </c>
      <c r="D3" s="82" t="s">
        <v>22</v>
      </c>
      <c r="F3" s="46" t="s">
        <v>24</v>
      </c>
      <c r="G3" s="109" t="s">
        <v>24</v>
      </c>
      <c r="H3" s="109" t="s">
        <v>26</v>
      </c>
      <c r="I3" s="46"/>
      <c r="J3" s="46" t="s">
        <v>24</v>
      </c>
      <c r="K3" s="109" t="s">
        <v>24</v>
      </c>
      <c r="L3" s="109" t="s">
        <v>26</v>
      </c>
      <c r="M3" s="46"/>
      <c r="N3" s="46" t="s">
        <v>24</v>
      </c>
      <c r="O3" s="109" t="s">
        <v>24</v>
      </c>
      <c r="P3" s="109" t="s">
        <v>26</v>
      </c>
    </row>
    <row r="4" spans="4:16" ht="12.75">
      <c r="D4" s="82" t="s">
        <v>234</v>
      </c>
      <c r="F4" s="46" t="s">
        <v>235</v>
      </c>
      <c r="G4" s="109" t="s">
        <v>66</v>
      </c>
      <c r="H4" s="109" t="s">
        <v>66</v>
      </c>
      <c r="I4" s="46"/>
      <c r="J4" s="46" t="s">
        <v>235</v>
      </c>
      <c r="K4" s="109" t="s">
        <v>66</v>
      </c>
      <c r="L4" s="109" t="s">
        <v>66</v>
      </c>
      <c r="M4" s="46"/>
      <c r="N4" s="46" t="s">
        <v>235</v>
      </c>
      <c r="O4" s="109" t="s">
        <v>66</v>
      </c>
      <c r="P4" s="109" t="s">
        <v>66</v>
      </c>
    </row>
    <row r="5" spans="1:42" s="80" customFormat="1" ht="12.75">
      <c r="A5" s="80" t="s">
        <v>205</v>
      </c>
      <c r="B5" s="80">
        <v>1</v>
      </c>
      <c r="C5" s="80" t="s">
        <v>236</v>
      </c>
      <c r="D5" s="83">
        <v>1</v>
      </c>
      <c r="E5" s="81"/>
      <c r="F5" s="84">
        <v>0.0058442844683587345</v>
      </c>
      <c r="G5" s="84">
        <f>IF(E5=1,F5/2,F5)</f>
        <v>0.0058442844683587345</v>
      </c>
      <c r="H5" s="84">
        <f>G5*$D5</f>
        <v>0.0058442844683587345</v>
      </c>
      <c r="I5" s="81"/>
      <c r="J5" s="84">
        <v>0.06049395161290323</v>
      </c>
      <c r="K5" s="84">
        <f>IF(I5=1,J5/2,J5)</f>
        <v>0.06049395161290323</v>
      </c>
      <c r="L5" s="84">
        <f>K5*$D5</f>
        <v>0.06049395161290323</v>
      </c>
      <c r="M5" s="81"/>
      <c r="N5" s="84">
        <v>0.00399970569841445</v>
      </c>
      <c r="O5" s="84">
        <f>IF(M5=1,N5/2,N5)</f>
        <v>0.00399970569841445</v>
      </c>
      <c r="P5" s="84">
        <f>O5*$D5</f>
        <v>0.00399970569841445</v>
      </c>
      <c r="Q5" s="81"/>
      <c r="R5" s="84"/>
      <c r="S5" s="81"/>
      <c r="T5" s="84"/>
      <c r="U5" s="81"/>
      <c r="V5" s="84"/>
      <c r="W5" s="81"/>
      <c r="X5" s="84"/>
      <c r="Y5" s="81"/>
      <c r="Z5" s="84"/>
      <c r="AA5" s="81"/>
      <c r="AB5" s="85"/>
      <c r="AC5" s="81"/>
      <c r="AD5" s="85"/>
      <c r="AE5" s="81"/>
      <c r="AF5" s="85"/>
      <c r="AG5" s="81"/>
      <c r="AH5" s="85"/>
      <c r="AI5" s="81"/>
      <c r="AJ5" s="85"/>
      <c r="AK5" s="81"/>
      <c r="AL5" s="85"/>
      <c r="AM5" s="81"/>
      <c r="AN5" s="85"/>
      <c r="AO5" s="81"/>
      <c r="AP5" s="85"/>
    </row>
    <row r="6" spans="1:42" s="80" customFormat="1" ht="12.75">
      <c r="A6" s="80" t="s">
        <v>205</v>
      </c>
      <c r="B6" s="80">
        <v>2</v>
      </c>
      <c r="C6" s="80" t="s">
        <v>237</v>
      </c>
      <c r="D6" s="83">
        <v>0</v>
      </c>
      <c r="E6" s="81"/>
      <c r="F6" s="84">
        <v>0.0781673047642981</v>
      </c>
      <c r="G6" s="84">
        <f aca="true" t="shared" si="0" ref="G6:G35">IF(E6=1,F6/2,F6)</f>
        <v>0.0781673047642981</v>
      </c>
      <c r="H6" s="84">
        <f aca="true" t="shared" si="1" ref="H6:H35">G6*$D6</f>
        <v>0</v>
      </c>
      <c r="I6" s="81"/>
      <c r="J6" s="84">
        <v>0.05337701612903224</v>
      </c>
      <c r="K6" s="84">
        <f aca="true" t="shared" si="2" ref="K6:K35">IF(I6=1,J6/2,J6)</f>
        <v>0.05337701612903224</v>
      </c>
      <c r="L6" s="84">
        <f aca="true" t="shared" si="3" ref="L6:L35">K6*$D6</f>
        <v>0</v>
      </c>
      <c r="M6" s="81"/>
      <c r="N6" s="84">
        <v>0.07963050435934224</v>
      </c>
      <c r="O6" s="84">
        <f aca="true" t="shared" si="4" ref="O6:O35">IF(M6=1,N6/2,N6)</f>
        <v>0.07963050435934224</v>
      </c>
      <c r="P6" s="84">
        <f aca="true" t="shared" si="5" ref="P6:P35">O6*$D6</f>
        <v>0</v>
      </c>
      <c r="Q6" s="81"/>
      <c r="R6" s="84"/>
      <c r="S6" s="81"/>
      <c r="T6" s="84"/>
      <c r="U6" s="81"/>
      <c r="V6" s="84"/>
      <c r="W6" s="81"/>
      <c r="X6" s="84"/>
      <c r="Y6" s="81"/>
      <c r="Z6" s="84"/>
      <c r="AA6" s="81"/>
      <c r="AB6" s="85"/>
      <c r="AC6" s="81"/>
      <c r="AD6" s="85"/>
      <c r="AE6" s="81"/>
      <c r="AF6" s="85"/>
      <c r="AG6" s="81"/>
      <c r="AH6" s="85"/>
      <c r="AI6" s="81"/>
      <c r="AJ6" s="85"/>
      <c r="AK6" s="81"/>
      <c r="AL6" s="85"/>
      <c r="AM6" s="81"/>
      <c r="AN6" s="85"/>
      <c r="AO6" s="81"/>
      <c r="AP6" s="85"/>
    </row>
    <row r="7" spans="1:42" s="80" customFormat="1" ht="12.75">
      <c r="A7" s="80" t="s">
        <v>205</v>
      </c>
      <c r="B7" s="80">
        <v>3</v>
      </c>
      <c r="C7" s="80" t="s">
        <v>238</v>
      </c>
      <c r="D7" s="83">
        <v>0</v>
      </c>
      <c r="E7" s="81"/>
      <c r="F7" s="84">
        <v>0.08401158923265682</v>
      </c>
      <c r="G7" s="84">
        <f t="shared" si="0"/>
        <v>0.08401158923265682</v>
      </c>
      <c r="H7" s="84">
        <f t="shared" si="1"/>
        <v>0</v>
      </c>
      <c r="I7" s="81"/>
      <c r="J7" s="84">
        <v>0.11387096774193547</v>
      </c>
      <c r="K7" s="84">
        <f t="shared" si="2"/>
        <v>0.11387096774193547</v>
      </c>
      <c r="L7" s="84">
        <f t="shared" si="3"/>
        <v>0</v>
      </c>
      <c r="M7" s="81"/>
      <c r="N7" s="84">
        <v>0.08363021005775668</v>
      </c>
      <c r="O7" s="84">
        <f t="shared" si="4"/>
        <v>0.08363021005775668</v>
      </c>
      <c r="P7" s="84">
        <f t="shared" si="5"/>
        <v>0</v>
      </c>
      <c r="Q7" s="81"/>
      <c r="R7" s="84"/>
      <c r="S7" s="81"/>
      <c r="T7" s="84"/>
      <c r="U7" s="81"/>
      <c r="V7" s="84"/>
      <c r="W7" s="81"/>
      <c r="X7" s="84"/>
      <c r="Y7" s="81"/>
      <c r="Z7" s="84"/>
      <c r="AA7" s="81"/>
      <c r="AB7" s="85"/>
      <c r="AC7" s="81"/>
      <c r="AD7" s="85"/>
      <c r="AE7" s="81"/>
      <c r="AF7" s="85"/>
      <c r="AG7" s="81"/>
      <c r="AH7" s="85"/>
      <c r="AI7" s="81"/>
      <c r="AJ7" s="85"/>
      <c r="AK7" s="81"/>
      <c r="AL7" s="85"/>
      <c r="AM7" s="81"/>
      <c r="AN7" s="85"/>
      <c r="AO7" s="81"/>
      <c r="AP7" s="85"/>
    </row>
    <row r="8" spans="1:42" s="80" customFormat="1" ht="12.75">
      <c r="A8" s="80" t="s">
        <v>205</v>
      </c>
      <c r="B8" s="80">
        <v>4</v>
      </c>
      <c r="C8" s="80" t="s">
        <v>239</v>
      </c>
      <c r="D8" s="83">
        <v>0.5</v>
      </c>
      <c r="E8" s="81">
        <v>1</v>
      </c>
      <c r="F8" s="84">
        <v>0.009131694481810523</v>
      </c>
      <c r="G8" s="84">
        <f t="shared" si="0"/>
        <v>0.0045658472409052615</v>
      </c>
      <c r="H8" s="84">
        <f t="shared" si="1"/>
        <v>0.0022829236204526307</v>
      </c>
      <c r="I8" s="81">
        <v>1</v>
      </c>
      <c r="J8" s="84">
        <v>0.00854032258064516</v>
      </c>
      <c r="K8" s="84">
        <f t="shared" si="2"/>
        <v>0.00427016129032258</v>
      </c>
      <c r="L8" s="84">
        <f t="shared" si="3"/>
        <v>0.00213508064516129</v>
      </c>
      <c r="M8" s="81">
        <v>1</v>
      </c>
      <c r="N8" s="84">
        <v>0.004726924916307986</v>
      </c>
      <c r="O8" s="84">
        <f t="shared" si="4"/>
        <v>0.002363462458153993</v>
      </c>
      <c r="P8" s="84">
        <f t="shared" si="5"/>
        <v>0.0011817312290769964</v>
      </c>
      <c r="Q8" s="81"/>
      <c r="R8" s="84"/>
      <c r="S8" s="81"/>
      <c r="T8" s="84"/>
      <c r="U8" s="81"/>
      <c r="V8" s="84"/>
      <c r="W8" s="81"/>
      <c r="X8" s="84"/>
      <c r="Y8" s="81"/>
      <c r="Z8" s="84"/>
      <c r="AA8" s="81"/>
      <c r="AB8" s="85"/>
      <c r="AC8" s="81"/>
      <c r="AD8" s="85"/>
      <c r="AE8" s="81"/>
      <c r="AF8" s="85"/>
      <c r="AG8" s="81"/>
      <c r="AH8" s="85"/>
      <c r="AI8" s="81"/>
      <c r="AJ8" s="85"/>
      <c r="AK8" s="81"/>
      <c r="AL8" s="85"/>
      <c r="AM8" s="81"/>
      <c r="AN8" s="85"/>
      <c r="AO8" s="81"/>
      <c r="AP8" s="85"/>
    </row>
    <row r="9" spans="1:42" s="80" customFormat="1" ht="12.75">
      <c r="A9" s="80" t="s">
        <v>205</v>
      </c>
      <c r="B9" s="80">
        <v>7</v>
      </c>
      <c r="C9" s="80" t="s">
        <v>242</v>
      </c>
      <c r="D9" s="83">
        <v>0.1</v>
      </c>
      <c r="E9" s="81">
        <v>1</v>
      </c>
      <c r="F9" s="84">
        <v>0.004017945571996629</v>
      </c>
      <c r="G9" s="84">
        <f t="shared" si="0"/>
        <v>0.0020089727859983145</v>
      </c>
      <c r="H9" s="84">
        <f t="shared" si="1"/>
        <v>0.00020089727859983148</v>
      </c>
      <c r="I9" s="81">
        <v>1</v>
      </c>
      <c r="J9" s="84">
        <v>0.004626008064516129</v>
      </c>
      <c r="K9" s="84">
        <f t="shared" si="2"/>
        <v>0.0023130040322580643</v>
      </c>
      <c r="L9" s="84">
        <f t="shared" si="3"/>
        <v>0.00023130040322580643</v>
      </c>
      <c r="M9" s="81">
        <v>1</v>
      </c>
      <c r="N9" s="84">
        <v>0.0032361255196262364</v>
      </c>
      <c r="O9" s="84">
        <f t="shared" si="4"/>
        <v>0.0016180627598131182</v>
      </c>
      <c r="P9" s="84">
        <f t="shared" si="5"/>
        <v>0.00016180627598131182</v>
      </c>
      <c r="Q9" s="81"/>
      <c r="R9" s="84"/>
      <c r="S9" s="81"/>
      <c r="T9" s="84"/>
      <c r="U9" s="81"/>
      <c r="V9" s="84"/>
      <c r="W9" s="81"/>
      <c r="X9" s="84"/>
      <c r="Y9" s="81"/>
      <c r="Z9" s="84"/>
      <c r="AA9" s="81"/>
      <c r="AB9" s="85"/>
      <c r="AC9" s="81"/>
      <c r="AD9" s="85"/>
      <c r="AE9" s="81"/>
      <c r="AF9" s="85"/>
      <c r="AG9" s="81"/>
      <c r="AH9" s="85"/>
      <c r="AI9" s="81"/>
      <c r="AJ9" s="85"/>
      <c r="AK9" s="81"/>
      <c r="AL9" s="85"/>
      <c r="AM9" s="81"/>
      <c r="AN9" s="85"/>
      <c r="AO9" s="81"/>
      <c r="AP9" s="85"/>
    </row>
    <row r="10" spans="1:42" s="80" customFormat="1" ht="12.75">
      <c r="A10" s="80" t="s">
        <v>205</v>
      </c>
      <c r="B10" s="80">
        <v>8</v>
      </c>
      <c r="C10" s="80" t="s">
        <v>243</v>
      </c>
      <c r="D10" s="83">
        <v>0.1</v>
      </c>
      <c r="E10" s="81">
        <v>1</v>
      </c>
      <c r="F10" s="84">
        <v>0.0058442844683587345</v>
      </c>
      <c r="G10" s="84">
        <f t="shared" si="0"/>
        <v>0.0029221422341793673</v>
      </c>
      <c r="H10" s="84">
        <f t="shared" si="1"/>
        <v>0.0002922142234179367</v>
      </c>
      <c r="I10" s="81"/>
      <c r="J10" s="84">
        <v>0.0023485887096774192</v>
      </c>
      <c r="K10" s="84">
        <f t="shared" si="2"/>
        <v>0.0023485887096774192</v>
      </c>
      <c r="L10" s="84">
        <f t="shared" si="3"/>
        <v>0.00023485887096774195</v>
      </c>
      <c r="M10" s="81">
        <v>1</v>
      </c>
      <c r="N10" s="84">
        <v>0.0036360960894676816</v>
      </c>
      <c r="O10" s="84">
        <f t="shared" si="4"/>
        <v>0.0018180480447338408</v>
      </c>
      <c r="P10" s="84">
        <f t="shared" si="5"/>
        <v>0.0001818048044733841</v>
      </c>
      <c r="Q10" s="81"/>
      <c r="R10" s="84"/>
      <c r="S10" s="81"/>
      <c r="T10" s="84"/>
      <c r="U10" s="81"/>
      <c r="V10" s="84"/>
      <c r="W10" s="81"/>
      <c r="X10" s="84"/>
      <c r="Y10" s="81"/>
      <c r="Z10" s="84"/>
      <c r="AA10" s="81"/>
      <c r="AB10" s="85"/>
      <c r="AC10" s="81"/>
      <c r="AD10" s="85"/>
      <c r="AE10" s="81"/>
      <c r="AF10" s="85"/>
      <c r="AG10" s="81"/>
      <c r="AH10" s="85"/>
      <c r="AI10" s="81"/>
      <c r="AJ10" s="85"/>
      <c r="AK10" s="81"/>
      <c r="AL10" s="85"/>
      <c r="AM10" s="81"/>
      <c r="AN10" s="85"/>
      <c r="AO10" s="81"/>
      <c r="AP10" s="85"/>
    </row>
    <row r="11" spans="1:42" s="80" customFormat="1" ht="12.75">
      <c r="A11" s="80" t="s">
        <v>205</v>
      </c>
      <c r="B11" s="80">
        <v>9</v>
      </c>
      <c r="C11" s="80" t="s">
        <v>244</v>
      </c>
      <c r="D11" s="83">
        <v>0.1</v>
      </c>
      <c r="E11" s="81">
        <v>1</v>
      </c>
      <c r="F11" s="84">
        <v>0.004383213351269051</v>
      </c>
      <c r="G11" s="84">
        <f t="shared" si="0"/>
        <v>0.0021916066756345253</v>
      </c>
      <c r="H11" s="84">
        <f t="shared" si="1"/>
        <v>0.00021916066756345255</v>
      </c>
      <c r="I11" s="81"/>
      <c r="J11" s="84"/>
      <c r="K11" s="84">
        <f t="shared" si="2"/>
        <v>0</v>
      </c>
      <c r="L11" s="84">
        <f t="shared" si="3"/>
        <v>0</v>
      </c>
      <c r="M11" s="81">
        <v>1</v>
      </c>
      <c r="N11" s="84">
        <v>0.0031270426369422</v>
      </c>
      <c r="O11" s="84">
        <f t="shared" si="4"/>
        <v>0.0015635213184711</v>
      </c>
      <c r="P11" s="84">
        <f t="shared" si="5"/>
        <v>0.00015635213184711</v>
      </c>
      <c r="Q11" s="81"/>
      <c r="R11" s="84"/>
      <c r="S11" s="81"/>
      <c r="T11" s="84"/>
      <c r="U11" s="81"/>
      <c r="V11" s="84"/>
      <c r="W11" s="81"/>
      <c r="X11" s="84"/>
      <c r="Y11" s="81"/>
      <c r="Z11" s="84"/>
      <c r="AA11" s="81"/>
      <c r="AB11" s="85"/>
      <c r="AC11" s="81"/>
      <c r="AD11" s="85"/>
      <c r="AE11" s="81"/>
      <c r="AF11" s="85"/>
      <c r="AG11" s="81"/>
      <c r="AH11" s="85"/>
      <c r="AI11" s="81"/>
      <c r="AJ11" s="85"/>
      <c r="AK11" s="81"/>
      <c r="AL11" s="85"/>
      <c r="AM11" s="81"/>
      <c r="AN11" s="85"/>
      <c r="AO11" s="81"/>
      <c r="AP11" s="85"/>
    </row>
    <row r="12" spans="1:42" s="80" customFormat="1" ht="12.75">
      <c r="A12" s="80" t="s">
        <v>205</v>
      </c>
      <c r="B12" s="80">
        <v>10</v>
      </c>
      <c r="C12" s="80" t="s">
        <v>245</v>
      </c>
      <c r="D12" s="83">
        <v>0</v>
      </c>
      <c r="E12" s="81"/>
      <c r="F12" s="84"/>
      <c r="G12" s="84">
        <f t="shared" si="0"/>
        <v>0</v>
      </c>
      <c r="H12" s="84">
        <f t="shared" si="1"/>
        <v>0</v>
      </c>
      <c r="I12" s="81"/>
      <c r="J12" s="84">
        <v>0.008682661290322576</v>
      </c>
      <c r="K12" s="84">
        <f t="shared" si="2"/>
        <v>0.008682661290322576</v>
      </c>
      <c r="L12" s="84">
        <f t="shared" si="3"/>
        <v>0</v>
      </c>
      <c r="M12" s="81"/>
      <c r="N12" s="84"/>
      <c r="O12" s="84">
        <f t="shared" si="4"/>
        <v>0</v>
      </c>
      <c r="P12" s="84">
        <f t="shared" si="5"/>
        <v>0</v>
      </c>
      <c r="Q12" s="81"/>
      <c r="R12" s="84"/>
      <c r="S12" s="81"/>
      <c r="T12" s="84"/>
      <c r="U12" s="81"/>
      <c r="V12" s="84"/>
      <c r="W12" s="81"/>
      <c r="X12" s="84"/>
      <c r="Y12" s="81"/>
      <c r="Z12" s="84"/>
      <c r="AA12" s="81"/>
      <c r="AB12" s="85"/>
      <c r="AC12" s="81"/>
      <c r="AD12" s="85"/>
      <c r="AE12" s="81"/>
      <c r="AF12" s="85"/>
      <c r="AG12" s="81"/>
      <c r="AH12" s="85"/>
      <c r="AI12" s="81"/>
      <c r="AJ12" s="85"/>
      <c r="AK12" s="81"/>
      <c r="AL12" s="85"/>
      <c r="AM12" s="81"/>
      <c r="AN12" s="85"/>
      <c r="AO12" s="81"/>
      <c r="AP12" s="85"/>
    </row>
    <row r="13" spans="1:42" s="80" customFormat="1" ht="12.75">
      <c r="A13" s="80" t="s">
        <v>205</v>
      </c>
      <c r="B13" s="80">
        <v>11</v>
      </c>
      <c r="C13" s="80" t="s">
        <v>246</v>
      </c>
      <c r="D13" s="83">
        <v>0</v>
      </c>
      <c r="E13" s="81"/>
      <c r="F13" s="84"/>
      <c r="G13" s="84">
        <f t="shared" si="0"/>
        <v>0</v>
      </c>
      <c r="H13" s="84">
        <f t="shared" si="1"/>
        <v>0</v>
      </c>
      <c r="I13" s="81"/>
      <c r="J13" s="84">
        <v>0.015657258064516125</v>
      </c>
      <c r="K13" s="84">
        <f t="shared" si="2"/>
        <v>0.015657258064516125</v>
      </c>
      <c r="L13" s="84">
        <f t="shared" si="3"/>
        <v>0</v>
      </c>
      <c r="M13" s="81"/>
      <c r="N13" s="84"/>
      <c r="O13" s="84">
        <f t="shared" si="4"/>
        <v>0</v>
      </c>
      <c r="P13" s="84">
        <f t="shared" si="5"/>
        <v>0</v>
      </c>
      <c r="Q13" s="81"/>
      <c r="R13" s="84"/>
      <c r="S13" s="81"/>
      <c r="T13" s="84"/>
      <c r="U13" s="81"/>
      <c r="V13" s="84"/>
      <c r="W13" s="81"/>
      <c r="X13" s="84"/>
      <c r="Y13" s="81"/>
      <c r="Z13" s="84"/>
      <c r="AA13" s="81"/>
      <c r="AB13" s="85"/>
      <c r="AC13" s="81"/>
      <c r="AD13" s="85"/>
      <c r="AE13" s="81"/>
      <c r="AF13" s="85"/>
      <c r="AG13" s="81"/>
      <c r="AH13" s="85"/>
      <c r="AI13" s="81"/>
      <c r="AJ13" s="85"/>
      <c r="AK13" s="81"/>
      <c r="AL13" s="85"/>
      <c r="AM13" s="81"/>
      <c r="AN13" s="85"/>
      <c r="AO13" s="81"/>
      <c r="AP13" s="85"/>
    </row>
    <row r="14" spans="1:42" s="80" customFormat="1" ht="12.75">
      <c r="A14" s="80" t="s">
        <v>205</v>
      </c>
      <c r="B14" s="80">
        <v>12</v>
      </c>
      <c r="C14" s="80" t="s">
        <v>247</v>
      </c>
      <c r="D14" s="83">
        <v>0.01</v>
      </c>
      <c r="E14" s="81"/>
      <c r="F14" s="84">
        <v>0.009131694481810523</v>
      </c>
      <c r="G14" s="84">
        <f t="shared" si="0"/>
        <v>0.009131694481810523</v>
      </c>
      <c r="H14" s="84">
        <f t="shared" si="1"/>
        <v>9.131694481810523E-05</v>
      </c>
      <c r="I14" s="81"/>
      <c r="J14" s="84">
        <v>0.012454637096774192</v>
      </c>
      <c r="K14" s="84">
        <f t="shared" si="2"/>
        <v>0.012454637096774192</v>
      </c>
      <c r="L14" s="84">
        <f t="shared" si="3"/>
        <v>0.00012454637096774191</v>
      </c>
      <c r="M14" s="81">
        <v>1</v>
      </c>
      <c r="N14" s="84">
        <v>0.0058177537431483</v>
      </c>
      <c r="O14" s="84">
        <f t="shared" si="4"/>
        <v>0.00290887687157415</v>
      </c>
      <c r="P14" s="84">
        <f t="shared" si="5"/>
        <v>2.90887687157415E-05</v>
      </c>
      <c r="Q14" s="81"/>
      <c r="R14" s="84"/>
      <c r="S14" s="81"/>
      <c r="T14" s="84"/>
      <c r="U14" s="81"/>
      <c r="V14" s="84"/>
      <c r="W14" s="81"/>
      <c r="X14" s="84"/>
      <c r="Y14" s="81"/>
      <c r="Z14" s="84"/>
      <c r="AA14" s="81"/>
      <c r="AB14" s="85"/>
      <c r="AC14" s="81"/>
      <c r="AD14" s="85"/>
      <c r="AE14" s="81"/>
      <c r="AF14" s="85"/>
      <c r="AG14" s="81"/>
      <c r="AH14" s="85"/>
      <c r="AI14" s="81"/>
      <c r="AJ14" s="85"/>
      <c r="AK14" s="81"/>
      <c r="AL14" s="85"/>
      <c r="AM14" s="81"/>
      <c r="AN14" s="85"/>
      <c r="AO14" s="81"/>
      <c r="AP14" s="85"/>
    </row>
    <row r="15" spans="1:42" s="80" customFormat="1" ht="12.75">
      <c r="A15" s="80" t="s">
        <v>205</v>
      </c>
      <c r="B15" s="80">
        <v>13</v>
      </c>
      <c r="C15" s="80" t="s">
        <v>248</v>
      </c>
      <c r="D15" s="83">
        <v>0</v>
      </c>
      <c r="E15" s="81"/>
      <c r="F15" s="84">
        <v>0.009496962261082943</v>
      </c>
      <c r="G15" s="84">
        <f t="shared" si="0"/>
        <v>0.009496962261082943</v>
      </c>
      <c r="H15" s="84">
        <f t="shared" si="1"/>
        <v>0</v>
      </c>
      <c r="I15" s="81"/>
      <c r="J15" s="84">
        <v>0.01103125</v>
      </c>
      <c r="K15" s="84">
        <f t="shared" si="2"/>
        <v>0.01103125</v>
      </c>
      <c r="L15" s="84">
        <f t="shared" si="3"/>
        <v>0</v>
      </c>
      <c r="M15" s="81"/>
      <c r="N15" s="84">
        <v>0.0069085825699886</v>
      </c>
      <c r="O15" s="84">
        <f t="shared" si="4"/>
        <v>0.0069085825699886</v>
      </c>
      <c r="P15" s="84">
        <f t="shared" si="5"/>
        <v>0</v>
      </c>
      <c r="Q15" s="81"/>
      <c r="R15" s="84"/>
      <c r="S15" s="81"/>
      <c r="T15" s="84"/>
      <c r="U15" s="81"/>
      <c r="V15" s="84"/>
      <c r="W15" s="81"/>
      <c r="X15" s="84"/>
      <c r="Y15" s="81"/>
      <c r="Z15" s="84"/>
      <c r="AA15" s="81"/>
      <c r="AB15" s="85"/>
      <c r="AC15" s="81"/>
      <c r="AD15" s="85"/>
      <c r="AE15" s="81"/>
      <c r="AF15" s="85"/>
      <c r="AG15" s="81"/>
      <c r="AH15" s="85"/>
      <c r="AI15" s="81"/>
      <c r="AJ15" s="85"/>
      <c r="AK15" s="81"/>
      <c r="AL15" s="85"/>
      <c r="AM15" s="81"/>
      <c r="AN15" s="85"/>
      <c r="AO15" s="81"/>
      <c r="AP15" s="85"/>
    </row>
    <row r="16" spans="1:42" s="80" customFormat="1" ht="12.75">
      <c r="A16" s="80" t="s">
        <v>205</v>
      </c>
      <c r="B16" s="80">
        <v>14</v>
      </c>
      <c r="C16" s="80" t="s">
        <v>249</v>
      </c>
      <c r="D16" s="83">
        <v>0</v>
      </c>
      <c r="E16" s="81"/>
      <c r="F16" s="84">
        <v>0.018628656742893466</v>
      </c>
      <c r="G16" s="84">
        <f t="shared" si="0"/>
        <v>0.018628656742893466</v>
      </c>
      <c r="H16" s="84">
        <f t="shared" si="1"/>
        <v>0</v>
      </c>
      <c r="I16" s="81"/>
      <c r="J16" s="84">
        <v>0.02348588709677419</v>
      </c>
      <c r="K16" s="84">
        <f t="shared" si="2"/>
        <v>0.02348588709677419</v>
      </c>
      <c r="L16" s="84">
        <f t="shared" si="3"/>
        <v>0</v>
      </c>
      <c r="M16" s="81"/>
      <c r="N16" s="84">
        <v>0.012726336313136887</v>
      </c>
      <c r="O16" s="84">
        <f t="shared" si="4"/>
        <v>0.012726336313136887</v>
      </c>
      <c r="P16" s="84">
        <f t="shared" si="5"/>
        <v>0</v>
      </c>
      <c r="Q16" s="81"/>
      <c r="R16" s="84"/>
      <c r="S16" s="81"/>
      <c r="T16" s="84"/>
      <c r="U16" s="81"/>
      <c r="V16" s="84"/>
      <c r="W16" s="81"/>
      <c r="X16" s="84"/>
      <c r="Y16" s="81"/>
      <c r="Z16" s="84"/>
      <c r="AA16" s="81"/>
      <c r="AB16" s="85"/>
      <c r="AC16" s="81"/>
      <c r="AD16" s="85"/>
      <c r="AE16" s="81"/>
      <c r="AF16" s="85"/>
      <c r="AG16" s="81"/>
      <c r="AH16" s="85"/>
      <c r="AI16" s="81"/>
      <c r="AJ16" s="85"/>
      <c r="AK16" s="81"/>
      <c r="AL16" s="85"/>
      <c r="AM16" s="81"/>
      <c r="AN16" s="85"/>
      <c r="AO16" s="81"/>
      <c r="AP16" s="85"/>
    </row>
    <row r="17" spans="1:42" s="80" customFormat="1" ht="12.75">
      <c r="A17" s="80" t="s">
        <v>205</v>
      </c>
      <c r="B17" s="80">
        <v>15</v>
      </c>
      <c r="C17" s="80" t="s">
        <v>250</v>
      </c>
      <c r="D17" s="83">
        <v>0.001</v>
      </c>
      <c r="E17" s="81"/>
      <c r="F17" s="84">
        <v>0.0058442844683587345</v>
      </c>
      <c r="G17" s="84">
        <f t="shared" si="0"/>
        <v>0.0058442844683587345</v>
      </c>
      <c r="H17" s="84">
        <f t="shared" si="1"/>
        <v>5.844284468358735E-06</v>
      </c>
      <c r="I17" s="81"/>
      <c r="J17" s="84">
        <v>0.07472782258064513</v>
      </c>
      <c r="K17" s="84">
        <f t="shared" si="2"/>
        <v>0.07472782258064513</v>
      </c>
      <c r="L17" s="84">
        <f t="shared" si="3"/>
        <v>7.472782258064512E-05</v>
      </c>
      <c r="M17" s="81"/>
      <c r="N17" s="84">
        <v>0.034542912849943</v>
      </c>
      <c r="O17" s="84">
        <f t="shared" si="4"/>
        <v>0.034542912849943</v>
      </c>
      <c r="P17" s="84">
        <f t="shared" si="5"/>
        <v>3.4542912849943004E-05</v>
      </c>
      <c r="Q17" s="81"/>
      <c r="R17" s="84"/>
      <c r="S17" s="81"/>
      <c r="T17" s="84"/>
      <c r="U17" s="81"/>
      <c r="V17" s="84"/>
      <c r="W17" s="81"/>
      <c r="X17" s="84"/>
      <c r="Y17" s="81"/>
      <c r="Z17" s="84"/>
      <c r="AA17" s="81"/>
      <c r="AB17" s="85"/>
      <c r="AC17" s="81"/>
      <c r="AD17" s="85"/>
      <c r="AE17" s="81"/>
      <c r="AF17" s="85"/>
      <c r="AG17" s="81"/>
      <c r="AH17" s="85"/>
      <c r="AI17" s="81"/>
      <c r="AJ17" s="85"/>
      <c r="AK17" s="81"/>
      <c r="AL17" s="85"/>
      <c r="AM17" s="81"/>
      <c r="AN17" s="85"/>
      <c r="AO17" s="81"/>
      <c r="AP17" s="85"/>
    </row>
    <row r="18" spans="1:42" s="80" customFormat="1" ht="12.75">
      <c r="A18" s="80" t="s">
        <v>205</v>
      </c>
      <c r="B18" s="80">
        <v>16</v>
      </c>
      <c r="C18" s="80" t="s">
        <v>251</v>
      </c>
      <c r="D18" s="83">
        <v>0.1</v>
      </c>
      <c r="E18" s="81"/>
      <c r="F18" s="84">
        <v>1.3514907833079575</v>
      </c>
      <c r="G18" s="84">
        <f t="shared" si="0"/>
        <v>1.3514907833079575</v>
      </c>
      <c r="H18" s="84">
        <f t="shared" si="1"/>
        <v>0.13514907833079576</v>
      </c>
      <c r="I18" s="81"/>
      <c r="J18" s="84">
        <v>1.4233870967742</v>
      </c>
      <c r="K18" s="84">
        <f t="shared" si="2"/>
        <v>1.4233870967742</v>
      </c>
      <c r="L18" s="84">
        <f t="shared" si="3"/>
        <v>0.14233870967742</v>
      </c>
      <c r="M18" s="81"/>
      <c r="N18" s="84">
        <v>1.2726336313136883</v>
      </c>
      <c r="O18" s="84">
        <f t="shared" si="4"/>
        <v>1.2726336313136883</v>
      </c>
      <c r="P18" s="84">
        <f t="shared" si="5"/>
        <v>0.12726336313136885</v>
      </c>
      <c r="Q18" s="81"/>
      <c r="R18" s="84"/>
      <c r="S18" s="81"/>
      <c r="T18" s="84"/>
      <c r="U18" s="81"/>
      <c r="V18" s="84"/>
      <c r="W18" s="81"/>
      <c r="X18" s="84"/>
      <c r="Y18" s="81"/>
      <c r="Z18" s="84"/>
      <c r="AA18" s="81"/>
      <c r="AB18" s="85"/>
      <c r="AC18" s="81"/>
      <c r="AD18" s="85"/>
      <c r="AE18" s="81"/>
      <c r="AF18" s="85"/>
      <c r="AG18" s="81"/>
      <c r="AH18" s="85"/>
      <c r="AI18" s="81"/>
      <c r="AJ18" s="85"/>
      <c r="AK18" s="81"/>
      <c r="AL18" s="85"/>
      <c r="AM18" s="81"/>
      <c r="AN18" s="85"/>
      <c r="AO18" s="81"/>
      <c r="AP18" s="85"/>
    </row>
    <row r="19" spans="1:42" s="80" customFormat="1" ht="12.75">
      <c r="A19" s="80" t="s">
        <v>205</v>
      </c>
      <c r="B19" s="80">
        <v>17</v>
      </c>
      <c r="C19" s="80" t="s">
        <v>252</v>
      </c>
      <c r="D19" s="83">
        <v>0</v>
      </c>
      <c r="E19" s="81"/>
      <c r="F19" s="84">
        <v>9.606542594864669</v>
      </c>
      <c r="G19" s="84">
        <f t="shared" si="0"/>
        <v>9.606542594864669</v>
      </c>
      <c r="H19" s="84">
        <f t="shared" si="1"/>
        <v>0</v>
      </c>
      <c r="I19" s="81"/>
      <c r="J19" s="84">
        <v>9.6078629032258</v>
      </c>
      <c r="K19" s="84">
        <f t="shared" si="2"/>
        <v>9.6078629032258</v>
      </c>
      <c r="L19" s="84">
        <f t="shared" si="3"/>
        <v>0</v>
      </c>
      <c r="M19" s="81"/>
      <c r="N19" s="84">
        <v>8.908435419195818</v>
      </c>
      <c r="O19" s="84">
        <f t="shared" si="4"/>
        <v>8.908435419195818</v>
      </c>
      <c r="P19" s="84">
        <f t="shared" si="5"/>
        <v>0</v>
      </c>
      <c r="Q19" s="81"/>
      <c r="R19" s="84"/>
      <c r="S19" s="81"/>
      <c r="T19" s="84"/>
      <c r="U19" s="81"/>
      <c r="V19" s="84"/>
      <c r="W19" s="81"/>
      <c r="X19" s="84"/>
      <c r="Y19" s="81"/>
      <c r="Z19" s="84"/>
      <c r="AA19" s="81"/>
      <c r="AB19" s="85"/>
      <c r="AC19" s="81"/>
      <c r="AD19" s="85"/>
      <c r="AE19" s="81"/>
      <c r="AF19" s="85"/>
      <c r="AG19" s="81"/>
      <c r="AH19" s="85"/>
      <c r="AI19" s="81"/>
      <c r="AJ19" s="85"/>
      <c r="AK19" s="81"/>
      <c r="AL19" s="85"/>
      <c r="AM19" s="81"/>
      <c r="AN19" s="85"/>
      <c r="AO19" s="81"/>
      <c r="AP19" s="85"/>
    </row>
    <row r="20" spans="1:42" s="80" customFormat="1" ht="12.75">
      <c r="A20" s="80" t="s">
        <v>205</v>
      </c>
      <c r="B20" s="80">
        <v>18</v>
      </c>
      <c r="C20" s="80" t="s">
        <v>253</v>
      </c>
      <c r="D20" s="83">
        <v>0</v>
      </c>
      <c r="E20" s="81"/>
      <c r="F20" s="84">
        <v>10.958033378172626</v>
      </c>
      <c r="G20" s="84">
        <f t="shared" si="0"/>
        <v>10.958033378172626</v>
      </c>
      <c r="H20" s="84">
        <f t="shared" si="1"/>
        <v>0</v>
      </c>
      <c r="I20" s="81"/>
      <c r="J20" s="84">
        <v>11.03125</v>
      </c>
      <c r="K20" s="84">
        <f t="shared" si="2"/>
        <v>11.03125</v>
      </c>
      <c r="L20" s="84">
        <f t="shared" si="3"/>
        <v>0</v>
      </c>
      <c r="M20" s="81"/>
      <c r="N20" s="84">
        <v>10.181069050509507</v>
      </c>
      <c r="O20" s="84">
        <f t="shared" si="4"/>
        <v>10.181069050509507</v>
      </c>
      <c r="P20" s="84">
        <f t="shared" si="5"/>
        <v>0</v>
      </c>
      <c r="Q20" s="81"/>
      <c r="R20" s="84"/>
      <c r="S20" s="81"/>
      <c r="T20" s="84"/>
      <c r="U20" s="81"/>
      <c r="V20" s="84"/>
      <c r="W20" s="81"/>
      <c r="X20" s="84"/>
      <c r="Y20" s="81"/>
      <c r="Z20" s="84"/>
      <c r="AA20" s="81"/>
      <c r="AB20" s="85"/>
      <c r="AC20" s="81"/>
      <c r="AD20" s="85"/>
      <c r="AE20" s="81"/>
      <c r="AF20" s="85"/>
      <c r="AG20" s="81"/>
      <c r="AH20" s="85"/>
      <c r="AI20" s="81"/>
      <c r="AJ20" s="85"/>
      <c r="AK20" s="81"/>
      <c r="AL20" s="85"/>
      <c r="AM20" s="81"/>
      <c r="AN20" s="85"/>
      <c r="AO20" s="81"/>
      <c r="AP20" s="85"/>
    </row>
    <row r="21" spans="1:42" s="80" customFormat="1" ht="12.75">
      <c r="A21" s="80" t="s">
        <v>205</v>
      </c>
      <c r="B21" s="80">
        <v>19</v>
      </c>
      <c r="C21" s="80" t="s">
        <v>254</v>
      </c>
      <c r="D21" s="83">
        <v>0.05</v>
      </c>
      <c r="E21" s="81"/>
      <c r="F21" s="84">
        <v>0.14245443391624416</v>
      </c>
      <c r="G21" s="84">
        <f t="shared" si="0"/>
        <v>0.14245443391624416</v>
      </c>
      <c r="H21" s="84">
        <f t="shared" si="1"/>
        <v>0.0071227216958122085</v>
      </c>
      <c r="I21" s="81"/>
      <c r="J21" s="84">
        <v>0.14945564516129</v>
      </c>
      <c r="K21" s="84">
        <f t="shared" si="2"/>
        <v>0.14945564516129</v>
      </c>
      <c r="L21" s="84">
        <f t="shared" si="3"/>
        <v>0.007472782258064501</v>
      </c>
      <c r="M21" s="81"/>
      <c r="N21" s="84">
        <v>0.13453555531030423</v>
      </c>
      <c r="O21" s="84">
        <f t="shared" si="4"/>
        <v>0.13453555531030423</v>
      </c>
      <c r="P21" s="84">
        <f t="shared" si="5"/>
        <v>0.006726777765515212</v>
      </c>
      <c r="Q21" s="81"/>
      <c r="R21" s="84"/>
      <c r="S21" s="81"/>
      <c r="T21" s="84"/>
      <c r="U21" s="81"/>
      <c r="V21" s="84"/>
      <c r="W21" s="81"/>
      <c r="X21" s="84"/>
      <c r="Y21" s="81"/>
      <c r="Z21" s="84"/>
      <c r="AA21" s="81"/>
      <c r="AB21" s="85"/>
      <c r="AC21" s="81"/>
      <c r="AD21" s="85"/>
      <c r="AE21" s="81"/>
      <c r="AF21" s="85"/>
      <c r="AG21" s="81"/>
      <c r="AH21" s="85"/>
      <c r="AI21" s="81"/>
      <c r="AJ21" s="85"/>
      <c r="AK21" s="81"/>
      <c r="AL21" s="85"/>
      <c r="AM21" s="81"/>
      <c r="AN21" s="85"/>
      <c r="AO21" s="81"/>
      <c r="AP21" s="85"/>
    </row>
    <row r="22" spans="1:42" s="80" customFormat="1" ht="12.75">
      <c r="A22" s="80" t="s">
        <v>205</v>
      </c>
      <c r="B22" s="80">
        <v>20</v>
      </c>
      <c r="C22" s="80" t="s">
        <v>255</v>
      </c>
      <c r="D22" s="83">
        <v>0.5</v>
      </c>
      <c r="E22" s="81"/>
      <c r="F22" s="84">
        <v>0.4383213351269051</v>
      </c>
      <c r="G22" s="84">
        <f t="shared" si="0"/>
        <v>0.4383213351269051</v>
      </c>
      <c r="H22" s="84">
        <f t="shared" si="1"/>
        <v>0.21916066756345254</v>
      </c>
      <c r="I22" s="81"/>
      <c r="J22" s="84">
        <v>0.49818548387096767</v>
      </c>
      <c r="K22" s="84">
        <f t="shared" si="2"/>
        <v>0.49818548387096767</v>
      </c>
      <c r="L22" s="84">
        <f t="shared" si="3"/>
        <v>0.24909274193548384</v>
      </c>
      <c r="M22" s="81"/>
      <c r="N22" s="84">
        <v>0.399970569841445</v>
      </c>
      <c r="O22" s="84">
        <f t="shared" si="4"/>
        <v>0.399970569841445</v>
      </c>
      <c r="P22" s="84">
        <f t="shared" si="5"/>
        <v>0.1999852849207225</v>
      </c>
      <c r="Q22" s="81"/>
      <c r="R22" s="84"/>
      <c r="S22" s="81"/>
      <c r="T22" s="84"/>
      <c r="U22" s="81"/>
      <c r="V22" s="84"/>
      <c r="W22" s="81"/>
      <c r="X22" s="84"/>
      <c r="Y22" s="81"/>
      <c r="Z22" s="84"/>
      <c r="AA22" s="81"/>
      <c r="AB22" s="85"/>
      <c r="AC22" s="81"/>
      <c r="AD22" s="85"/>
      <c r="AE22" s="81"/>
      <c r="AF22" s="85"/>
      <c r="AG22" s="81"/>
      <c r="AH22" s="85"/>
      <c r="AI22" s="81"/>
      <c r="AJ22" s="85"/>
      <c r="AK22" s="81"/>
      <c r="AL22" s="85"/>
      <c r="AM22" s="81"/>
      <c r="AN22" s="85"/>
      <c r="AO22" s="81"/>
      <c r="AP22" s="85"/>
    </row>
    <row r="23" spans="1:42" s="80" customFormat="1" ht="12.75">
      <c r="A23" s="80" t="s">
        <v>205</v>
      </c>
      <c r="B23" s="80">
        <v>21</v>
      </c>
      <c r="C23" s="80" t="s">
        <v>256</v>
      </c>
      <c r="D23" s="83">
        <v>0</v>
      </c>
      <c r="E23" s="81"/>
      <c r="F23" s="84">
        <v>2.74316102233588</v>
      </c>
      <c r="G23" s="84">
        <f t="shared" si="0"/>
        <v>2.74316102233588</v>
      </c>
      <c r="H23" s="84">
        <f t="shared" si="1"/>
        <v>0</v>
      </c>
      <c r="I23" s="81"/>
      <c r="J23" s="84">
        <v>1.700947580645161</v>
      </c>
      <c r="K23" s="84">
        <f t="shared" si="2"/>
        <v>1.700947580645161</v>
      </c>
      <c r="L23" s="84">
        <f t="shared" si="3"/>
        <v>0</v>
      </c>
      <c r="M23" s="81"/>
      <c r="N23" s="84">
        <v>2.4107317073170735</v>
      </c>
      <c r="O23" s="84">
        <f t="shared" si="4"/>
        <v>2.4107317073170735</v>
      </c>
      <c r="P23" s="84">
        <f t="shared" si="5"/>
        <v>0</v>
      </c>
      <c r="Q23" s="81"/>
      <c r="R23" s="84"/>
      <c r="S23" s="81"/>
      <c r="T23" s="84"/>
      <c r="U23" s="81"/>
      <c r="V23" s="84"/>
      <c r="W23" s="81"/>
      <c r="X23" s="84"/>
      <c r="Y23" s="81"/>
      <c r="Z23" s="84"/>
      <c r="AA23" s="81"/>
      <c r="AB23" s="85"/>
      <c r="AC23" s="81"/>
      <c r="AD23" s="85"/>
      <c r="AE23" s="81"/>
      <c r="AF23" s="85"/>
      <c r="AG23" s="81"/>
      <c r="AH23" s="85"/>
      <c r="AI23" s="81"/>
      <c r="AJ23" s="85"/>
      <c r="AK23" s="81"/>
      <c r="AL23" s="85"/>
      <c r="AM23" s="81"/>
      <c r="AN23" s="85"/>
      <c r="AO23" s="81"/>
      <c r="AP23" s="85"/>
    </row>
    <row r="24" spans="1:42" s="80" customFormat="1" ht="12.75">
      <c r="A24" s="80" t="s">
        <v>205</v>
      </c>
      <c r="B24" s="80">
        <v>22</v>
      </c>
      <c r="C24" s="80" t="s">
        <v>257</v>
      </c>
      <c r="D24" s="83">
        <v>0</v>
      </c>
      <c r="E24" s="81"/>
      <c r="F24" s="84">
        <v>3.3239367913790296</v>
      </c>
      <c r="G24" s="84">
        <f t="shared" si="0"/>
        <v>3.3239367913790296</v>
      </c>
      <c r="H24" s="84">
        <f t="shared" si="1"/>
        <v>0</v>
      </c>
      <c r="I24" s="81"/>
      <c r="J24" s="84">
        <v>2.348588709677419</v>
      </c>
      <c r="K24" s="84">
        <f t="shared" si="2"/>
        <v>2.348588709677419</v>
      </c>
      <c r="L24" s="84">
        <f t="shared" si="3"/>
        <v>0</v>
      </c>
      <c r="M24" s="81"/>
      <c r="N24" s="84">
        <v>2.9452378324688224</v>
      </c>
      <c r="O24" s="84">
        <f t="shared" si="4"/>
        <v>2.9452378324688224</v>
      </c>
      <c r="P24" s="84">
        <f t="shared" si="5"/>
        <v>0</v>
      </c>
      <c r="Q24" s="81"/>
      <c r="R24" s="84"/>
      <c r="S24" s="81"/>
      <c r="T24" s="84"/>
      <c r="U24" s="81"/>
      <c r="V24" s="84"/>
      <c r="W24" s="81"/>
      <c r="X24" s="84"/>
      <c r="Y24" s="81"/>
      <c r="Z24" s="84"/>
      <c r="AA24" s="81"/>
      <c r="AB24" s="85"/>
      <c r="AC24" s="81"/>
      <c r="AD24" s="85"/>
      <c r="AE24" s="81"/>
      <c r="AF24" s="85"/>
      <c r="AG24" s="81"/>
      <c r="AH24" s="85"/>
      <c r="AI24" s="81"/>
      <c r="AJ24" s="85"/>
      <c r="AK24" s="81"/>
      <c r="AL24" s="85"/>
      <c r="AM24" s="81"/>
      <c r="AN24" s="85"/>
      <c r="AO24" s="81"/>
      <c r="AP24" s="85"/>
    </row>
    <row r="25" spans="1:42" s="80" customFormat="1" ht="12.75">
      <c r="A25" s="80" t="s">
        <v>205</v>
      </c>
      <c r="B25" s="80">
        <v>23</v>
      </c>
      <c r="C25" s="80" t="s">
        <v>258</v>
      </c>
      <c r="D25" s="83">
        <v>0.1</v>
      </c>
      <c r="E25" s="81"/>
      <c r="F25" s="84">
        <v>0.10958033378172627</v>
      </c>
      <c r="G25" s="84">
        <f t="shared" si="0"/>
        <v>0.10958033378172627</v>
      </c>
      <c r="H25" s="84">
        <f t="shared" si="1"/>
        <v>0.010958033378172628</v>
      </c>
      <c r="I25" s="81"/>
      <c r="J25" s="84">
        <v>0.096078629032258</v>
      </c>
      <c r="K25" s="84">
        <f t="shared" si="2"/>
        <v>0.096078629032258</v>
      </c>
      <c r="L25" s="84">
        <f t="shared" si="3"/>
        <v>0.009607862903225801</v>
      </c>
      <c r="M25" s="81"/>
      <c r="N25" s="84">
        <v>0.08726630614722435</v>
      </c>
      <c r="O25" s="84">
        <f t="shared" si="4"/>
        <v>0.08726630614722435</v>
      </c>
      <c r="P25" s="84">
        <f t="shared" si="5"/>
        <v>0.008726630614722435</v>
      </c>
      <c r="Q25" s="81"/>
      <c r="R25" s="84"/>
      <c r="S25" s="81"/>
      <c r="T25" s="84"/>
      <c r="U25" s="81"/>
      <c r="V25" s="84"/>
      <c r="W25" s="81"/>
      <c r="X25" s="84"/>
      <c r="Y25" s="81"/>
      <c r="Z25" s="84"/>
      <c r="AA25" s="81"/>
      <c r="AB25" s="85"/>
      <c r="AC25" s="81"/>
      <c r="AD25" s="85"/>
      <c r="AE25" s="81"/>
      <c r="AF25" s="85"/>
      <c r="AG25" s="81"/>
      <c r="AH25" s="85"/>
      <c r="AI25" s="81"/>
      <c r="AJ25" s="85"/>
      <c r="AK25" s="81"/>
      <c r="AL25" s="85"/>
      <c r="AM25" s="81"/>
      <c r="AN25" s="85"/>
      <c r="AO25" s="81"/>
      <c r="AP25" s="85"/>
    </row>
    <row r="26" spans="1:42" s="80" customFormat="1" ht="12.75">
      <c r="A26" s="80" t="s">
        <v>205</v>
      </c>
      <c r="B26" s="80">
        <v>24</v>
      </c>
      <c r="C26" s="80" t="s">
        <v>259</v>
      </c>
      <c r="D26" s="83">
        <v>0.1</v>
      </c>
      <c r="E26" s="81"/>
      <c r="F26" s="84">
        <v>0.0332393679137903</v>
      </c>
      <c r="G26" s="84">
        <f t="shared" si="0"/>
        <v>0.0332393679137903</v>
      </c>
      <c r="H26" s="84">
        <f t="shared" si="1"/>
        <v>0.00332393679137903</v>
      </c>
      <c r="I26" s="81"/>
      <c r="J26" s="84">
        <v>0.03914314516129032</v>
      </c>
      <c r="K26" s="84">
        <f t="shared" si="2"/>
        <v>0.03914314516129032</v>
      </c>
      <c r="L26" s="84">
        <f t="shared" si="3"/>
        <v>0.003914314516129032</v>
      </c>
      <c r="M26" s="81"/>
      <c r="N26" s="84">
        <v>0.03417930324099621</v>
      </c>
      <c r="O26" s="84">
        <f t="shared" si="4"/>
        <v>0.03417930324099621</v>
      </c>
      <c r="P26" s="84">
        <f t="shared" si="5"/>
        <v>0.0034179303240996213</v>
      </c>
      <c r="Q26" s="81"/>
      <c r="R26" s="84"/>
      <c r="S26" s="81"/>
      <c r="T26" s="84"/>
      <c r="U26" s="81"/>
      <c r="V26" s="84"/>
      <c r="W26" s="81"/>
      <c r="X26" s="84"/>
      <c r="Y26" s="81"/>
      <c r="Z26" s="84"/>
      <c r="AA26" s="81"/>
      <c r="AB26" s="85"/>
      <c r="AC26" s="81"/>
      <c r="AD26" s="85"/>
      <c r="AE26" s="81"/>
      <c r="AF26" s="85"/>
      <c r="AG26" s="81"/>
      <c r="AH26" s="85"/>
      <c r="AI26" s="81"/>
      <c r="AJ26" s="85"/>
      <c r="AK26" s="81"/>
      <c r="AL26" s="85"/>
      <c r="AM26" s="81"/>
      <c r="AN26" s="85"/>
      <c r="AO26" s="81"/>
      <c r="AP26" s="85"/>
    </row>
    <row r="27" spans="1:42" s="80" customFormat="1" ht="12.75">
      <c r="A27" s="80" t="s">
        <v>205</v>
      </c>
      <c r="B27" s="80">
        <v>25</v>
      </c>
      <c r="C27" s="80" t="s">
        <v>260</v>
      </c>
      <c r="D27" s="83">
        <v>0.1</v>
      </c>
      <c r="E27" s="81">
        <v>1</v>
      </c>
      <c r="F27" s="84">
        <v>0.0027760351224704</v>
      </c>
      <c r="G27" s="84">
        <f t="shared" si="0"/>
        <v>0.0013880175612352</v>
      </c>
      <c r="H27" s="84">
        <f t="shared" si="1"/>
        <v>0.00013880175612352003</v>
      </c>
      <c r="I27" s="81"/>
      <c r="J27" s="84">
        <v>0.0220625</v>
      </c>
      <c r="K27" s="84">
        <f t="shared" si="2"/>
        <v>0.0220625</v>
      </c>
      <c r="L27" s="84">
        <f t="shared" si="3"/>
        <v>0.00220625</v>
      </c>
      <c r="M27" s="81"/>
      <c r="N27" s="84">
        <v>0.005090534525254755</v>
      </c>
      <c r="O27" s="84">
        <f t="shared" si="4"/>
        <v>0.005090534525254755</v>
      </c>
      <c r="P27" s="84">
        <f t="shared" si="5"/>
        <v>0.0005090534525254755</v>
      </c>
      <c r="Q27" s="81"/>
      <c r="R27" s="84"/>
      <c r="S27" s="81"/>
      <c r="T27" s="84"/>
      <c r="U27" s="81"/>
      <c r="V27" s="84"/>
      <c r="W27" s="81"/>
      <c r="X27" s="84"/>
      <c r="Y27" s="81"/>
      <c r="Z27" s="84"/>
      <c r="AA27" s="81"/>
      <c r="AB27" s="85"/>
      <c r="AC27" s="81"/>
      <c r="AD27" s="85"/>
      <c r="AE27" s="81"/>
      <c r="AF27" s="85"/>
      <c r="AG27" s="81"/>
      <c r="AH27" s="85"/>
      <c r="AI27" s="81"/>
      <c r="AJ27" s="85"/>
      <c r="AK27" s="81"/>
      <c r="AL27" s="85"/>
      <c r="AM27" s="81"/>
      <c r="AN27" s="85"/>
      <c r="AO27" s="81"/>
      <c r="AP27" s="85"/>
    </row>
    <row r="28" spans="1:42" s="80" customFormat="1" ht="12.75">
      <c r="A28" s="80" t="s">
        <v>205</v>
      </c>
      <c r="B28" s="80">
        <v>26</v>
      </c>
      <c r="C28" s="80" t="s">
        <v>261</v>
      </c>
      <c r="D28" s="83">
        <v>0.1</v>
      </c>
      <c r="E28" s="81"/>
      <c r="F28" s="84">
        <v>0.04748481130541472</v>
      </c>
      <c r="G28" s="84">
        <f t="shared" si="0"/>
        <v>0.04748481130541472</v>
      </c>
      <c r="H28" s="84">
        <f t="shared" si="1"/>
        <v>0.004748481130541472</v>
      </c>
      <c r="I28" s="81"/>
      <c r="J28" s="84">
        <v>0.053377016129032256</v>
      </c>
      <c r="K28" s="84">
        <f t="shared" si="2"/>
        <v>0.053377016129032256</v>
      </c>
      <c r="L28" s="84">
        <f t="shared" si="3"/>
        <v>0.005337701612903226</v>
      </c>
      <c r="M28" s="81"/>
      <c r="N28" s="84">
        <v>0.04363315307361217</v>
      </c>
      <c r="O28" s="84">
        <f t="shared" si="4"/>
        <v>0.04363315307361217</v>
      </c>
      <c r="P28" s="84">
        <f t="shared" si="5"/>
        <v>0.004363315307361218</v>
      </c>
      <c r="Q28" s="81"/>
      <c r="R28" s="84"/>
      <c r="S28" s="81"/>
      <c r="T28" s="84"/>
      <c r="U28" s="81"/>
      <c r="V28" s="84"/>
      <c r="W28" s="81"/>
      <c r="X28" s="84"/>
      <c r="Y28" s="81"/>
      <c r="Z28" s="84"/>
      <c r="AA28" s="81"/>
      <c r="AB28" s="85"/>
      <c r="AC28" s="81"/>
      <c r="AD28" s="85"/>
      <c r="AE28" s="81"/>
      <c r="AF28" s="85"/>
      <c r="AG28" s="81"/>
      <c r="AH28" s="85"/>
      <c r="AI28" s="81"/>
      <c r="AJ28" s="85"/>
      <c r="AK28" s="81"/>
      <c r="AL28" s="85"/>
      <c r="AM28" s="81"/>
      <c r="AN28" s="85"/>
      <c r="AO28" s="81"/>
      <c r="AP28" s="85"/>
    </row>
    <row r="29" spans="1:42" s="80" customFormat="1" ht="12.75">
      <c r="A29" s="80" t="s">
        <v>205</v>
      </c>
      <c r="B29" s="80">
        <v>27</v>
      </c>
      <c r="C29" s="80" t="s">
        <v>262</v>
      </c>
      <c r="D29" s="83">
        <v>0</v>
      </c>
      <c r="E29" s="81"/>
      <c r="F29" s="84">
        <v>0.28176756493074556</v>
      </c>
      <c r="G29" s="84">
        <f t="shared" si="0"/>
        <v>0.28176756493074556</v>
      </c>
      <c r="H29" s="84">
        <f t="shared" si="1"/>
        <v>0</v>
      </c>
      <c r="I29" s="81"/>
      <c r="J29" s="84">
        <v>0.3231088709677418</v>
      </c>
      <c r="K29" s="84">
        <f t="shared" si="2"/>
        <v>0.3231088709677418</v>
      </c>
      <c r="L29" s="84">
        <f t="shared" si="3"/>
        <v>0</v>
      </c>
      <c r="M29" s="81"/>
      <c r="N29" s="84">
        <v>0.22980127285435753</v>
      </c>
      <c r="O29" s="84">
        <f t="shared" si="4"/>
        <v>0.22980127285435753</v>
      </c>
      <c r="P29" s="84">
        <f t="shared" si="5"/>
        <v>0</v>
      </c>
      <c r="Q29" s="81"/>
      <c r="R29" s="84"/>
      <c r="S29" s="81"/>
      <c r="T29" s="84"/>
      <c r="U29" s="81"/>
      <c r="V29" s="84"/>
      <c r="W29" s="81"/>
      <c r="X29" s="84"/>
      <c r="Y29" s="81"/>
      <c r="Z29" s="84"/>
      <c r="AA29" s="81"/>
      <c r="AB29" s="85"/>
      <c r="AC29" s="81"/>
      <c r="AD29" s="85"/>
      <c r="AE29" s="81"/>
      <c r="AF29" s="85"/>
      <c r="AG29" s="81"/>
      <c r="AH29" s="85"/>
      <c r="AI29" s="81"/>
      <c r="AJ29" s="85"/>
      <c r="AK29" s="81"/>
      <c r="AL29" s="85"/>
      <c r="AM29" s="81"/>
      <c r="AN29" s="85"/>
      <c r="AO29" s="81"/>
      <c r="AP29" s="85"/>
    </row>
    <row r="30" spans="1:42" s="80" customFormat="1" ht="12.75">
      <c r="A30" s="80" t="s">
        <v>205</v>
      </c>
      <c r="B30" s="80">
        <v>28</v>
      </c>
      <c r="C30" s="80" t="s">
        <v>263</v>
      </c>
      <c r="D30" s="83">
        <v>0</v>
      </c>
      <c r="E30" s="81"/>
      <c r="F30" s="84">
        <v>0.4748481130541472</v>
      </c>
      <c r="G30" s="84">
        <f t="shared" si="0"/>
        <v>0.4748481130541472</v>
      </c>
      <c r="H30" s="84">
        <f t="shared" si="1"/>
        <v>0</v>
      </c>
      <c r="I30" s="81"/>
      <c r="J30" s="84">
        <v>0.5337701612903224</v>
      </c>
      <c r="K30" s="84">
        <f t="shared" si="2"/>
        <v>0.5337701612903224</v>
      </c>
      <c r="L30" s="84">
        <f t="shared" si="3"/>
        <v>0</v>
      </c>
      <c r="M30" s="81"/>
      <c r="N30" s="84">
        <v>0.399970569841445</v>
      </c>
      <c r="O30" s="84">
        <f t="shared" si="4"/>
        <v>0.399970569841445</v>
      </c>
      <c r="P30" s="84">
        <f t="shared" si="5"/>
        <v>0</v>
      </c>
      <c r="Q30" s="81"/>
      <c r="R30" s="84"/>
      <c r="S30" s="81"/>
      <c r="T30" s="84"/>
      <c r="U30" s="81"/>
      <c r="V30" s="84"/>
      <c r="W30" s="81"/>
      <c r="X30" s="84"/>
      <c r="Y30" s="81"/>
      <c r="Z30" s="84"/>
      <c r="AA30" s="81"/>
      <c r="AB30" s="85"/>
      <c r="AC30" s="81"/>
      <c r="AD30" s="85"/>
      <c r="AE30" s="81"/>
      <c r="AF30" s="85"/>
      <c r="AG30" s="81"/>
      <c r="AH30" s="85"/>
      <c r="AI30" s="81"/>
      <c r="AJ30" s="85"/>
      <c r="AK30" s="81"/>
      <c r="AL30" s="85"/>
      <c r="AM30" s="81"/>
      <c r="AN30" s="85"/>
      <c r="AO30" s="81"/>
      <c r="AP30" s="85"/>
    </row>
    <row r="31" spans="1:42" s="80" customFormat="1" ht="12.75">
      <c r="A31" s="80" t="s">
        <v>205</v>
      </c>
      <c r="B31" s="80">
        <v>29</v>
      </c>
      <c r="C31" s="80" t="s">
        <v>264</v>
      </c>
      <c r="D31" s="83">
        <v>0.01</v>
      </c>
      <c r="E31" s="81"/>
      <c r="F31" s="84">
        <v>0.027760351224704</v>
      </c>
      <c r="G31" s="84">
        <f t="shared" si="0"/>
        <v>0.027760351224704</v>
      </c>
      <c r="H31" s="84">
        <f t="shared" si="1"/>
        <v>0.00027760351224704</v>
      </c>
      <c r="I31" s="81"/>
      <c r="J31" s="84">
        <v>0.03914314516129032</v>
      </c>
      <c r="K31" s="84">
        <f t="shared" si="2"/>
        <v>0.03914314516129032</v>
      </c>
      <c r="L31" s="84">
        <f t="shared" si="3"/>
        <v>0.0003914314516129032</v>
      </c>
      <c r="M31" s="81"/>
      <c r="N31" s="84">
        <v>0.036360960894676816</v>
      </c>
      <c r="O31" s="84">
        <f t="shared" si="4"/>
        <v>0.036360960894676816</v>
      </c>
      <c r="P31" s="84">
        <f t="shared" si="5"/>
        <v>0.00036360960894676815</v>
      </c>
      <c r="Q31" s="81"/>
      <c r="R31" s="84"/>
      <c r="S31" s="81"/>
      <c r="T31" s="84"/>
      <c r="U31" s="81"/>
      <c r="V31" s="84"/>
      <c r="W31" s="81"/>
      <c r="X31" s="84"/>
      <c r="Y31" s="81"/>
      <c r="Z31" s="84"/>
      <c r="AA31" s="81"/>
      <c r="AB31" s="85"/>
      <c r="AC31" s="81"/>
      <c r="AD31" s="85"/>
      <c r="AE31" s="81"/>
      <c r="AF31" s="85"/>
      <c r="AG31" s="81"/>
      <c r="AH31" s="85"/>
      <c r="AI31" s="81"/>
      <c r="AJ31" s="85"/>
      <c r="AK31" s="81"/>
      <c r="AL31" s="85"/>
      <c r="AM31" s="81"/>
      <c r="AN31" s="85"/>
      <c r="AO31" s="81"/>
      <c r="AP31" s="85"/>
    </row>
    <row r="32" spans="1:42" s="80" customFormat="1" ht="12.75">
      <c r="A32" s="80" t="s">
        <v>205</v>
      </c>
      <c r="B32" s="80">
        <v>30</v>
      </c>
      <c r="C32" s="80" t="s">
        <v>265</v>
      </c>
      <c r="D32" s="83">
        <v>0.01</v>
      </c>
      <c r="E32" s="81">
        <v>1</v>
      </c>
      <c r="F32" s="84">
        <v>0.009131694481810523</v>
      </c>
      <c r="G32" s="84">
        <f t="shared" si="0"/>
        <v>0.0045658472409052615</v>
      </c>
      <c r="H32" s="84">
        <f t="shared" si="1"/>
        <v>4.5658472409052614E-05</v>
      </c>
      <c r="I32" s="81"/>
      <c r="J32" s="84">
        <v>0.0032737903225806444</v>
      </c>
      <c r="K32" s="84">
        <f t="shared" si="2"/>
        <v>0.0032737903225806444</v>
      </c>
      <c r="L32" s="84">
        <f t="shared" si="3"/>
        <v>3.2737903225806446E-05</v>
      </c>
      <c r="M32" s="81"/>
      <c r="N32" s="84">
        <v>0.0036360960894676816</v>
      </c>
      <c r="O32" s="84">
        <f t="shared" si="4"/>
        <v>0.0036360960894676816</v>
      </c>
      <c r="P32" s="84">
        <f t="shared" si="5"/>
        <v>3.636096089467682E-05</v>
      </c>
      <c r="Q32" s="81"/>
      <c r="R32" s="84"/>
      <c r="S32" s="81"/>
      <c r="T32" s="84"/>
      <c r="U32" s="81"/>
      <c r="V32" s="84"/>
      <c r="W32" s="81"/>
      <c r="X32" s="84"/>
      <c r="Y32" s="81"/>
      <c r="Z32" s="84"/>
      <c r="AA32" s="81"/>
      <c r="AB32" s="85"/>
      <c r="AC32" s="81"/>
      <c r="AD32" s="85"/>
      <c r="AE32" s="81"/>
      <c r="AF32" s="85"/>
      <c r="AG32" s="81"/>
      <c r="AH32" s="85"/>
      <c r="AI32" s="81"/>
      <c r="AJ32" s="85"/>
      <c r="AK32" s="81"/>
      <c r="AL32" s="85"/>
      <c r="AM32" s="81"/>
      <c r="AN32" s="85"/>
      <c r="AO32" s="81"/>
      <c r="AP32" s="85"/>
    </row>
    <row r="33" spans="1:42" s="80" customFormat="1" ht="12.75">
      <c r="A33" s="80" t="s">
        <v>205</v>
      </c>
      <c r="B33" s="80">
        <v>31</v>
      </c>
      <c r="C33" s="80" t="s">
        <v>266</v>
      </c>
      <c r="D33" s="83">
        <v>0</v>
      </c>
      <c r="E33" s="81"/>
      <c r="F33" s="84">
        <v>-0.009131694481810525</v>
      </c>
      <c r="G33" s="84">
        <f t="shared" si="0"/>
        <v>-0.009131694481810525</v>
      </c>
      <c r="H33" s="84">
        <f t="shared" si="1"/>
        <v>0</v>
      </c>
      <c r="I33" s="81"/>
      <c r="J33" s="84">
        <v>0.0109600806451613</v>
      </c>
      <c r="K33" s="84">
        <f t="shared" si="2"/>
        <v>0.0109600806451613</v>
      </c>
      <c r="L33" s="84">
        <f t="shared" si="3"/>
        <v>0</v>
      </c>
      <c r="M33" s="81"/>
      <c r="N33" s="84">
        <v>0.014544384357870734</v>
      </c>
      <c r="O33" s="84">
        <f t="shared" si="4"/>
        <v>0.014544384357870734</v>
      </c>
      <c r="P33" s="84">
        <f t="shared" si="5"/>
        <v>0</v>
      </c>
      <c r="Q33" s="81"/>
      <c r="R33" s="84"/>
      <c r="S33" s="81"/>
      <c r="T33" s="84"/>
      <c r="U33" s="81"/>
      <c r="V33" s="84"/>
      <c r="W33" s="81"/>
      <c r="X33" s="84"/>
      <c r="Y33" s="81"/>
      <c r="Z33" s="84"/>
      <c r="AA33" s="81"/>
      <c r="AB33" s="85"/>
      <c r="AC33" s="81"/>
      <c r="AD33" s="85"/>
      <c r="AE33" s="81"/>
      <c r="AF33" s="85"/>
      <c r="AG33" s="81"/>
      <c r="AH33" s="85"/>
      <c r="AI33" s="81"/>
      <c r="AJ33" s="85"/>
      <c r="AK33" s="81"/>
      <c r="AL33" s="85"/>
      <c r="AM33" s="81"/>
      <c r="AN33" s="85"/>
      <c r="AO33" s="81"/>
      <c r="AP33" s="85"/>
    </row>
    <row r="34" spans="1:42" s="80" customFormat="1" ht="12.75">
      <c r="A34" s="80" t="s">
        <v>205</v>
      </c>
      <c r="B34" s="80">
        <v>32</v>
      </c>
      <c r="C34" s="80" t="s">
        <v>267</v>
      </c>
      <c r="D34" s="83">
        <v>0</v>
      </c>
      <c r="E34" s="81"/>
      <c r="F34" s="84">
        <v>0.027760351224704</v>
      </c>
      <c r="G34" s="84">
        <f t="shared" si="0"/>
        <v>0.027760351224704</v>
      </c>
      <c r="H34" s="84">
        <f t="shared" si="1"/>
        <v>0</v>
      </c>
      <c r="I34" s="81"/>
      <c r="J34" s="84">
        <v>0.053377016129032256</v>
      </c>
      <c r="K34" s="84">
        <f t="shared" si="2"/>
        <v>0.053377016129032256</v>
      </c>
      <c r="L34" s="84">
        <f t="shared" si="3"/>
        <v>0</v>
      </c>
      <c r="M34" s="81"/>
      <c r="N34" s="84">
        <v>0.05454144134201523</v>
      </c>
      <c r="O34" s="84">
        <f t="shared" si="4"/>
        <v>0.05454144134201523</v>
      </c>
      <c r="P34" s="84">
        <f t="shared" si="5"/>
        <v>0</v>
      </c>
      <c r="Q34" s="81"/>
      <c r="R34" s="84"/>
      <c r="S34" s="81"/>
      <c r="T34" s="84"/>
      <c r="U34" s="81"/>
      <c r="V34" s="84"/>
      <c r="W34" s="81"/>
      <c r="X34" s="84"/>
      <c r="Y34" s="81"/>
      <c r="Z34" s="84"/>
      <c r="AA34" s="81"/>
      <c r="AB34" s="85"/>
      <c r="AC34" s="81"/>
      <c r="AD34" s="85"/>
      <c r="AE34" s="81"/>
      <c r="AF34" s="85"/>
      <c r="AG34" s="81"/>
      <c r="AH34" s="85"/>
      <c r="AI34" s="81"/>
      <c r="AJ34" s="85"/>
      <c r="AK34" s="81"/>
      <c r="AL34" s="85"/>
      <c r="AM34" s="81"/>
      <c r="AN34" s="85"/>
      <c r="AO34" s="81"/>
      <c r="AP34" s="85"/>
    </row>
    <row r="35" spans="1:42" s="80" customFormat="1" ht="12.75">
      <c r="A35" s="80" t="s">
        <v>205</v>
      </c>
      <c r="B35" s="80">
        <v>33</v>
      </c>
      <c r="C35" s="80" t="s">
        <v>268</v>
      </c>
      <c r="D35" s="83">
        <v>0.001</v>
      </c>
      <c r="E35" s="81"/>
      <c r="F35" s="84">
        <v>0.00840115892326568</v>
      </c>
      <c r="G35" s="84">
        <f t="shared" si="0"/>
        <v>0.00840115892326568</v>
      </c>
      <c r="H35" s="84">
        <f t="shared" si="1"/>
        <v>8.40115892326568E-06</v>
      </c>
      <c r="I35" s="81"/>
      <c r="J35" s="84">
        <v>0.007116935483870967</v>
      </c>
      <c r="K35" s="84">
        <f t="shared" si="2"/>
        <v>0.007116935483870967</v>
      </c>
      <c r="L35" s="84">
        <f t="shared" si="3"/>
        <v>7.116935483870967E-06</v>
      </c>
      <c r="M35" s="81"/>
      <c r="N35" s="84">
        <v>0.006544972961041826</v>
      </c>
      <c r="O35" s="84">
        <f t="shared" si="4"/>
        <v>0.006544972961041826</v>
      </c>
      <c r="P35" s="84">
        <f t="shared" si="5"/>
        <v>6.544972961041825E-06</v>
      </c>
      <c r="Q35" s="81"/>
      <c r="R35" s="84"/>
      <c r="S35" s="81"/>
      <c r="T35" s="84"/>
      <c r="U35" s="81"/>
      <c r="V35" s="84"/>
      <c r="W35" s="81"/>
      <c r="X35" s="84"/>
      <c r="Y35" s="81"/>
      <c r="Z35" s="84"/>
      <c r="AA35" s="81"/>
      <c r="AB35" s="85"/>
      <c r="AC35" s="81"/>
      <c r="AD35" s="85"/>
      <c r="AE35" s="81"/>
      <c r="AF35" s="85"/>
      <c r="AG35" s="81"/>
      <c r="AH35" s="85"/>
      <c r="AI35" s="81"/>
      <c r="AJ35" s="85"/>
      <c r="AK35" s="81"/>
      <c r="AL35" s="85"/>
      <c r="AM35" s="81"/>
      <c r="AN35" s="85"/>
      <c r="AO35" s="81"/>
      <c r="AP35" s="85"/>
    </row>
    <row r="36" spans="1:42" s="80" customFormat="1" ht="12.75">
      <c r="A36" s="80" t="s">
        <v>205</v>
      </c>
      <c r="B36" s="80">
        <v>34</v>
      </c>
      <c r="C36" s="80" t="s">
        <v>269</v>
      </c>
      <c r="D36" s="83"/>
      <c r="E36" s="81"/>
      <c r="F36" s="84">
        <v>14.90146432319768</v>
      </c>
      <c r="G36" s="84">
        <f>SUM(G35,G34,G30,G24,G20,G17,G16,G13,G7)</f>
        <v>14.90146432319768</v>
      </c>
      <c r="H36" s="84"/>
      <c r="I36" s="81"/>
      <c r="J36" s="84">
        <v>14.201844758064514</v>
      </c>
      <c r="K36" s="84">
        <f>SUM(K35,K34,K30,K24,K20,K17,K16,K13,K7)</f>
        <v>14.201844758064514</v>
      </c>
      <c r="L36" s="84"/>
      <c r="M36" s="81"/>
      <c r="N36" s="84">
        <v>13.718263326343667</v>
      </c>
      <c r="O36" s="84">
        <f>SUM(O35,O34,O30,O24,O20,O17,O16,O13,O7)</f>
        <v>13.718263326343669</v>
      </c>
      <c r="P36" s="84"/>
      <c r="Q36" s="81"/>
      <c r="R36" s="84"/>
      <c r="S36" s="81"/>
      <c r="T36" s="84"/>
      <c r="U36" s="81"/>
      <c r="V36" s="84"/>
      <c r="W36" s="81"/>
      <c r="X36" s="84"/>
      <c r="Y36" s="81"/>
      <c r="Z36" s="84"/>
      <c r="AA36" s="81"/>
      <c r="AB36" s="85"/>
      <c r="AC36" s="81"/>
      <c r="AD36" s="85"/>
      <c r="AE36" s="81"/>
      <c r="AF36" s="85"/>
      <c r="AG36" s="81"/>
      <c r="AH36" s="85"/>
      <c r="AI36" s="81"/>
      <c r="AJ36" s="85"/>
      <c r="AK36" s="81"/>
      <c r="AL36" s="85"/>
      <c r="AM36" s="81"/>
      <c r="AN36" s="85"/>
      <c r="AO36" s="81"/>
      <c r="AP36" s="85"/>
    </row>
    <row r="37" spans="1:42" s="80" customFormat="1" ht="12.75">
      <c r="A37" s="80" t="s">
        <v>205</v>
      </c>
      <c r="B37" s="80">
        <v>35</v>
      </c>
      <c r="C37" s="80" t="s">
        <v>26</v>
      </c>
      <c r="D37" s="83"/>
      <c r="E37" s="103">
        <f>(F37-H37)*2/F37*100</f>
        <v>1.6179410236799165</v>
      </c>
      <c r="F37" s="84">
        <v>0.393049681296102</v>
      </c>
      <c r="G37" s="84"/>
      <c r="H37" s="84">
        <f>SUM(H5:H35)</f>
        <v>0.3898700252775356</v>
      </c>
      <c r="I37" s="103">
        <f>(J37-L37)*2/J37*100</f>
        <v>0.9736941516851474</v>
      </c>
      <c r="J37" s="84">
        <v>0.48606249596774187</v>
      </c>
      <c r="K37" s="84"/>
      <c r="L37" s="84">
        <f>SUM(L5:L35)</f>
        <v>0.4836961149193555</v>
      </c>
      <c r="M37" s="103">
        <f>(N37-P37)*2/N37*100</f>
        <v>0.9534685076748654</v>
      </c>
      <c r="N37" s="84">
        <v>0.3588546860905713</v>
      </c>
      <c r="O37" s="84"/>
      <c r="P37" s="84">
        <f>SUM(P5:P35)</f>
        <v>0.35714390288047676</v>
      </c>
      <c r="Q37" s="81"/>
      <c r="R37" s="84"/>
      <c r="S37" s="81"/>
      <c r="T37" s="84"/>
      <c r="U37" s="81"/>
      <c r="V37" s="84"/>
      <c r="W37" s="81"/>
      <c r="X37" s="84"/>
      <c r="Y37" s="81"/>
      <c r="Z37" s="84"/>
      <c r="AA37" s="81"/>
      <c r="AB37" s="85"/>
      <c r="AC37" s="81"/>
      <c r="AD37" s="85"/>
      <c r="AE37" s="81"/>
      <c r="AF37" s="85"/>
      <c r="AG37" s="81"/>
      <c r="AH37" s="85"/>
      <c r="AI37" s="81"/>
      <c r="AJ37" s="85"/>
      <c r="AK37" s="81"/>
      <c r="AL37" s="85"/>
      <c r="AM37" s="81"/>
      <c r="AN37" s="85"/>
      <c r="AO37" s="81"/>
      <c r="AP37" s="85"/>
    </row>
    <row r="38" spans="11:16" ht="12.75">
      <c r="K38" s="84"/>
      <c r="L38" s="84"/>
      <c r="O38" s="84"/>
      <c r="P38" s="84"/>
    </row>
    <row r="39" spans="11:16" ht="12.75">
      <c r="K39" s="84"/>
      <c r="L39" s="84"/>
      <c r="O39" s="84"/>
      <c r="P39" s="84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67"/>
  <sheetViews>
    <sheetView workbookViewId="0" topLeftCell="B145">
      <selection activeCell="B35" sqref="B35"/>
    </sheetView>
  </sheetViews>
  <sheetFormatPr defaultColWidth="9.140625" defaultRowHeight="12.75"/>
  <cols>
    <col min="1" max="1" width="2.8515625" style="0" hidden="1" customWidth="1"/>
    <col min="2" max="2" width="18.8515625" style="0" customWidth="1"/>
    <col min="3" max="3" width="72.00390625" style="53" customWidth="1"/>
  </cols>
  <sheetData>
    <row r="1" ht="12.75">
      <c r="B1" s="3" t="s">
        <v>270</v>
      </c>
    </row>
    <row r="3" spans="2:12" s="39" customFormat="1" ht="12.75">
      <c r="B3" s="87" t="s">
        <v>134</v>
      </c>
      <c r="C3" s="38" t="s">
        <v>134</v>
      </c>
      <c r="D3" s="38"/>
      <c r="E3" s="38"/>
      <c r="F3" s="38"/>
      <c r="G3" s="38"/>
      <c r="H3" s="38"/>
      <c r="I3" s="38"/>
      <c r="J3" s="38"/>
      <c r="K3" s="38"/>
      <c r="L3" s="38"/>
    </row>
    <row r="4" spans="2:12" s="39" customFormat="1" ht="12.75">
      <c r="B4" s="87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2:12" s="39" customFormat="1" ht="25.5">
      <c r="B5" s="38" t="s">
        <v>180</v>
      </c>
      <c r="C5" s="38" t="s">
        <v>135</v>
      </c>
      <c r="D5" s="38"/>
      <c r="E5" s="38"/>
      <c r="F5" s="38"/>
      <c r="G5" s="38"/>
      <c r="H5" s="38"/>
      <c r="I5" s="38"/>
      <c r="J5" s="38"/>
      <c r="K5" s="38"/>
      <c r="L5" s="38"/>
    </row>
    <row r="6" spans="2:12" s="39" customFormat="1" ht="12.75">
      <c r="B6" s="38" t="s">
        <v>182</v>
      </c>
      <c r="C6" s="38" t="s">
        <v>136</v>
      </c>
      <c r="D6" s="38"/>
      <c r="E6" s="38"/>
      <c r="F6" s="38"/>
      <c r="G6" s="38"/>
      <c r="H6" s="38"/>
      <c r="I6" s="38"/>
      <c r="J6" s="38"/>
      <c r="K6" s="38"/>
      <c r="L6" s="38"/>
    </row>
    <row r="7" spans="2:12" s="39" customFormat="1" ht="12.75">
      <c r="B7" s="38" t="s">
        <v>184</v>
      </c>
      <c r="C7" s="38" t="s">
        <v>136</v>
      </c>
      <c r="D7" s="38"/>
      <c r="E7" s="38"/>
      <c r="F7" s="38"/>
      <c r="G7" s="38"/>
      <c r="H7" s="38"/>
      <c r="I7" s="38"/>
      <c r="J7" s="38"/>
      <c r="K7" s="38"/>
      <c r="L7" s="38"/>
    </row>
    <row r="8" spans="2:12" s="39" customFormat="1" ht="12.75">
      <c r="B8" s="38" t="s">
        <v>271</v>
      </c>
      <c r="C8" s="88" t="s">
        <v>137</v>
      </c>
      <c r="D8" s="38"/>
      <c r="E8" s="38"/>
      <c r="F8" s="38"/>
      <c r="G8" s="38"/>
      <c r="H8" s="38"/>
      <c r="I8" s="38"/>
      <c r="J8" s="38"/>
      <c r="K8" s="38"/>
      <c r="L8" s="38"/>
    </row>
    <row r="9" spans="2:12" s="39" customFormat="1" ht="12.75">
      <c r="B9" s="38" t="s">
        <v>309</v>
      </c>
      <c r="C9" s="98">
        <v>36607</v>
      </c>
      <c r="D9" s="38"/>
      <c r="E9" s="38"/>
      <c r="F9" s="38"/>
      <c r="G9" s="38"/>
      <c r="H9" s="38"/>
      <c r="I9" s="38"/>
      <c r="J9" s="38"/>
      <c r="K9" s="38"/>
      <c r="L9" s="38"/>
    </row>
    <row r="10" spans="2:12" s="39" customFormat="1" ht="12.75">
      <c r="B10" s="38" t="s">
        <v>272</v>
      </c>
      <c r="C10" s="38" t="s">
        <v>395</v>
      </c>
      <c r="D10" s="38"/>
      <c r="E10" s="38"/>
      <c r="F10" s="38"/>
      <c r="G10" s="38"/>
      <c r="H10" s="38"/>
      <c r="I10" s="38"/>
      <c r="J10" s="38"/>
      <c r="K10" s="38"/>
      <c r="L10" s="38"/>
    </row>
    <row r="11" spans="2:12" s="39" customFormat="1" ht="12.75">
      <c r="B11" s="38" t="s">
        <v>273</v>
      </c>
      <c r="C11" s="88" t="s">
        <v>138</v>
      </c>
      <c r="D11" s="38"/>
      <c r="E11" s="38"/>
      <c r="F11" s="38"/>
      <c r="G11" s="38"/>
      <c r="H11" s="38"/>
      <c r="I11" s="38"/>
      <c r="J11" s="38"/>
      <c r="K11" s="38"/>
      <c r="L11" s="38"/>
    </row>
    <row r="12" spans="4:12" s="39" customFormat="1" ht="12.75">
      <c r="D12" s="38"/>
      <c r="E12" s="38"/>
      <c r="F12" s="38"/>
      <c r="G12" s="38"/>
      <c r="H12" s="38"/>
      <c r="I12" s="38"/>
      <c r="J12" s="38"/>
      <c r="K12" s="38"/>
      <c r="L12" s="38"/>
    </row>
    <row r="13" spans="2:12" s="39" customFormat="1" ht="12.75">
      <c r="B13" s="87" t="s">
        <v>139</v>
      </c>
      <c r="C13" s="38" t="s">
        <v>139</v>
      </c>
      <c r="D13" s="38"/>
      <c r="E13" s="38"/>
      <c r="F13" s="38"/>
      <c r="G13" s="38"/>
      <c r="H13" s="38"/>
      <c r="I13" s="38"/>
      <c r="J13" s="38"/>
      <c r="K13" s="38"/>
      <c r="L13" s="38"/>
    </row>
    <row r="14" spans="2:12" s="39" customFormat="1" ht="12.75">
      <c r="B14" s="87"/>
      <c r="C14" s="38"/>
      <c r="D14" s="38"/>
      <c r="E14" s="38"/>
      <c r="F14" s="38"/>
      <c r="G14" s="38"/>
      <c r="H14" s="38"/>
      <c r="I14" s="38"/>
      <c r="J14" s="38"/>
      <c r="K14" s="38"/>
      <c r="L14" s="38"/>
    </row>
    <row r="15" spans="2:12" s="39" customFormat="1" ht="25.5">
      <c r="B15" s="38" t="s">
        <v>180</v>
      </c>
      <c r="C15" s="38" t="s">
        <v>135</v>
      </c>
      <c r="D15" s="38"/>
      <c r="E15" s="38"/>
      <c r="F15" s="38"/>
      <c r="G15" s="38"/>
      <c r="H15" s="38"/>
      <c r="I15" s="38"/>
      <c r="J15" s="38"/>
      <c r="K15" s="38"/>
      <c r="L15" s="38"/>
    </row>
    <row r="16" spans="2:12" s="39" customFormat="1" ht="12.75">
      <c r="B16" s="38" t="s">
        <v>182</v>
      </c>
      <c r="C16" s="38" t="s">
        <v>136</v>
      </c>
      <c r="D16" s="38"/>
      <c r="E16" s="38"/>
      <c r="F16" s="38"/>
      <c r="G16" s="38"/>
      <c r="H16" s="38"/>
      <c r="I16" s="38"/>
      <c r="J16" s="38"/>
      <c r="K16" s="38"/>
      <c r="L16" s="38"/>
    </row>
    <row r="17" spans="2:12" s="39" customFormat="1" ht="12.75">
      <c r="B17" s="38" t="s">
        <v>184</v>
      </c>
      <c r="C17" s="38" t="s">
        <v>136</v>
      </c>
      <c r="D17" s="38"/>
      <c r="E17" s="38"/>
      <c r="F17" s="38"/>
      <c r="G17" s="38"/>
      <c r="H17" s="38"/>
      <c r="I17" s="38"/>
      <c r="J17" s="38"/>
      <c r="K17" s="38"/>
      <c r="L17" s="38"/>
    </row>
    <row r="18" spans="2:12" s="39" customFormat="1" ht="12.75">
      <c r="B18" s="38" t="s">
        <v>271</v>
      </c>
      <c r="C18" s="88">
        <v>36608</v>
      </c>
      <c r="D18" s="38"/>
      <c r="E18" s="38"/>
      <c r="F18" s="38"/>
      <c r="G18" s="38"/>
      <c r="H18" s="38"/>
      <c r="I18" s="38"/>
      <c r="J18" s="38"/>
      <c r="K18" s="38"/>
      <c r="L18" s="38"/>
    </row>
    <row r="19" spans="2:12" s="39" customFormat="1" ht="12.75">
      <c r="B19" s="38" t="s">
        <v>309</v>
      </c>
      <c r="C19" s="98">
        <v>36608</v>
      </c>
      <c r="D19" s="38"/>
      <c r="E19" s="38"/>
      <c r="F19" s="38"/>
      <c r="G19" s="38"/>
      <c r="H19" s="38"/>
      <c r="I19" s="38"/>
      <c r="J19" s="38"/>
      <c r="K19" s="38"/>
      <c r="L19" s="38"/>
    </row>
    <row r="20" spans="2:12" s="39" customFormat="1" ht="12.75">
      <c r="B20" s="38" t="s">
        <v>272</v>
      </c>
      <c r="C20" s="38" t="s">
        <v>140</v>
      </c>
      <c r="D20" s="38"/>
      <c r="E20" s="38"/>
      <c r="F20" s="38"/>
      <c r="G20" s="38"/>
      <c r="H20" s="38"/>
      <c r="I20" s="38"/>
      <c r="J20" s="38"/>
      <c r="K20" s="38"/>
      <c r="L20" s="38"/>
    </row>
    <row r="21" spans="2:12" s="39" customFormat="1" ht="12.75">
      <c r="B21" s="38" t="s">
        <v>273</v>
      </c>
      <c r="C21" s="88" t="s">
        <v>169</v>
      </c>
      <c r="D21" s="38"/>
      <c r="E21" s="38"/>
      <c r="F21" s="38"/>
      <c r="G21" s="38"/>
      <c r="H21" s="38"/>
      <c r="I21" s="38"/>
      <c r="J21" s="38"/>
      <c r="K21" s="38"/>
      <c r="L21" s="38"/>
    </row>
    <row r="22" spans="2:12" s="39" customFormat="1" ht="12.75"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</row>
    <row r="23" spans="2:12" s="39" customFormat="1" ht="12.75">
      <c r="B23" s="87" t="s">
        <v>170</v>
      </c>
      <c r="C23" s="89"/>
      <c r="E23" s="38"/>
      <c r="F23" s="38"/>
      <c r="G23" s="38"/>
      <c r="H23" s="38"/>
      <c r="I23" s="38"/>
      <c r="J23" s="38"/>
      <c r="K23" s="38"/>
      <c r="L23" s="38"/>
    </row>
    <row r="24" spans="2:12" s="39" customFormat="1" ht="12.75"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</row>
    <row r="25" spans="2:12" s="39" customFormat="1" ht="38.25">
      <c r="B25" s="38" t="s">
        <v>180</v>
      </c>
      <c r="C25" s="38" t="s">
        <v>375</v>
      </c>
      <c r="D25" s="38"/>
      <c r="E25" s="38"/>
      <c r="F25" s="38"/>
      <c r="G25" s="38"/>
      <c r="H25" s="38"/>
      <c r="I25" s="38"/>
      <c r="J25" s="38"/>
      <c r="K25" s="38"/>
      <c r="L25" s="38"/>
    </row>
    <row r="26" spans="2:12" s="39" customFormat="1" ht="12.75">
      <c r="B26" s="38" t="s">
        <v>182</v>
      </c>
      <c r="C26" s="38" t="s">
        <v>283</v>
      </c>
      <c r="D26" s="38"/>
      <c r="E26" s="38"/>
      <c r="F26" s="38"/>
      <c r="G26" s="38"/>
      <c r="H26" s="38"/>
      <c r="I26" s="38"/>
      <c r="J26" s="38"/>
      <c r="K26" s="38"/>
      <c r="L26" s="38"/>
    </row>
    <row r="27" spans="2:12" s="39" customFormat="1" ht="12.75">
      <c r="B27" s="38" t="s">
        <v>184</v>
      </c>
      <c r="C27" s="38" t="s">
        <v>283</v>
      </c>
      <c r="D27" s="38"/>
      <c r="E27" s="38"/>
      <c r="F27" s="38"/>
      <c r="G27" s="38"/>
      <c r="H27" s="38"/>
      <c r="I27" s="38"/>
      <c r="J27" s="38"/>
      <c r="K27" s="38"/>
      <c r="L27" s="38"/>
    </row>
    <row r="28" spans="2:12" s="39" customFormat="1" ht="12.75">
      <c r="B28" s="38" t="s">
        <v>271</v>
      </c>
      <c r="C28" s="88" t="s">
        <v>171</v>
      </c>
      <c r="D28" s="38"/>
      <c r="E28" s="38"/>
      <c r="F28" s="38"/>
      <c r="G28" s="38"/>
      <c r="H28" s="38"/>
      <c r="I28" s="38"/>
      <c r="J28" s="38"/>
      <c r="K28" s="38"/>
      <c r="L28" s="38"/>
    </row>
    <row r="29" spans="2:12" s="39" customFormat="1" ht="12.75">
      <c r="B29" s="38" t="s">
        <v>309</v>
      </c>
      <c r="C29" s="98">
        <v>35988</v>
      </c>
      <c r="D29" s="38"/>
      <c r="E29" s="38"/>
      <c r="F29" s="38"/>
      <c r="G29" s="38"/>
      <c r="H29" s="38"/>
      <c r="I29" s="38"/>
      <c r="J29" s="38"/>
      <c r="K29" s="38"/>
      <c r="L29" s="38"/>
    </row>
    <row r="30" spans="2:12" s="39" customFormat="1" ht="12.75">
      <c r="B30" s="38" t="s">
        <v>272</v>
      </c>
      <c r="C30" s="38" t="s">
        <v>398</v>
      </c>
      <c r="D30" s="38"/>
      <c r="E30" s="38"/>
      <c r="F30" s="38"/>
      <c r="G30" s="38"/>
      <c r="H30" s="38"/>
      <c r="I30" s="38"/>
      <c r="J30" s="38"/>
      <c r="K30" s="38"/>
      <c r="L30" s="38"/>
    </row>
    <row r="31" spans="2:12" s="39" customFormat="1" ht="12.75">
      <c r="B31" s="38" t="s">
        <v>273</v>
      </c>
      <c r="C31" s="88" t="s">
        <v>177</v>
      </c>
      <c r="D31" s="38"/>
      <c r="E31" s="38"/>
      <c r="F31" s="38"/>
      <c r="G31" s="38"/>
      <c r="H31" s="38"/>
      <c r="I31" s="38"/>
      <c r="J31" s="38"/>
      <c r="K31" s="38"/>
      <c r="L31" s="38"/>
    </row>
    <row r="32" spans="2:12" s="39" customFormat="1" ht="12.75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</row>
    <row r="33" spans="2:12" s="39" customFormat="1" ht="12.75">
      <c r="B33" s="87" t="s">
        <v>173</v>
      </c>
      <c r="C33" s="89"/>
      <c r="D33" s="38"/>
      <c r="E33" s="38"/>
      <c r="F33" s="38"/>
      <c r="G33" s="38"/>
      <c r="H33" s="38"/>
      <c r="I33" s="38"/>
      <c r="J33" s="38"/>
      <c r="K33" s="38"/>
      <c r="L33" s="38"/>
    </row>
    <row r="34" spans="2:12" s="39" customFormat="1" ht="12.75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</row>
    <row r="35" spans="2:12" s="39" customFormat="1" ht="38.25">
      <c r="B35" s="38" t="s">
        <v>180</v>
      </c>
      <c r="C35" s="38" t="s">
        <v>375</v>
      </c>
      <c r="E35" s="38"/>
      <c r="F35" s="38"/>
      <c r="G35" s="38"/>
      <c r="H35" s="38"/>
      <c r="I35" s="38"/>
      <c r="J35" s="38"/>
      <c r="K35" s="38"/>
      <c r="L35" s="38"/>
    </row>
    <row r="36" spans="2:12" s="39" customFormat="1" ht="12.75">
      <c r="B36" s="38" t="s">
        <v>182</v>
      </c>
      <c r="C36" s="38" t="s">
        <v>283</v>
      </c>
      <c r="D36" s="38"/>
      <c r="E36" s="38"/>
      <c r="F36" s="38"/>
      <c r="G36" s="38"/>
      <c r="H36" s="38"/>
      <c r="I36" s="38"/>
      <c r="J36" s="38"/>
      <c r="K36" s="38"/>
      <c r="L36" s="38"/>
    </row>
    <row r="37" spans="2:12" s="39" customFormat="1" ht="12.75">
      <c r="B37" s="38" t="s">
        <v>184</v>
      </c>
      <c r="C37" s="38" t="s">
        <v>283</v>
      </c>
      <c r="D37" s="38"/>
      <c r="E37" s="38"/>
      <c r="F37" s="38"/>
      <c r="G37" s="38"/>
      <c r="H37" s="38"/>
      <c r="I37" s="38"/>
      <c r="J37" s="38"/>
      <c r="K37" s="38"/>
      <c r="L37" s="38"/>
    </row>
    <row r="38" spans="2:12" s="39" customFormat="1" ht="12.75">
      <c r="B38" s="38" t="s">
        <v>271</v>
      </c>
      <c r="C38" s="88" t="s">
        <v>172</v>
      </c>
      <c r="D38" s="38"/>
      <c r="E38" s="38"/>
      <c r="F38" s="38"/>
      <c r="G38" s="38"/>
      <c r="H38" s="38"/>
      <c r="I38" s="38"/>
      <c r="J38" s="38"/>
      <c r="K38" s="38"/>
      <c r="L38" s="38"/>
    </row>
    <row r="39" spans="2:12" s="39" customFormat="1" ht="12.75">
      <c r="B39" s="38" t="s">
        <v>309</v>
      </c>
      <c r="C39" s="98">
        <v>35992</v>
      </c>
      <c r="D39" s="38"/>
      <c r="E39" s="38"/>
      <c r="F39" s="38"/>
      <c r="G39" s="38"/>
      <c r="H39" s="38"/>
      <c r="I39" s="38"/>
      <c r="J39" s="38"/>
      <c r="K39" s="38"/>
      <c r="L39" s="38"/>
    </row>
    <row r="40" spans="2:12" s="39" customFormat="1" ht="12.75">
      <c r="B40" s="38" t="s">
        <v>272</v>
      </c>
      <c r="C40" s="38" t="s">
        <v>397</v>
      </c>
      <c r="D40" s="38"/>
      <c r="E40" s="38"/>
      <c r="F40" s="38"/>
      <c r="G40" s="38"/>
      <c r="H40" s="38"/>
      <c r="I40" s="38"/>
      <c r="J40" s="38"/>
      <c r="K40" s="38"/>
      <c r="L40" s="38"/>
    </row>
    <row r="41" spans="2:12" s="39" customFormat="1" ht="12.75">
      <c r="B41" s="38" t="s">
        <v>273</v>
      </c>
      <c r="C41" s="88" t="s">
        <v>177</v>
      </c>
      <c r="D41" s="38"/>
      <c r="E41" s="38"/>
      <c r="F41" s="38"/>
      <c r="G41" s="38"/>
      <c r="H41" s="38"/>
      <c r="I41" s="38"/>
      <c r="J41" s="38"/>
      <c r="K41" s="38"/>
      <c r="L41" s="38"/>
    </row>
    <row r="42" s="90" customFormat="1" ht="12.75">
      <c r="C42" s="75"/>
    </row>
    <row r="43" spans="2:3" s="90" customFormat="1" ht="12.75">
      <c r="B43" s="87" t="s">
        <v>179</v>
      </c>
      <c r="C43" s="75"/>
    </row>
    <row r="44" spans="2:3" s="90" customFormat="1" ht="12.75">
      <c r="B44" s="87"/>
      <c r="C44" s="75"/>
    </row>
    <row r="45" spans="2:3" s="90" customFormat="1" ht="25.5">
      <c r="B45" s="38" t="s">
        <v>180</v>
      </c>
      <c r="C45" s="75" t="s">
        <v>181</v>
      </c>
    </row>
    <row r="46" spans="2:3" s="90" customFormat="1" ht="12.75">
      <c r="B46" s="38" t="s">
        <v>182</v>
      </c>
      <c r="C46" s="75" t="s">
        <v>183</v>
      </c>
    </row>
    <row r="47" spans="2:3" s="90" customFormat="1" ht="12.75">
      <c r="B47" s="38" t="s">
        <v>184</v>
      </c>
      <c r="C47" s="75" t="s">
        <v>183</v>
      </c>
    </row>
    <row r="48" spans="1:3" s="92" customFormat="1" ht="12.75">
      <c r="A48" s="92" t="s">
        <v>179</v>
      </c>
      <c r="B48" s="92" t="s">
        <v>185</v>
      </c>
      <c r="C48" s="93" t="s">
        <v>310</v>
      </c>
    </row>
    <row r="49" spans="1:3" s="92" customFormat="1" ht="12.75">
      <c r="A49" s="92" t="s">
        <v>179</v>
      </c>
      <c r="B49" s="92" t="s">
        <v>271</v>
      </c>
      <c r="C49" s="93" t="s">
        <v>187</v>
      </c>
    </row>
    <row r="50" spans="1:3" s="92" customFormat="1" ht="12.75">
      <c r="A50" s="92" t="s">
        <v>179</v>
      </c>
      <c r="B50" s="92" t="s">
        <v>309</v>
      </c>
      <c r="C50" s="99">
        <v>32962</v>
      </c>
    </row>
    <row r="51" s="90" customFormat="1" ht="12.75">
      <c r="C51" s="75"/>
    </row>
    <row r="52" spans="2:3" s="90" customFormat="1" ht="12.75">
      <c r="B52" s="87" t="s">
        <v>188</v>
      </c>
      <c r="C52" s="75"/>
    </row>
    <row r="53" s="90" customFormat="1" ht="12.75">
      <c r="C53" s="75"/>
    </row>
    <row r="54" spans="2:3" s="90" customFormat="1" ht="25.5">
      <c r="B54" s="38" t="s">
        <v>180</v>
      </c>
      <c r="C54" s="75" t="s">
        <v>181</v>
      </c>
    </row>
    <row r="55" spans="2:3" s="90" customFormat="1" ht="12.75">
      <c r="B55" s="38" t="s">
        <v>182</v>
      </c>
      <c r="C55" s="75" t="s">
        <v>183</v>
      </c>
    </row>
    <row r="56" spans="2:3" s="90" customFormat="1" ht="12.75">
      <c r="B56" s="38" t="s">
        <v>184</v>
      </c>
      <c r="C56" s="75" t="s">
        <v>183</v>
      </c>
    </row>
    <row r="57" spans="1:3" s="92" customFormat="1" ht="12.75">
      <c r="A57" s="92" t="s">
        <v>188</v>
      </c>
      <c r="B57" s="92" t="s">
        <v>185</v>
      </c>
      <c r="C57" s="93" t="s">
        <v>311</v>
      </c>
    </row>
    <row r="58" spans="1:3" s="92" customFormat="1" ht="12.75">
      <c r="A58" s="92" t="s">
        <v>188</v>
      </c>
      <c r="B58" s="92" t="s">
        <v>186</v>
      </c>
      <c r="C58" s="93" t="s">
        <v>189</v>
      </c>
    </row>
    <row r="59" spans="1:3" s="92" customFormat="1" ht="12.75">
      <c r="A59" s="92" t="s">
        <v>188</v>
      </c>
      <c r="B59" s="92" t="s">
        <v>309</v>
      </c>
      <c r="C59" s="99">
        <v>32962</v>
      </c>
    </row>
    <row r="60" s="90" customFormat="1" ht="12.75">
      <c r="C60" s="75"/>
    </row>
    <row r="61" spans="2:3" s="90" customFormat="1" ht="12.75">
      <c r="B61" s="87" t="s">
        <v>190</v>
      </c>
      <c r="C61" s="75"/>
    </row>
    <row r="62" spans="2:3" s="90" customFormat="1" ht="12.75">
      <c r="B62" s="87"/>
      <c r="C62" s="75"/>
    </row>
    <row r="63" spans="2:3" s="90" customFormat="1" ht="38.25">
      <c r="B63" s="38" t="s">
        <v>180</v>
      </c>
      <c r="C63" s="75" t="s">
        <v>396</v>
      </c>
    </row>
    <row r="64" spans="2:3" s="90" customFormat="1" ht="12.75">
      <c r="B64" s="38" t="s">
        <v>182</v>
      </c>
      <c r="C64" s="75" t="s">
        <v>183</v>
      </c>
    </row>
    <row r="65" spans="2:3" s="90" customFormat="1" ht="12.75">
      <c r="B65" s="38" t="s">
        <v>184</v>
      </c>
      <c r="C65" s="75" t="s">
        <v>183</v>
      </c>
    </row>
    <row r="66" spans="1:3" s="92" customFormat="1" ht="12.75">
      <c r="A66" s="92" t="s">
        <v>190</v>
      </c>
      <c r="B66" s="92" t="s">
        <v>185</v>
      </c>
      <c r="C66" s="93" t="s">
        <v>312</v>
      </c>
    </row>
    <row r="67" spans="1:3" s="92" customFormat="1" ht="12.75">
      <c r="A67" s="92" t="s">
        <v>190</v>
      </c>
      <c r="B67" s="92" t="s">
        <v>271</v>
      </c>
      <c r="C67" s="93" t="s">
        <v>191</v>
      </c>
    </row>
    <row r="68" spans="2:3" s="92" customFormat="1" ht="12.75">
      <c r="B68" s="92" t="s">
        <v>309</v>
      </c>
      <c r="C68" s="99">
        <v>33868</v>
      </c>
    </row>
    <row r="69" s="90" customFormat="1" ht="12.75">
      <c r="C69" s="75"/>
    </row>
    <row r="70" spans="2:3" s="90" customFormat="1" ht="12.75">
      <c r="B70" s="87" t="s">
        <v>192</v>
      </c>
      <c r="C70" s="75"/>
    </row>
    <row r="71" spans="2:3" s="90" customFormat="1" ht="12.75">
      <c r="B71" s="87"/>
      <c r="C71" s="75"/>
    </row>
    <row r="72" spans="2:3" s="90" customFormat="1" ht="38.25">
      <c r="B72" s="38" t="s">
        <v>180</v>
      </c>
      <c r="C72" s="75" t="s">
        <v>396</v>
      </c>
    </row>
    <row r="73" spans="2:3" s="90" customFormat="1" ht="12.75">
      <c r="B73" s="38" t="s">
        <v>182</v>
      </c>
      <c r="C73" s="75" t="s">
        <v>183</v>
      </c>
    </row>
    <row r="74" spans="2:3" s="90" customFormat="1" ht="12.75">
      <c r="B74" s="38" t="s">
        <v>184</v>
      </c>
      <c r="C74" s="75" t="s">
        <v>183</v>
      </c>
    </row>
    <row r="75" spans="1:3" s="92" customFormat="1" ht="12.75">
      <c r="A75" s="92" t="s">
        <v>192</v>
      </c>
      <c r="B75" s="92" t="s">
        <v>185</v>
      </c>
      <c r="C75" s="93" t="s">
        <v>313</v>
      </c>
    </row>
    <row r="76" spans="1:3" s="92" customFormat="1" ht="12.75">
      <c r="A76" s="92" t="s">
        <v>192</v>
      </c>
      <c r="B76" s="92" t="s">
        <v>271</v>
      </c>
      <c r="C76" s="93" t="s">
        <v>193</v>
      </c>
    </row>
    <row r="77" spans="1:3" s="92" customFormat="1" ht="12.75">
      <c r="A77" s="92" t="s">
        <v>192</v>
      </c>
      <c r="B77" s="92" t="s">
        <v>309</v>
      </c>
      <c r="C77" s="99">
        <v>33868</v>
      </c>
    </row>
    <row r="78" s="90" customFormat="1" ht="12.75">
      <c r="C78" s="75"/>
    </row>
    <row r="79" spans="2:3" s="90" customFormat="1" ht="12.75">
      <c r="B79" s="87" t="s">
        <v>194</v>
      </c>
      <c r="C79" s="75"/>
    </row>
    <row r="80" spans="2:3" s="90" customFormat="1" ht="12.75">
      <c r="B80" s="87"/>
      <c r="C80" s="75"/>
    </row>
    <row r="81" spans="2:3" s="90" customFormat="1" ht="38.25">
      <c r="B81" s="38" t="s">
        <v>180</v>
      </c>
      <c r="C81" s="75" t="s">
        <v>396</v>
      </c>
    </row>
    <row r="82" spans="2:3" s="90" customFormat="1" ht="12.75">
      <c r="B82" s="38" t="s">
        <v>182</v>
      </c>
      <c r="C82" s="75" t="s">
        <v>183</v>
      </c>
    </row>
    <row r="83" spans="2:3" s="90" customFormat="1" ht="12.75">
      <c r="B83" s="38" t="s">
        <v>184</v>
      </c>
      <c r="C83" s="75" t="s">
        <v>183</v>
      </c>
    </row>
    <row r="84" spans="1:3" s="92" customFormat="1" ht="12.75">
      <c r="A84" s="92" t="s">
        <v>194</v>
      </c>
      <c r="B84" s="92" t="s">
        <v>185</v>
      </c>
      <c r="C84" s="93" t="s">
        <v>314</v>
      </c>
    </row>
    <row r="85" spans="1:3" s="92" customFormat="1" ht="12.75">
      <c r="A85" s="92" t="s">
        <v>194</v>
      </c>
      <c r="B85" s="92" t="s">
        <v>271</v>
      </c>
      <c r="C85" s="93" t="s">
        <v>195</v>
      </c>
    </row>
    <row r="86" spans="2:3" s="90" customFormat="1" ht="12.75">
      <c r="B86" s="92" t="s">
        <v>309</v>
      </c>
      <c r="C86" s="99">
        <v>33776</v>
      </c>
    </row>
    <row r="87" s="90" customFormat="1" ht="12.75">
      <c r="C87" s="75"/>
    </row>
    <row r="88" spans="2:3" s="90" customFormat="1" ht="12.75">
      <c r="B88" s="87" t="s">
        <v>196</v>
      </c>
      <c r="C88" s="75"/>
    </row>
    <row r="89" spans="2:3" s="90" customFormat="1" ht="12.75">
      <c r="B89" s="87"/>
      <c r="C89" s="75"/>
    </row>
    <row r="90" spans="2:3" s="90" customFormat="1" ht="25.5">
      <c r="B90" s="38" t="s">
        <v>180</v>
      </c>
      <c r="C90" s="75" t="s">
        <v>282</v>
      </c>
    </row>
    <row r="91" spans="2:3" s="90" customFormat="1" ht="12.75">
      <c r="B91" s="38" t="s">
        <v>182</v>
      </c>
      <c r="C91" s="75" t="s">
        <v>283</v>
      </c>
    </row>
    <row r="92" spans="2:3" s="90" customFormat="1" ht="12.75">
      <c r="B92" s="38" t="s">
        <v>184</v>
      </c>
      <c r="C92" s="75" t="s">
        <v>283</v>
      </c>
    </row>
    <row r="93" spans="1:3" s="92" customFormat="1" ht="12.75">
      <c r="A93" s="92" t="s">
        <v>196</v>
      </c>
      <c r="B93" s="92" t="s">
        <v>185</v>
      </c>
      <c r="C93" s="75" t="s">
        <v>315</v>
      </c>
    </row>
    <row r="94" spans="1:3" s="92" customFormat="1" ht="12.75">
      <c r="A94" s="92" t="s">
        <v>196</v>
      </c>
      <c r="B94" s="92" t="s">
        <v>271</v>
      </c>
      <c r="C94" s="93" t="s">
        <v>197</v>
      </c>
    </row>
    <row r="95" spans="2:3" s="90" customFormat="1" ht="12.75">
      <c r="B95" s="92" t="s">
        <v>309</v>
      </c>
      <c r="C95" s="100">
        <v>32898</v>
      </c>
    </row>
    <row r="96" s="90" customFormat="1" ht="12.75">
      <c r="C96" s="75"/>
    </row>
    <row r="97" spans="2:3" s="90" customFormat="1" ht="12.75">
      <c r="B97" s="87" t="s">
        <v>198</v>
      </c>
      <c r="C97" s="75"/>
    </row>
    <row r="98" s="90" customFormat="1" ht="12.75">
      <c r="C98" s="75"/>
    </row>
    <row r="99" spans="2:3" s="90" customFormat="1" ht="25.5">
      <c r="B99" s="38" t="s">
        <v>180</v>
      </c>
      <c r="C99" s="75" t="s">
        <v>282</v>
      </c>
    </row>
    <row r="100" spans="2:3" s="90" customFormat="1" ht="12.75">
      <c r="B100" s="38" t="s">
        <v>182</v>
      </c>
      <c r="C100" s="75" t="s">
        <v>283</v>
      </c>
    </row>
    <row r="101" spans="2:3" s="90" customFormat="1" ht="12.75">
      <c r="B101" s="38" t="s">
        <v>184</v>
      </c>
      <c r="C101" s="75" t="s">
        <v>283</v>
      </c>
    </row>
    <row r="102" spans="1:3" s="92" customFormat="1" ht="12.75">
      <c r="A102" s="92" t="s">
        <v>198</v>
      </c>
      <c r="B102" s="92" t="s">
        <v>185</v>
      </c>
      <c r="C102" s="75" t="s">
        <v>316</v>
      </c>
    </row>
    <row r="103" spans="1:3" s="92" customFormat="1" ht="12.75">
      <c r="A103" s="92" t="s">
        <v>198</v>
      </c>
      <c r="B103" s="92" t="s">
        <v>271</v>
      </c>
      <c r="C103" s="93" t="s">
        <v>353</v>
      </c>
    </row>
    <row r="104" spans="1:3" s="92" customFormat="1" ht="12.75">
      <c r="A104" s="92" t="s">
        <v>198</v>
      </c>
      <c r="B104" s="92" t="s">
        <v>309</v>
      </c>
      <c r="C104" s="99">
        <v>32893</v>
      </c>
    </row>
    <row r="105" s="90" customFormat="1" ht="12.75">
      <c r="C105" s="75"/>
    </row>
    <row r="106" spans="2:3" s="90" customFormat="1" ht="12.75">
      <c r="B106" s="87" t="s">
        <v>199</v>
      </c>
      <c r="C106" s="75"/>
    </row>
    <row r="107" s="90" customFormat="1" ht="12.75">
      <c r="C107" s="75"/>
    </row>
    <row r="108" spans="2:3" s="90" customFormat="1" ht="25.5">
      <c r="B108" s="38" t="s">
        <v>180</v>
      </c>
      <c r="C108" s="75" t="s">
        <v>282</v>
      </c>
    </row>
    <row r="109" spans="2:3" s="90" customFormat="1" ht="12.75">
      <c r="B109" s="38" t="s">
        <v>182</v>
      </c>
      <c r="C109" s="75" t="s">
        <v>283</v>
      </c>
    </row>
    <row r="110" spans="2:3" s="90" customFormat="1" ht="12.75">
      <c r="B110" s="38" t="s">
        <v>184</v>
      </c>
      <c r="C110" s="75" t="s">
        <v>283</v>
      </c>
    </row>
    <row r="111" spans="1:3" s="92" customFormat="1" ht="12.75">
      <c r="A111" s="92" t="s">
        <v>199</v>
      </c>
      <c r="B111" s="92" t="s">
        <v>185</v>
      </c>
      <c r="C111" s="93" t="s">
        <v>317</v>
      </c>
    </row>
    <row r="112" spans="1:3" s="92" customFormat="1" ht="12.75">
      <c r="A112" s="92" t="s">
        <v>199</v>
      </c>
      <c r="B112" s="92" t="s">
        <v>271</v>
      </c>
      <c r="C112" s="93" t="s">
        <v>352</v>
      </c>
    </row>
    <row r="113" spans="1:3" s="92" customFormat="1" ht="12.75">
      <c r="A113" s="92" t="s">
        <v>199</v>
      </c>
      <c r="B113" s="92" t="s">
        <v>309</v>
      </c>
      <c r="C113" s="99">
        <v>33013</v>
      </c>
    </row>
    <row r="114" s="90" customFormat="1" ht="12.75">
      <c r="C114" s="75"/>
    </row>
    <row r="115" spans="2:3" s="90" customFormat="1" ht="12.75">
      <c r="B115" s="87" t="s">
        <v>200</v>
      </c>
      <c r="C115" s="75"/>
    </row>
    <row r="116" s="90" customFormat="1" ht="12.75">
      <c r="C116" s="75"/>
    </row>
    <row r="117" spans="2:3" s="90" customFormat="1" ht="25.5">
      <c r="B117" s="38" t="s">
        <v>180</v>
      </c>
      <c r="C117" s="75" t="s">
        <v>282</v>
      </c>
    </row>
    <row r="118" spans="2:3" s="90" customFormat="1" ht="12.75">
      <c r="B118" s="38" t="s">
        <v>182</v>
      </c>
      <c r="C118" s="75" t="s">
        <v>283</v>
      </c>
    </row>
    <row r="119" spans="2:3" s="90" customFormat="1" ht="12.75">
      <c r="B119" s="38" t="s">
        <v>184</v>
      </c>
      <c r="C119" s="75" t="s">
        <v>283</v>
      </c>
    </row>
    <row r="120" spans="1:3" s="92" customFormat="1" ht="12.75">
      <c r="A120" s="92" t="s">
        <v>200</v>
      </c>
      <c r="B120" s="92" t="s">
        <v>185</v>
      </c>
      <c r="C120" s="93" t="s">
        <v>318</v>
      </c>
    </row>
    <row r="121" spans="2:3" s="90" customFormat="1" ht="12.75">
      <c r="B121" s="92" t="s">
        <v>271</v>
      </c>
      <c r="C121" s="101">
        <v>32994</v>
      </c>
    </row>
    <row r="122" spans="2:3" s="90" customFormat="1" ht="12.75">
      <c r="B122" s="92" t="s">
        <v>309</v>
      </c>
      <c r="C122" s="100">
        <v>33013</v>
      </c>
    </row>
    <row r="123" s="90" customFormat="1" ht="12.75">
      <c r="C123" s="75"/>
    </row>
    <row r="124" spans="2:3" s="90" customFormat="1" ht="12.75">
      <c r="B124" s="87" t="s">
        <v>201</v>
      </c>
      <c r="C124" s="75"/>
    </row>
    <row r="125" s="90" customFormat="1" ht="12.75">
      <c r="C125" s="75"/>
    </row>
    <row r="126" spans="2:3" s="90" customFormat="1" ht="25.5">
      <c r="B126" s="38" t="s">
        <v>180</v>
      </c>
      <c r="C126" s="75" t="s">
        <v>282</v>
      </c>
    </row>
    <row r="127" spans="2:3" s="90" customFormat="1" ht="12.75">
      <c r="B127" s="38" t="s">
        <v>182</v>
      </c>
      <c r="C127" s="75" t="s">
        <v>283</v>
      </c>
    </row>
    <row r="128" spans="2:3" s="90" customFormat="1" ht="12.75">
      <c r="B128" s="38" t="s">
        <v>184</v>
      </c>
      <c r="C128" s="75" t="s">
        <v>283</v>
      </c>
    </row>
    <row r="129" spans="1:3" s="92" customFormat="1" ht="12.75">
      <c r="A129" s="92" t="s">
        <v>201</v>
      </c>
      <c r="B129" s="92" t="s">
        <v>185</v>
      </c>
      <c r="C129" s="93" t="s">
        <v>319</v>
      </c>
    </row>
    <row r="130" spans="1:3" s="92" customFormat="1" ht="12.75">
      <c r="A130" s="92" t="s">
        <v>201</v>
      </c>
      <c r="B130" s="92" t="s">
        <v>271</v>
      </c>
      <c r="C130" s="93" t="s">
        <v>202</v>
      </c>
    </row>
    <row r="131" spans="1:3" s="92" customFormat="1" ht="12.75">
      <c r="A131" s="92" t="s">
        <v>201</v>
      </c>
      <c r="B131" s="92" t="s">
        <v>309</v>
      </c>
      <c r="C131" s="99">
        <v>32893</v>
      </c>
    </row>
    <row r="132" s="90" customFormat="1" ht="12.75">
      <c r="C132" s="75"/>
    </row>
    <row r="133" spans="2:3" s="90" customFormat="1" ht="12.75">
      <c r="B133" s="87" t="s">
        <v>203</v>
      </c>
      <c r="C133" s="75"/>
    </row>
    <row r="134" s="90" customFormat="1" ht="12.75">
      <c r="C134" s="75"/>
    </row>
    <row r="135" spans="2:3" s="90" customFormat="1" ht="25.5">
      <c r="B135" s="38" t="s">
        <v>180</v>
      </c>
      <c r="C135" s="75" t="s">
        <v>282</v>
      </c>
    </row>
    <row r="136" spans="2:3" s="90" customFormat="1" ht="12.75">
      <c r="B136" s="38" t="s">
        <v>182</v>
      </c>
      <c r="C136" s="75" t="s">
        <v>283</v>
      </c>
    </row>
    <row r="137" spans="2:3" s="90" customFormat="1" ht="12.75">
      <c r="B137" s="38" t="s">
        <v>184</v>
      </c>
      <c r="C137" s="75" t="s">
        <v>283</v>
      </c>
    </row>
    <row r="138" spans="1:3" s="92" customFormat="1" ht="12.75">
      <c r="A138" s="92" t="s">
        <v>203</v>
      </c>
      <c r="B138" s="92" t="s">
        <v>185</v>
      </c>
      <c r="C138" s="93" t="s">
        <v>320</v>
      </c>
    </row>
    <row r="139" spans="1:3" s="92" customFormat="1" ht="12.75">
      <c r="A139" s="92" t="s">
        <v>203</v>
      </c>
      <c r="B139" s="92" t="s">
        <v>271</v>
      </c>
      <c r="C139" s="93" t="s">
        <v>204</v>
      </c>
    </row>
    <row r="140" spans="1:3" s="92" customFormat="1" ht="12.75">
      <c r="A140" s="92" t="s">
        <v>203</v>
      </c>
      <c r="B140" s="92" t="s">
        <v>309</v>
      </c>
      <c r="C140" s="99">
        <v>32924</v>
      </c>
    </row>
    <row r="141" s="90" customFormat="1" ht="12.75">
      <c r="C141" s="75"/>
    </row>
    <row r="142" spans="2:3" s="90" customFormat="1" ht="12.75">
      <c r="B142" s="87" t="s">
        <v>205</v>
      </c>
      <c r="C142" s="75"/>
    </row>
    <row r="143" s="90" customFormat="1" ht="12.75">
      <c r="C143" s="75"/>
    </row>
    <row r="144" spans="2:3" s="90" customFormat="1" ht="38.25">
      <c r="B144" s="38" t="s">
        <v>180</v>
      </c>
      <c r="C144" s="75" t="s">
        <v>284</v>
      </c>
    </row>
    <row r="145" spans="2:3" s="90" customFormat="1" ht="12.75">
      <c r="B145" s="38" t="s">
        <v>182</v>
      </c>
      <c r="C145" s="75" t="s">
        <v>283</v>
      </c>
    </row>
    <row r="146" spans="2:3" s="90" customFormat="1" ht="12.75">
      <c r="B146" s="38" t="s">
        <v>184</v>
      </c>
      <c r="C146" s="75" t="s">
        <v>283</v>
      </c>
    </row>
    <row r="147" spans="1:3" s="92" customFormat="1" ht="12.75">
      <c r="A147" s="92" t="s">
        <v>205</v>
      </c>
      <c r="B147" s="92" t="s">
        <v>185</v>
      </c>
      <c r="C147" s="93" t="s">
        <v>321</v>
      </c>
    </row>
    <row r="148" spans="1:3" s="92" customFormat="1" ht="12.75">
      <c r="A148" s="92" t="s">
        <v>205</v>
      </c>
      <c r="B148" s="92" t="s">
        <v>271</v>
      </c>
      <c r="C148" s="93" t="s">
        <v>206</v>
      </c>
    </row>
    <row r="149" spans="1:3" s="92" customFormat="1" ht="12.75">
      <c r="A149" s="92" t="s">
        <v>205</v>
      </c>
      <c r="B149" s="92" t="s">
        <v>309</v>
      </c>
      <c r="C149" s="99">
        <v>34534</v>
      </c>
    </row>
    <row r="150" s="90" customFormat="1" ht="12.75">
      <c r="C150" s="75"/>
    </row>
    <row r="151" spans="2:3" s="90" customFormat="1" ht="12.75">
      <c r="B151" s="87" t="s">
        <v>207</v>
      </c>
      <c r="C151" s="75"/>
    </row>
    <row r="152" s="90" customFormat="1" ht="12.75">
      <c r="C152" s="75"/>
    </row>
    <row r="153" spans="2:3" s="90" customFormat="1" ht="38.25">
      <c r="B153" s="38" t="s">
        <v>180</v>
      </c>
      <c r="C153" s="75" t="s">
        <v>285</v>
      </c>
    </row>
    <row r="154" spans="2:3" s="90" customFormat="1" ht="12.75">
      <c r="B154" s="38" t="s">
        <v>182</v>
      </c>
      <c r="C154" s="75" t="s">
        <v>283</v>
      </c>
    </row>
    <row r="155" spans="2:3" s="90" customFormat="1" ht="12.75">
      <c r="B155" s="38" t="s">
        <v>184</v>
      </c>
      <c r="C155" s="75" t="s">
        <v>283</v>
      </c>
    </row>
    <row r="156" spans="1:3" s="92" customFormat="1" ht="12.75">
      <c r="A156" s="92" t="s">
        <v>207</v>
      </c>
      <c r="B156" s="92" t="s">
        <v>185</v>
      </c>
      <c r="C156" s="93" t="s">
        <v>322</v>
      </c>
    </row>
    <row r="157" spans="2:3" s="90" customFormat="1" ht="12.75">
      <c r="B157" s="92" t="s">
        <v>271</v>
      </c>
      <c r="C157" s="75" t="s">
        <v>354</v>
      </c>
    </row>
    <row r="158" spans="2:3" s="90" customFormat="1" ht="12.75">
      <c r="B158" s="92" t="s">
        <v>309</v>
      </c>
      <c r="C158" s="100">
        <v>33126</v>
      </c>
    </row>
    <row r="159" s="90" customFormat="1" ht="12.75">
      <c r="C159" s="91"/>
    </row>
    <row r="160" spans="2:3" s="90" customFormat="1" ht="12.75">
      <c r="B160" s="87" t="s">
        <v>208</v>
      </c>
      <c r="C160" s="75"/>
    </row>
    <row r="161" s="90" customFormat="1" ht="12.75">
      <c r="C161" s="75"/>
    </row>
    <row r="162" spans="2:3" s="90" customFormat="1" ht="38.25">
      <c r="B162" s="38" t="s">
        <v>180</v>
      </c>
      <c r="C162" s="75" t="s">
        <v>285</v>
      </c>
    </row>
    <row r="163" spans="2:3" s="90" customFormat="1" ht="12.75">
      <c r="B163" s="38" t="s">
        <v>182</v>
      </c>
      <c r="C163" s="75" t="s">
        <v>283</v>
      </c>
    </row>
    <row r="164" spans="2:3" s="90" customFormat="1" ht="12.75">
      <c r="B164" s="38" t="s">
        <v>184</v>
      </c>
      <c r="C164" s="75" t="s">
        <v>283</v>
      </c>
    </row>
    <row r="165" spans="1:3" s="92" customFormat="1" ht="12.75">
      <c r="A165" s="92" t="s">
        <v>208</v>
      </c>
      <c r="B165" s="92" t="s">
        <v>185</v>
      </c>
      <c r="C165" s="93" t="s">
        <v>323</v>
      </c>
    </row>
    <row r="166" spans="2:3" s="90" customFormat="1" ht="12.75">
      <c r="B166" s="92" t="s">
        <v>271</v>
      </c>
      <c r="C166" s="75" t="s">
        <v>355</v>
      </c>
    </row>
    <row r="167" spans="2:3" s="90" customFormat="1" ht="12.75">
      <c r="B167" s="92" t="s">
        <v>309</v>
      </c>
      <c r="C167" s="100">
        <v>33126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411"/>
  <sheetViews>
    <sheetView workbookViewId="0" topLeftCell="B1">
      <selection activeCell="B35" sqref="B35"/>
    </sheetView>
  </sheetViews>
  <sheetFormatPr defaultColWidth="9.140625" defaultRowHeight="12.75"/>
  <cols>
    <col min="1" max="1" width="3.00390625" style="13" hidden="1" customWidth="1"/>
    <col min="2" max="2" width="21.140625" style="13" customWidth="1"/>
    <col min="3" max="3" width="7.140625" style="13" customWidth="1"/>
    <col min="4" max="4" width="8.8515625" style="5" customWidth="1"/>
    <col min="5" max="5" width="6.140625" style="5" customWidth="1"/>
    <col min="6" max="6" width="3.7109375" style="5" customWidth="1"/>
    <col min="7" max="7" width="10.7109375" style="13" customWidth="1"/>
    <col min="8" max="8" width="3.421875" style="13" customWidth="1"/>
    <col min="9" max="9" width="10.140625" style="14" customWidth="1"/>
    <col min="10" max="10" width="3.57421875" style="13" customWidth="1"/>
    <col min="11" max="11" width="10.28125" style="13" customWidth="1"/>
    <col min="12" max="12" width="3.421875" style="13" customWidth="1"/>
    <col min="13" max="13" width="9.8515625" style="13" customWidth="1"/>
    <col min="14" max="14" width="2.140625" style="13" customWidth="1"/>
    <col min="15" max="15" width="7.7109375" style="13" customWidth="1"/>
    <col min="16" max="16384" width="8.8515625" style="13" customWidth="1"/>
  </cols>
  <sheetData>
    <row r="1" spans="2:3" ht="12.75">
      <c r="B1" s="12" t="s">
        <v>279</v>
      </c>
      <c r="C1" s="12"/>
    </row>
    <row r="2" spans="2:12" ht="12.75">
      <c r="B2" s="15"/>
      <c r="C2" s="15"/>
      <c r="G2" s="15"/>
      <c r="H2" s="15"/>
      <c r="I2" s="16"/>
      <c r="J2" s="15"/>
      <c r="K2" s="15"/>
      <c r="L2" s="15"/>
    </row>
    <row r="3" spans="2:12" ht="12.75">
      <c r="B3" s="9"/>
      <c r="C3" s="9"/>
      <c r="G3" s="15"/>
      <c r="H3" s="15"/>
      <c r="I3" s="16"/>
      <c r="J3" s="15"/>
      <c r="K3" s="15"/>
      <c r="L3" s="15"/>
    </row>
    <row r="4" spans="1:13" ht="12.75">
      <c r="A4" s="13">
        <v>1</v>
      </c>
      <c r="B4" s="17" t="str">
        <f>cond!C3</f>
        <v>603C10</v>
      </c>
      <c r="C4" s="5" t="str">
        <f>cond!C10</f>
        <v>RCRA / TSCA Biannual Trial burn, normal metal feeds</v>
      </c>
      <c r="G4" s="15" t="s">
        <v>209</v>
      </c>
      <c r="H4" s="15"/>
      <c r="I4" s="16" t="s">
        <v>210</v>
      </c>
      <c r="J4" s="15"/>
      <c r="K4" s="15" t="s">
        <v>211</v>
      </c>
      <c r="L4" s="15"/>
      <c r="M4" s="15" t="s">
        <v>46</v>
      </c>
    </row>
    <row r="5" spans="2:12" ht="12.75">
      <c r="B5" s="5"/>
      <c r="C5" s="5"/>
      <c r="D5" s="9"/>
      <c r="E5" s="9"/>
      <c r="F5" s="9"/>
      <c r="G5" s="9"/>
      <c r="H5" s="9"/>
      <c r="I5" s="18"/>
      <c r="J5" s="9"/>
      <c r="K5" s="9"/>
      <c r="L5" s="9"/>
    </row>
    <row r="6" spans="2:13" ht="12.75">
      <c r="B6" s="5" t="s">
        <v>113</v>
      </c>
      <c r="C6" s="5" t="s">
        <v>324</v>
      </c>
      <c r="D6" s="9" t="s">
        <v>15</v>
      </c>
      <c r="E6" s="9" t="s">
        <v>14</v>
      </c>
      <c r="F6"/>
      <c r="G6">
        <v>12.46</v>
      </c>
      <c r="H6"/>
      <c r="I6">
        <v>4.94</v>
      </c>
      <c r="J6"/>
      <c r="K6">
        <v>9.51</v>
      </c>
      <c r="L6"/>
      <c r="M6" s="52">
        <f>AVERAGE(K6,I6,G6)</f>
        <v>8.97</v>
      </c>
    </row>
    <row r="7" spans="2:12" ht="12.75">
      <c r="B7" s="5"/>
      <c r="C7" s="5"/>
      <c r="D7" s="9"/>
      <c r="E7" s="9"/>
      <c r="F7"/>
      <c r="G7"/>
      <c r="H7"/>
      <c r="I7"/>
      <c r="J7"/>
      <c r="K7"/>
      <c r="L7"/>
    </row>
    <row r="8" spans="2:13" ht="12.75">
      <c r="B8" s="5" t="s">
        <v>12</v>
      </c>
      <c r="C8" s="5" t="s">
        <v>324</v>
      </c>
      <c r="D8" s="5" t="s">
        <v>13</v>
      </c>
      <c r="E8" s="5" t="s">
        <v>14</v>
      </c>
      <c r="F8"/>
      <c r="G8">
        <v>0.002</v>
      </c>
      <c r="H8"/>
      <c r="I8">
        <v>0.0021</v>
      </c>
      <c r="J8"/>
      <c r="K8">
        <v>0.0022</v>
      </c>
      <c r="L8"/>
      <c r="M8" s="50">
        <f>AVERAGE(K8,I8,G8)</f>
        <v>0.0021</v>
      </c>
    </row>
    <row r="9" spans="2:13" ht="12.75">
      <c r="B9" s="5"/>
      <c r="C9" s="5"/>
      <c r="F9"/>
      <c r="G9"/>
      <c r="H9"/>
      <c r="I9"/>
      <c r="J9"/>
      <c r="K9"/>
      <c r="L9"/>
      <c r="M9" s="50"/>
    </row>
    <row r="10" spans="2:13" ht="12.75">
      <c r="B10" s="5" t="s">
        <v>49</v>
      </c>
      <c r="C10" s="5"/>
      <c r="D10" s="5" t="s">
        <v>100</v>
      </c>
      <c r="F10"/>
      <c r="G10" s="50">
        <v>0.00663</v>
      </c>
      <c r="H10"/>
      <c r="I10" s="50">
        <v>0.00111</v>
      </c>
      <c r="J10"/>
      <c r="K10" s="50">
        <v>0.00146</v>
      </c>
      <c r="L10"/>
      <c r="M10" s="2"/>
    </row>
    <row r="11" spans="2:13" ht="12.75">
      <c r="B11" s="5" t="s">
        <v>50</v>
      </c>
      <c r="C11" s="5"/>
      <c r="D11" s="5" t="s">
        <v>100</v>
      </c>
      <c r="F11"/>
      <c r="G11" s="50">
        <v>0.000293</v>
      </c>
      <c r="H11"/>
      <c r="I11" s="50">
        <v>0.000808</v>
      </c>
      <c r="J11"/>
      <c r="K11" s="71">
        <v>1.89E-05</v>
      </c>
      <c r="L11"/>
      <c r="M11" s="2"/>
    </row>
    <row r="12" spans="2:13" ht="12.75">
      <c r="B12" s="5" t="s">
        <v>154</v>
      </c>
      <c r="C12" s="5"/>
      <c r="D12" s="5" t="s">
        <v>100</v>
      </c>
      <c r="F12"/>
      <c r="G12" s="50">
        <v>0.018</v>
      </c>
      <c r="H12"/>
      <c r="I12" s="50">
        <v>0.014</v>
      </c>
      <c r="J12"/>
      <c r="K12" s="50">
        <v>0.015</v>
      </c>
      <c r="L12"/>
      <c r="M12" s="2"/>
    </row>
    <row r="13" spans="2:13" ht="12.75">
      <c r="B13" s="5" t="s">
        <v>155</v>
      </c>
      <c r="C13" s="5"/>
      <c r="D13" s="5" t="s">
        <v>100</v>
      </c>
      <c r="F13"/>
      <c r="G13" s="50">
        <v>0.00125</v>
      </c>
      <c r="H13"/>
      <c r="I13" s="50">
        <v>0.00129</v>
      </c>
      <c r="J13"/>
      <c r="K13" s="50">
        <v>0.00115</v>
      </c>
      <c r="L13"/>
      <c r="M13" s="2"/>
    </row>
    <row r="14" spans="2:13" ht="12.75">
      <c r="B14" s="5"/>
      <c r="C14" s="5"/>
      <c r="F14"/>
      <c r="G14"/>
      <c r="H14"/>
      <c r="I14"/>
      <c r="J14"/>
      <c r="K14"/>
      <c r="L14"/>
      <c r="M14" s="2"/>
    </row>
    <row r="15" spans="2:13" ht="12.75">
      <c r="B15" s="5" t="s">
        <v>49</v>
      </c>
      <c r="C15" s="5" t="s">
        <v>324</v>
      </c>
      <c r="D15" s="5" t="s">
        <v>15</v>
      </c>
      <c r="E15" s="5" t="s">
        <v>14</v>
      </c>
      <c r="G15" s="57">
        <f>G10/0.0283/1.518</f>
        <v>0.15433176441011745</v>
      </c>
      <c r="H15" s="57"/>
      <c r="I15" s="57">
        <f>I10/0.0283/1.518</f>
        <v>0.025838349697621478</v>
      </c>
      <c r="J15" s="57"/>
      <c r="K15" s="57">
        <f>K10/0.0283/1.518</f>
        <v>0.03398557707975437</v>
      </c>
      <c r="L15"/>
      <c r="M15" s="61">
        <f>AVERAGE(K15,I15,G15)</f>
        <v>0.0713852303958311</v>
      </c>
    </row>
    <row r="16" spans="2:13" ht="12.75">
      <c r="B16" s="5" t="s">
        <v>50</v>
      </c>
      <c r="C16" s="5" t="s">
        <v>324</v>
      </c>
      <c r="D16" s="5" t="s">
        <v>15</v>
      </c>
      <c r="E16" s="5" t="s">
        <v>14</v>
      </c>
      <c r="G16" s="61">
        <f>G11/0.0283/2.953</f>
        <v>0.0035060470336807877</v>
      </c>
      <c r="H16" s="57"/>
      <c r="I16" s="57">
        <f>I11/0.0283/2.953</f>
        <v>0.009668552911993434</v>
      </c>
      <c r="J16" s="57"/>
      <c r="K16" s="50">
        <f>K11/0.0283/2.953</f>
        <v>0.00022615798271865826</v>
      </c>
      <c r="L16"/>
      <c r="M16" s="61">
        <f>AVERAGE(K16,I16,G16)</f>
        <v>0.004466919309464293</v>
      </c>
    </row>
    <row r="17" spans="2:13" ht="12.75">
      <c r="B17" s="5" t="s">
        <v>326</v>
      </c>
      <c r="C17" s="5" t="s">
        <v>324</v>
      </c>
      <c r="D17" s="5" t="s">
        <v>15</v>
      </c>
      <c r="E17" s="5" t="s">
        <v>14</v>
      </c>
      <c r="F17"/>
      <c r="G17" s="57">
        <f>G15+2*G16</f>
        <v>0.16134385847747904</v>
      </c>
      <c r="H17" s="57"/>
      <c r="I17" s="57">
        <f>I15+2*I16</f>
        <v>0.04517545552160834</v>
      </c>
      <c r="J17" s="57"/>
      <c r="K17" s="57">
        <f>K15+2*K16</f>
        <v>0.03443789304519169</v>
      </c>
      <c r="L17"/>
      <c r="M17" s="61">
        <f>AVERAGE(K17,I17,G17)</f>
        <v>0.08031906901475969</v>
      </c>
    </row>
    <row r="18" spans="2:13" ht="12.75">
      <c r="B18" s="5"/>
      <c r="C18" s="5"/>
      <c r="F18"/>
      <c r="G18" s="57"/>
      <c r="H18" s="57"/>
      <c r="I18" s="57"/>
      <c r="J18" s="57"/>
      <c r="K18" s="57"/>
      <c r="L18"/>
      <c r="M18" s="57"/>
    </row>
    <row r="19" spans="2:13" ht="12.75">
      <c r="B19" s="5" t="s">
        <v>62</v>
      </c>
      <c r="C19" s="5"/>
      <c r="D19" s="5" t="s">
        <v>15</v>
      </c>
      <c r="E19" s="5" t="s">
        <v>14</v>
      </c>
      <c r="F19"/>
      <c r="G19" s="57">
        <v>0.37</v>
      </c>
      <c r="H19" s="57"/>
      <c r="I19" s="57">
        <v>0.41</v>
      </c>
      <c r="J19" s="57"/>
      <c r="K19" s="57">
        <v>0.36</v>
      </c>
      <c r="L19"/>
      <c r="M19" s="57">
        <f>AVERAGE(K19,I19,G19)</f>
        <v>0.38000000000000006</v>
      </c>
    </row>
    <row r="20" spans="2:13" ht="12.75">
      <c r="B20" s="5" t="s">
        <v>153</v>
      </c>
      <c r="C20" s="5"/>
      <c r="D20" s="5" t="s">
        <v>15</v>
      </c>
      <c r="E20" s="5" t="s">
        <v>14</v>
      </c>
      <c r="F20"/>
      <c r="G20" s="58">
        <f>39.35*(14/(21-6.7))</f>
        <v>38.52447552447552</v>
      </c>
      <c r="H20" s="58"/>
      <c r="I20" s="58">
        <f>40.32*(14/(21-6.9))</f>
        <v>40.03404255319149</v>
      </c>
      <c r="J20" s="58"/>
      <c r="K20" s="58">
        <f>39.2*(14/(21-8.1))</f>
        <v>42.542635658914726</v>
      </c>
      <c r="L20"/>
      <c r="M20" s="57">
        <f>AVERAGE(K20,I20,G20)</f>
        <v>40.36705124552724</v>
      </c>
    </row>
    <row r="21" spans="2:13" ht="12.75">
      <c r="B21" s="5" t="s">
        <v>154</v>
      </c>
      <c r="C21" s="5"/>
      <c r="D21" s="5" t="s">
        <v>15</v>
      </c>
      <c r="E21" s="5" t="s">
        <v>14</v>
      </c>
      <c r="F21"/>
      <c r="G21" s="50">
        <f>G12*0.0283*24.022/64.061</f>
        <v>0.00019101804217854852</v>
      </c>
      <c r="H21" s="50"/>
      <c r="I21" s="50">
        <f>I12*0.0283*24.022/64.061</f>
        <v>0.0001485695883610933</v>
      </c>
      <c r="J21" s="50"/>
      <c r="K21" s="50">
        <f>K12*0.0283*24.022/64.061</f>
        <v>0.0001591817018154571</v>
      </c>
      <c r="L21"/>
      <c r="M21" s="50">
        <f>AVERAGE(K21,I21,G21)</f>
        <v>0.00016625644411836634</v>
      </c>
    </row>
    <row r="22" spans="2:13" ht="12.75">
      <c r="B22" s="5" t="s">
        <v>155</v>
      </c>
      <c r="C22" s="5"/>
      <c r="D22" s="5" t="s">
        <v>15</v>
      </c>
      <c r="E22" s="5" t="s">
        <v>14</v>
      </c>
      <c r="F22"/>
      <c r="G22" s="50">
        <f>G13*0.0283*24.022/10</f>
        <v>8.497782499999999E-05</v>
      </c>
      <c r="H22" s="50"/>
      <c r="I22" s="50">
        <f>I13*0.0283*24.022/10</f>
        <v>8.769711539999999E-05</v>
      </c>
      <c r="J22" s="50"/>
      <c r="K22" s="50">
        <f>K13*0.0283*24.022/10</f>
        <v>7.8179599E-05</v>
      </c>
      <c r="L22"/>
      <c r="M22" s="50">
        <f>AVERAGE(K22,I22,G22)</f>
        <v>8.36181798E-05</v>
      </c>
    </row>
    <row r="23" spans="2:13" ht="12.75">
      <c r="B23" s="5"/>
      <c r="C23" s="5"/>
      <c r="F23"/>
      <c r="G23"/>
      <c r="H23"/>
      <c r="I23"/>
      <c r="J23"/>
      <c r="K23"/>
      <c r="L23"/>
      <c r="M23" s="2"/>
    </row>
    <row r="24" spans="2:13" ht="12.75">
      <c r="B24" s="5" t="s">
        <v>122</v>
      </c>
      <c r="C24" s="5" t="s">
        <v>148</v>
      </c>
      <c r="G24" s="19"/>
      <c r="H24" s="19"/>
      <c r="I24" s="20"/>
      <c r="J24" s="19"/>
      <c r="K24" s="19"/>
      <c r="M24" s="2"/>
    </row>
    <row r="25" spans="2:13" ht="12.75">
      <c r="B25" s="5" t="s">
        <v>123</v>
      </c>
      <c r="C25" s="5"/>
      <c r="D25" s="5" t="s">
        <v>52</v>
      </c>
      <c r="G25" s="19">
        <v>513</v>
      </c>
      <c r="H25" s="19"/>
      <c r="I25" s="20">
        <v>508</v>
      </c>
      <c r="J25" s="19"/>
      <c r="K25" s="13">
        <v>515</v>
      </c>
      <c r="M25" s="2">
        <f>AVERAGE(K25,I25,G25)</f>
        <v>512</v>
      </c>
    </row>
    <row r="26" spans="2:13" ht="12.75">
      <c r="B26" s="5" t="s">
        <v>124</v>
      </c>
      <c r="C26" s="5" t="s">
        <v>324</v>
      </c>
      <c r="D26" s="5" t="s">
        <v>52</v>
      </c>
      <c r="G26" s="54">
        <v>0.00016</v>
      </c>
      <c r="H26" s="5"/>
      <c r="I26" s="54">
        <v>0.00019</v>
      </c>
      <c r="J26" s="5"/>
      <c r="K26" s="54">
        <v>0.00087</v>
      </c>
      <c r="L26" s="5"/>
      <c r="M26" s="57">
        <f>AVERAGE(K26,I26,G26)</f>
        <v>0.00040666666666666667</v>
      </c>
    </row>
    <row r="27" spans="2:13" ht="12.75">
      <c r="B27" s="5" t="s">
        <v>51</v>
      </c>
      <c r="C27" s="5" t="s">
        <v>324</v>
      </c>
      <c r="D27" s="5" t="s">
        <v>17</v>
      </c>
      <c r="G27" s="69">
        <f>(G25-G26)/G25*100</f>
        <v>99.99996881091617</v>
      </c>
      <c r="H27" s="69"/>
      <c r="I27" s="69">
        <f>(I25-I26)/I25*100</f>
        <v>99.99996259842521</v>
      </c>
      <c r="J27" s="69"/>
      <c r="K27" s="69">
        <f>(K25-K26)/K25*100</f>
        <v>99.99983106796118</v>
      </c>
      <c r="L27" s="5"/>
      <c r="M27" s="66">
        <f>AVERAGE(K27,I27,G27)</f>
        <v>99.99992082576752</v>
      </c>
    </row>
    <row r="28" spans="2:13" ht="12.75">
      <c r="B28" s="5"/>
      <c r="C28" s="5"/>
      <c r="F28"/>
      <c r="G28"/>
      <c r="H28"/>
      <c r="I28"/>
      <c r="J28"/>
      <c r="K28"/>
      <c r="L28"/>
      <c r="M28" s="2"/>
    </row>
    <row r="29" spans="2:13" ht="12.75">
      <c r="B29" s="5" t="s">
        <v>122</v>
      </c>
      <c r="C29" s="5" t="s">
        <v>151</v>
      </c>
      <c r="G29" s="19"/>
      <c r="H29" s="19"/>
      <c r="I29" s="20"/>
      <c r="J29" s="19"/>
      <c r="K29" s="19"/>
      <c r="M29" s="2"/>
    </row>
    <row r="30" spans="2:13" ht="12.75">
      <c r="B30" s="5" t="s">
        <v>123</v>
      </c>
      <c r="C30" s="5"/>
      <c r="D30" s="5" t="s">
        <v>52</v>
      </c>
      <c r="G30" s="19">
        <v>508</v>
      </c>
      <c r="H30" s="19"/>
      <c r="I30" s="20">
        <v>505</v>
      </c>
      <c r="J30" s="19"/>
      <c r="K30" s="13">
        <v>513</v>
      </c>
      <c r="M30" s="2">
        <f>AVERAGE(K30,I30,G30)</f>
        <v>508.6666666666667</v>
      </c>
    </row>
    <row r="31" spans="2:13" ht="12.75">
      <c r="B31" s="5" t="s">
        <v>124</v>
      </c>
      <c r="C31" s="5" t="s">
        <v>324</v>
      </c>
      <c r="D31" s="5" t="s">
        <v>52</v>
      </c>
      <c r="G31" s="54">
        <v>0.00034</v>
      </c>
      <c r="H31" s="5"/>
      <c r="I31" s="54">
        <v>0.00036</v>
      </c>
      <c r="J31" s="5"/>
      <c r="K31" s="54">
        <v>0.00055</v>
      </c>
      <c r="L31" s="5"/>
      <c r="M31" s="57">
        <f>AVERAGE(K31,I31,G31)</f>
        <v>0.0004166666666666667</v>
      </c>
    </row>
    <row r="32" spans="2:13" ht="12.75">
      <c r="B32" s="5" t="s">
        <v>51</v>
      </c>
      <c r="C32" s="5" t="s">
        <v>324</v>
      </c>
      <c r="D32" s="5" t="s">
        <v>17</v>
      </c>
      <c r="G32" s="69">
        <f>(G30-G31)/G30*100</f>
        <v>99.99993307086615</v>
      </c>
      <c r="H32" s="69"/>
      <c r="I32" s="69">
        <f>(I30-I31)/I30*100</f>
        <v>99.9999287128713</v>
      </c>
      <c r="J32" s="69"/>
      <c r="K32" s="69">
        <f>(K30-K31)/K30*100</f>
        <v>99.99989278752437</v>
      </c>
      <c r="L32" s="70"/>
      <c r="M32" s="66">
        <f>AVERAGE(K32,I32,G32)</f>
        <v>99.99991819042062</v>
      </c>
    </row>
    <row r="33" spans="2:13" ht="12.75">
      <c r="B33" s="5"/>
      <c r="C33" s="5"/>
      <c r="F33"/>
      <c r="G33"/>
      <c r="H33"/>
      <c r="I33"/>
      <c r="J33"/>
      <c r="K33"/>
      <c r="L33"/>
      <c r="M33" s="2"/>
    </row>
    <row r="34" spans="2:13" ht="12.75">
      <c r="B34" s="5" t="s">
        <v>122</v>
      </c>
      <c r="C34" s="5" t="s">
        <v>152</v>
      </c>
      <c r="G34" s="19"/>
      <c r="H34" s="19"/>
      <c r="I34" s="20"/>
      <c r="J34" s="19"/>
      <c r="K34" s="19"/>
      <c r="M34" s="2"/>
    </row>
    <row r="35" spans="2:13" ht="12.75">
      <c r="B35" s="5" t="s">
        <v>123</v>
      </c>
      <c r="C35" s="5"/>
      <c r="D35" s="5" t="s">
        <v>52</v>
      </c>
      <c r="G35" s="19">
        <v>2400</v>
      </c>
      <c r="H35" s="19"/>
      <c r="I35" s="20">
        <v>2370</v>
      </c>
      <c r="J35" s="19"/>
      <c r="K35" s="13">
        <v>2560</v>
      </c>
      <c r="M35" s="2">
        <f>AVERAGE(K35,I35,G35)</f>
        <v>2443.3333333333335</v>
      </c>
    </row>
    <row r="36" spans="2:13" ht="12.75">
      <c r="B36" s="5" t="s">
        <v>124</v>
      </c>
      <c r="C36" s="5" t="s">
        <v>324</v>
      </c>
      <c r="D36" s="5" t="s">
        <v>52</v>
      </c>
      <c r="G36" s="54">
        <v>0.000124</v>
      </c>
      <c r="H36" s="5"/>
      <c r="I36" s="54">
        <v>0.000125</v>
      </c>
      <c r="J36" s="5"/>
      <c r="K36" s="54">
        <v>0.000114</v>
      </c>
      <c r="L36" s="5"/>
      <c r="M36" s="66">
        <f>AVERAGE(K36,I36,G36)</f>
        <v>0.00012100000000000001</v>
      </c>
    </row>
    <row r="37" spans="2:13" ht="12.75">
      <c r="B37" s="5" t="s">
        <v>51</v>
      </c>
      <c r="C37" s="5" t="s">
        <v>324</v>
      </c>
      <c r="D37" s="5" t="s">
        <v>17</v>
      </c>
      <c r="G37" s="69">
        <f>(G35-G36)/G35*100</f>
        <v>99.99999483333333</v>
      </c>
      <c r="H37" s="69"/>
      <c r="I37" s="69">
        <f>(I35-I36)/I35*100</f>
        <v>99.99999472573839</v>
      </c>
      <c r="J37" s="69"/>
      <c r="K37" s="65">
        <f>(K35-K36)/K35*100</f>
        <v>99.999995546875</v>
      </c>
      <c r="L37" s="70"/>
      <c r="M37" s="66">
        <f>AVERAGE(K37,I37,G37)</f>
        <v>99.99999503531558</v>
      </c>
    </row>
    <row r="38" spans="2:13" ht="12.75">
      <c r="B38" s="5"/>
      <c r="C38" s="5"/>
      <c r="F38"/>
      <c r="G38"/>
      <c r="H38"/>
      <c r="I38"/>
      <c r="J38"/>
      <c r="K38"/>
      <c r="L38"/>
      <c r="M38" s="2"/>
    </row>
    <row r="39" spans="2:13" ht="12.75">
      <c r="B39" s="5" t="s">
        <v>103</v>
      </c>
      <c r="C39" s="5"/>
      <c r="D39" s="5" t="s">
        <v>112</v>
      </c>
      <c r="E39" s="5" t="s">
        <v>99</v>
      </c>
      <c r="F39" s="5" t="s">
        <v>97</v>
      </c>
      <c r="G39" s="50">
        <v>0.0105</v>
      </c>
      <c r="H39" s="110" t="s">
        <v>97</v>
      </c>
      <c r="I39" s="50">
        <v>0.0102</v>
      </c>
      <c r="J39" s="110"/>
      <c r="K39" s="50">
        <v>0.00887</v>
      </c>
      <c r="L39"/>
      <c r="M39" s="2"/>
    </row>
    <row r="40" spans="2:13" ht="12.75">
      <c r="B40" s="5" t="s">
        <v>79</v>
      </c>
      <c r="C40" s="5"/>
      <c r="D40" s="5" t="s">
        <v>112</v>
      </c>
      <c r="E40" s="5" t="s">
        <v>99</v>
      </c>
      <c r="F40" s="5" t="s">
        <v>97</v>
      </c>
      <c r="G40" s="50">
        <v>0.0009</v>
      </c>
      <c r="H40" s="110"/>
      <c r="I40" s="50">
        <v>0.000452</v>
      </c>
      <c r="J40" s="110"/>
      <c r="K40" s="50">
        <v>0.000144</v>
      </c>
      <c r="L40"/>
      <c r="M40" s="2"/>
    </row>
    <row r="41" spans="2:13" ht="12.75">
      <c r="B41" s="5" t="s">
        <v>104</v>
      </c>
      <c r="C41" s="5"/>
      <c r="D41" s="5" t="s">
        <v>112</v>
      </c>
      <c r="E41" s="5" t="s">
        <v>99</v>
      </c>
      <c r="G41" s="50">
        <v>0.0123</v>
      </c>
      <c r="H41" s="110"/>
      <c r="I41" s="50">
        <v>0.00947</v>
      </c>
      <c r="J41" s="110"/>
      <c r="K41" s="50">
        <v>0.0126</v>
      </c>
      <c r="L41"/>
      <c r="M41" s="2"/>
    </row>
    <row r="42" spans="2:13" ht="12.75">
      <c r="B42" s="5" t="s">
        <v>83</v>
      </c>
      <c r="C42" s="5"/>
      <c r="D42" s="5" t="s">
        <v>112</v>
      </c>
      <c r="E42" s="5" t="s">
        <v>99</v>
      </c>
      <c r="F42"/>
      <c r="G42">
        <v>0.0143</v>
      </c>
      <c r="H42"/>
      <c r="I42">
        <v>0.0176</v>
      </c>
      <c r="J42"/>
      <c r="K42">
        <v>0.0266</v>
      </c>
      <c r="L42"/>
      <c r="M42" s="2"/>
    </row>
    <row r="43" spans="2:5" ht="12.75">
      <c r="B43" s="5" t="s">
        <v>357</v>
      </c>
      <c r="C43" s="5"/>
      <c r="D43" s="5" t="s">
        <v>112</v>
      </c>
      <c r="E43" s="5" t="s">
        <v>99</v>
      </c>
    </row>
    <row r="44" spans="2:13" ht="12.75">
      <c r="B44" s="5" t="s">
        <v>78</v>
      </c>
      <c r="C44" s="5"/>
      <c r="D44" s="5" t="s">
        <v>112</v>
      </c>
      <c r="E44" s="5" t="s">
        <v>99</v>
      </c>
      <c r="F44"/>
      <c r="G44" s="13">
        <v>0.518</v>
      </c>
      <c r="H44"/>
      <c r="I44" s="14">
        <v>0.583</v>
      </c>
      <c r="J44"/>
      <c r="K44" s="13">
        <v>0.537</v>
      </c>
      <c r="L44"/>
      <c r="M44" s="2"/>
    </row>
    <row r="45" spans="2:13" ht="12" customHeight="1">
      <c r="B45" s="5" t="s">
        <v>80</v>
      </c>
      <c r="C45" s="5"/>
      <c r="D45" s="5" t="s">
        <v>112</v>
      </c>
      <c r="E45" s="5" t="s">
        <v>99</v>
      </c>
      <c r="G45" s="13">
        <v>0.171</v>
      </c>
      <c r="H45" s="5"/>
      <c r="I45" s="14">
        <v>0.157</v>
      </c>
      <c r="J45" s="5"/>
      <c r="K45" s="13">
        <v>0.349</v>
      </c>
      <c r="L45"/>
      <c r="M45" s="2"/>
    </row>
    <row r="46" spans="2:13" ht="12" customHeight="1">
      <c r="B46" s="5" t="s">
        <v>105</v>
      </c>
      <c r="C46" s="5"/>
      <c r="D46" s="5" t="s">
        <v>112</v>
      </c>
      <c r="E46" s="5" t="s">
        <v>99</v>
      </c>
      <c r="G46" s="68">
        <v>0.00872</v>
      </c>
      <c r="H46" s="5"/>
      <c r="I46" s="14">
        <v>0.0101</v>
      </c>
      <c r="J46" s="5"/>
      <c r="K46" s="13">
        <v>0.0321</v>
      </c>
      <c r="L46"/>
      <c r="M46" s="2"/>
    </row>
    <row r="47" spans="2:13" ht="12" customHeight="1">
      <c r="B47" s="5" t="s">
        <v>110</v>
      </c>
      <c r="C47" s="5"/>
      <c r="D47" s="5" t="s">
        <v>112</v>
      </c>
      <c r="E47" s="5" t="s">
        <v>99</v>
      </c>
      <c r="F47"/>
      <c r="G47" s="68">
        <v>0.00084</v>
      </c>
      <c r="H47"/>
      <c r="I47" s="14">
        <v>0.0151</v>
      </c>
      <c r="J47"/>
      <c r="K47" s="13">
        <v>0.0124</v>
      </c>
      <c r="L47"/>
      <c r="M47" s="2"/>
    </row>
    <row r="48" spans="2:13" ht="12.75">
      <c r="B48" s="5"/>
      <c r="C48" s="5"/>
      <c r="G48"/>
      <c r="H48" s="5"/>
      <c r="I48"/>
      <c r="J48" s="5"/>
      <c r="K48"/>
      <c r="L48"/>
      <c r="M48" s="2"/>
    </row>
    <row r="49" spans="2:13" ht="12.75">
      <c r="B49" s="5" t="s">
        <v>84</v>
      </c>
      <c r="C49" s="5" t="s">
        <v>12</v>
      </c>
      <c r="D49" s="5" t="s">
        <v>324</v>
      </c>
      <c r="F49"/>
      <c r="G49"/>
      <c r="H49"/>
      <c r="I49"/>
      <c r="J49"/>
      <c r="K49"/>
      <c r="L49"/>
      <c r="M49"/>
    </row>
    <row r="50" spans="2:13" ht="12.75">
      <c r="B50" s="5" t="s">
        <v>77</v>
      </c>
      <c r="C50" s="5"/>
      <c r="D50" s="5" t="s">
        <v>16</v>
      </c>
      <c r="F50"/>
      <c r="G50">
        <v>39300</v>
      </c>
      <c r="H50"/>
      <c r="I50">
        <v>39850</v>
      </c>
      <c r="J50"/>
      <c r="K50">
        <v>39850</v>
      </c>
      <c r="L50"/>
      <c r="M50" s="2">
        <f>AVERAGE(K50,I50,G50)</f>
        <v>39666.666666666664</v>
      </c>
    </row>
    <row r="51" spans="2:13" ht="12.75">
      <c r="B51" s="5" t="s">
        <v>81</v>
      </c>
      <c r="C51" s="5"/>
      <c r="D51" s="5" t="s">
        <v>17</v>
      </c>
      <c r="F51"/>
      <c r="G51">
        <v>6.7</v>
      </c>
      <c r="H51"/>
      <c r="I51">
        <v>6.9</v>
      </c>
      <c r="J51"/>
      <c r="K51">
        <v>8.1</v>
      </c>
      <c r="L51"/>
      <c r="M51" s="2">
        <f>AVERAGE(K51,I51,G51)</f>
        <v>7.233333333333333</v>
      </c>
    </row>
    <row r="52" spans="2:13" ht="12.75">
      <c r="B52" s="5" t="s">
        <v>82</v>
      </c>
      <c r="C52" s="5"/>
      <c r="D52" s="5" t="s">
        <v>17</v>
      </c>
      <c r="F52"/>
      <c r="G52">
        <v>6.5</v>
      </c>
      <c r="H52"/>
      <c r="I52">
        <v>6.6</v>
      </c>
      <c r="J52"/>
      <c r="K52">
        <v>6.6</v>
      </c>
      <c r="L52"/>
      <c r="M52" s="2">
        <f>AVERAGE(K52,I52,G52)</f>
        <v>6.566666666666666</v>
      </c>
    </row>
    <row r="53" spans="2:13" ht="12.75">
      <c r="B53" s="5" t="s">
        <v>76</v>
      </c>
      <c r="C53" s="5"/>
      <c r="D53" s="5" t="s">
        <v>18</v>
      </c>
      <c r="F53"/>
      <c r="G53">
        <v>104</v>
      </c>
      <c r="H53"/>
      <c r="I53">
        <v>104</v>
      </c>
      <c r="J53"/>
      <c r="K53">
        <v>104</v>
      </c>
      <c r="L53"/>
      <c r="M53" s="2">
        <f>AVERAGE(K53,I53,G53)</f>
        <v>104</v>
      </c>
    </row>
    <row r="54" spans="2:13" ht="12.75">
      <c r="B54" s="5"/>
      <c r="C54" s="5"/>
      <c r="F54"/>
      <c r="G54"/>
      <c r="H54"/>
      <c r="I54"/>
      <c r="J54"/>
      <c r="K54"/>
      <c r="L54"/>
      <c r="M54"/>
    </row>
    <row r="55" spans="2:13" ht="12.75">
      <c r="B55" s="5" t="s">
        <v>84</v>
      </c>
      <c r="C55" s="5" t="s">
        <v>96</v>
      </c>
      <c r="D55" s="5" t="s">
        <v>325</v>
      </c>
      <c r="F55"/>
      <c r="G55"/>
      <c r="H55"/>
      <c r="I55"/>
      <c r="J55"/>
      <c r="K55"/>
      <c r="L55"/>
      <c r="M55"/>
    </row>
    <row r="56" spans="2:13" ht="12.75">
      <c r="B56" s="5" t="s">
        <v>77</v>
      </c>
      <c r="C56" s="5"/>
      <c r="D56" s="5" t="s">
        <v>16</v>
      </c>
      <c r="F56"/>
      <c r="G56">
        <v>39850</v>
      </c>
      <c r="H56"/>
      <c r="I56">
        <v>39800</v>
      </c>
      <c r="J56"/>
      <c r="K56">
        <v>39900</v>
      </c>
      <c r="L56"/>
      <c r="M56" s="2">
        <f>AVERAGE(K56,I56,G56)</f>
        <v>39850</v>
      </c>
    </row>
    <row r="57" spans="2:13" ht="12.75">
      <c r="B57" s="5" t="s">
        <v>81</v>
      </c>
      <c r="C57" s="5"/>
      <c r="D57" s="5" t="s">
        <v>17</v>
      </c>
      <c r="F57"/>
      <c r="G57">
        <v>6.7</v>
      </c>
      <c r="H57"/>
      <c r="I57">
        <v>6.9</v>
      </c>
      <c r="J57"/>
      <c r="K57">
        <v>8.1</v>
      </c>
      <c r="L57"/>
      <c r="M57" s="2">
        <f>AVERAGE(K57,I57,G57)</f>
        <v>7.233333333333333</v>
      </c>
    </row>
    <row r="58" spans="2:13" ht="12.75">
      <c r="B58" s="5" t="s">
        <v>82</v>
      </c>
      <c r="C58" s="5"/>
      <c r="D58" s="5" t="s">
        <v>17</v>
      </c>
      <c r="F58"/>
      <c r="G58">
        <v>6.7</v>
      </c>
      <c r="H58"/>
      <c r="I58">
        <v>6.9</v>
      </c>
      <c r="J58"/>
      <c r="K58">
        <v>6.7</v>
      </c>
      <c r="L58"/>
      <c r="M58" s="2">
        <f>AVERAGE(K58,I58,G58)</f>
        <v>6.766666666666667</v>
      </c>
    </row>
    <row r="59" spans="2:13" ht="12.75">
      <c r="B59" s="5" t="s">
        <v>76</v>
      </c>
      <c r="C59" s="5"/>
      <c r="D59" s="5" t="s">
        <v>18</v>
      </c>
      <c r="F59"/>
      <c r="G59">
        <v>103</v>
      </c>
      <c r="H59"/>
      <c r="I59">
        <v>104</v>
      </c>
      <c r="J59"/>
      <c r="K59">
        <v>103</v>
      </c>
      <c r="L59"/>
      <c r="M59" s="2">
        <f>AVERAGE(K59,I59,G59)</f>
        <v>103.33333333333333</v>
      </c>
    </row>
    <row r="60" spans="2:13" ht="12.75">
      <c r="B60" s="5"/>
      <c r="C60" s="5"/>
      <c r="F60"/>
      <c r="G60"/>
      <c r="H60"/>
      <c r="I60"/>
      <c r="J60"/>
      <c r="K60"/>
      <c r="L60"/>
      <c r="M60" s="2"/>
    </row>
    <row r="61" spans="2:13" ht="12.75">
      <c r="B61" s="5" t="s">
        <v>103</v>
      </c>
      <c r="C61" s="5" t="s">
        <v>325</v>
      </c>
      <c r="D61" s="5" t="s">
        <v>54</v>
      </c>
      <c r="E61" s="5" t="s">
        <v>14</v>
      </c>
      <c r="F61" s="5" t="s">
        <v>97</v>
      </c>
      <c r="G61" s="2">
        <f>G39/0.0283*(21-7)/(21-G$57)</f>
        <v>0.36324099928340214</v>
      </c>
      <c r="H61" s="5" t="s">
        <v>97</v>
      </c>
      <c r="I61" s="2">
        <f>I39/0.0283*(21-7)/(21-I$57)</f>
        <v>0.35786782948650486</v>
      </c>
      <c r="J61" s="5"/>
      <c r="K61" s="2">
        <f>K39/0.0283*(21-7)/(21-K$57)</f>
        <v>0.34015394307940944</v>
      </c>
      <c r="L61"/>
      <c r="M61" s="2">
        <f aca="true" t="shared" si="0" ref="M61:M72">AVERAGE(K61,I61,G61)</f>
        <v>0.35375425728310556</v>
      </c>
    </row>
    <row r="62" spans="2:13" ht="12.75">
      <c r="B62" s="5" t="s">
        <v>79</v>
      </c>
      <c r="C62" s="5" t="s">
        <v>325</v>
      </c>
      <c r="D62" s="5" t="s">
        <v>54</v>
      </c>
      <c r="E62" s="5" t="s">
        <v>14</v>
      </c>
      <c r="F62" s="5" t="s">
        <v>97</v>
      </c>
      <c r="G62" s="2">
        <f>G40/0.0283*(21-7)/(21-G$57)</f>
        <v>0.031134942795720183</v>
      </c>
      <c r="H62" s="2"/>
      <c r="I62" s="2">
        <f>I40/0.0283*(21-7)/(21-I$57)</f>
        <v>0.015858456757637272</v>
      </c>
      <c r="J62" s="2"/>
      <c r="K62" s="2">
        <f>K40/0.0283*(21-7)/(21-K$57)</f>
        <v>0.005522228613690525</v>
      </c>
      <c r="L62"/>
      <c r="M62" s="2">
        <f t="shared" si="0"/>
        <v>0.017505209389015994</v>
      </c>
    </row>
    <row r="63" spans="2:13" ht="12.75">
      <c r="B63" s="5" t="s">
        <v>104</v>
      </c>
      <c r="C63" s="5" t="s">
        <v>325</v>
      </c>
      <c r="D63" s="5" t="s">
        <v>54</v>
      </c>
      <c r="E63" s="5" t="s">
        <v>14</v>
      </c>
      <c r="G63" s="2">
        <f>G41/0.0283*(21-7)/(21-G$57)</f>
        <v>0.4255108848748425</v>
      </c>
      <c r="H63" s="5"/>
      <c r="I63" s="2">
        <f>I41/0.0283*(21-7)/(21-I$57)</f>
        <v>0.3322557201212942</v>
      </c>
      <c r="J63" s="5"/>
      <c r="K63" s="2">
        <f>K41/0.0283*(21-7)/(21-K$57)</f>
        <v>0.4831950036979209</v>
      </c>
      <c r="L63"/>
      <c r="M63" s="2">
        <f t="shared" si="0"/>
        <v>0.41365386956468586</v>
      </c>
    </row>
    <row r="64" spans="2:13" ht="12.75">
      <c r="B64" s="5" t="s">
        <v>83</v>
      </c>
      <c r="C64" s="5" t="s">
        <v>325</v>
      </c>
      <c r="D64" s="5" t="s">
        <v>54</v>
      </c>
      <c r="E64" s="5" t="s">
        <v>14</v>
      </c>
      <c r="F64"/>
      <c r="G64" s="2">
        <f>G42/0.0283*(21-7)/(21-G$57)</f>
        <v>0.49469964664310956</v>
      </c>
      <c r="H64"/>
      <c r="I64" s="2">
        <f>I42/0.0283*(21-7)/(21-I$57)</f>
        <v>0.6174974312708319</v>
      </c>
      <c r="J64"/>
      <c r="K64" s="2">
        <f>K42/0.0283*(21-7)/(21-K$57)</f>
        <v>1.0200783411400554</v>
      </c>
      <c r="L64"/>
      <c r="M64" s="2">
        <f t="shared" si="0"/>
        <v>0.7107584730179989</v>
      </c>
    </row>
    <row r="65" spans="2:13" ht="12.75">
      <c r="B65" s="5" t="s">
        <v>357</v>
      </c>
      <c r="C65" s="5"/>
      <c r="G65" s="2"/>
      <c r="H65" s="5"/>
      <c r="I65" s="2"/>
      <c r="J65" s="5"/>
      <c r="K65" s="2"/>
      <c r="L65"/>
      <c r="M65" s="2"/>
    </row>
    <row r="66" spans="2:13" ht="12.75">
      <c r="B66" s="5" t="s">
        <v>78</v>
      </c>
      <c r="C66" s="5" t="s">
        <v>325</v>
      </c>
      <c r="D66" s="5" t="s">
        <v>54</v>
      </c>
      <c r="E66" s="5" t="s">
        <v>14</v>
      </c>
      <c r="F66"/>
      <c r="G66" s="2">
        <f>G44/0.0283*(21-7)/(21-G$57)</f>
        <v>17.919889297981175</v>
      </c>
      <c r="H66"/>
      <c r="I66" s="2">
        <f>I44/0.0283*(21-7)/(21-I$57)</f>
        <v>20.454602410846306</v>
      </c>
      <c r="J66"/>
      <c r="K66" s="2">
        <f>K44/0.0283*(21-7)/(21-K$57)</f>
        <v>20.593310871887585</v>
      </c>
      <c r="L66"/>
      <c r="M66" s="2">
        <f t="shared" si="0"/>
        <v>19.655934193571685</v>
      </c>
    </row>
    <row r="67" spans="2:13" ht="12.75">
      <c r="B67" s="5" t="s">
        <v>80</v>
      </c>
      <c r="C67" s="5" t="s">
        <v>325</v>
      </c>
      <c r="D67" s="5" t="s">
        <v>54</v>
      </c>
      <c r="E67" s="5" t="s">
        <v>14</v>
      </c>
      <c r="G67" s="57">
        <f>G45/0.0283*(21-7)/(21-G$57)</f>
        <v>5.915639131186834</v>
      </c>
      <c r="H67" s="5"/>
      <c r="I67" s="2">
        <f>I45/0.0283*(21-7)/(21-I$57)</f>
        <v>5.508357767586398</v>
      </c>
      <c r="J67" s="5"/>
      <c r="K67" s="2">
        <f>K45/0.0283*(21-7)/(21-K$57)</f>
        <v>13.383734626236064</v>
      </c>
      <c r="L67"/>
      <c r="M67" s="2">
        <f t="shared" si="0"/>
        <v>8.269243841669764</v>
      </c>
    </row>
    <row r="68" spans="2:13" ht="12.75">
      <c r="B68" s="5" t="s">
        <v>105</v>
      </c>
      <c r="C68" s="5" t="s">
        <v>325</v>
      </c>
      <c r="D68" s="5" t="s">
        <v>54</v>
      </c>
      <c r="E68" s="5" t="s">
        <v>14</v>
      </c>
      <c r="G68" s="2">
        <f>G46/0.0283*(21-7)/(21-G$57)</f>
        <v>0.3016630013096444</v>
      </c>
      <c r="H68" s="5"/>
      <c r="I68" s="2">
        <f>I46/0.0283*(21-7)/(21-I$57)</f>
        <v>0.35435932135428416</v>
      </c>
      <c r="J68" s="5"/>
      <c r="K68" s="2">
        <f>K46/0.0283*(21-7)/(21-K$57)</f>
        <v>1.2309967951351792</v>
      </c>
      <c r="L68"/>
      <c r="M68" s="2">
        <f t="shared" si="0"/>
        <v>0.6290063725997026</v>
      </c>
    </row>
    <row r="69" spans="2:13" ht="12.75">
      <c r="B69" s="5" t="s">
        <v>110</v>
      </c>
      <c r="C69" s="5" t="s">
        <v>325</v>
      </c>
      <c r="D69" s="5" t="s">
        <v>54</v>
      </c>
      <c r="E69" s="5" t="s">
        <v>14</v>
      </c>
      <c r="F69"/>
      <c r="G69" s="2">
        <f>G47/0.0283*(21-7)/(21-G$57)</f>
        <v>0.02905927994267217</v>
      </c>
      <c r="H69"/>
      <c r="I69" s="2">
        <f>I47/0.0283*(21-7)/(21-I$57)</f>
        <v>0.5297847279653158</v>
      </c>
      <c r="J69"/>
      <c r="K69" s="2">
        <f>K47/0.0283*(21-7)/(21-K$57)</f>
        <v>0.47552524173446187</v>
      </c>
      <c r="L69"/>
      <c r="M69" s="2">
        <f t="shared" si="0"/>
        <v>0.3447897498808166</v>
      </c>
    </row>
    <row r="70" spans="2:13" ht="12.75">
      <c r="B70" s="5"/>
      <c r="C70" s="5"/>
      <c r="G70" s="2"/>
      <c r="H70" s="5"/>
      <c r="I70" s="2"/>
      <c r="J70" s="5"/>
      <c r="K70" s="2"/>
      <c r="L70"/>
      <c r="M70" s="2"/>
    </row>
    <row r="71" spans="2:13" ht="12.75">
      <c r="B71" t="s">
        <v>55</v>
      </c>
      <c r="C71" s="5" t="s">
        <v>325</v>
      </c>
      <c r="D71" s="5" t="s">
        <v>54</v>
      </c>
      <c r="E71" s="5" t="s">
        <v>14</v>
      </c>
      <c r="F71">
        <f>G61/G71*100</f>
        <v>1.9800113143503675</v>
      </c>
      <c r="G71" s="2">
        <f>G63+G66</f>
        <v>18.345400182856018</v>
      </c>
      <c r="H71">
        <f>I61/I71*100</f>
        <v>1.7216061572737857</v>
      </c>
      <c r="I71" s="2">
        <f>I63+I66</f>
        <v>20.7868581309676</v>
      </c>
      <c r="J71">
        <f>K61/K71*100</f>
        <v>1.6139010189228526</v>
      </c>
      <c r="K71" s="2">
        <f>K63+K66</f>
        <v>21.076505875585507</v>
      </c>
      <c r="L71" s="2"/>
      <c r="M71" s="2">
        <f t="shared" si="0"/>
        <v>20.069588063136376</v>
      </c>
    </row>
    <row r="72" spans="2:13" ht="12.75">
      <c r="B72" t="s">
        <v>56</v>
      </c>
      <c r="C72" s="5" t="s">
        <v>325</v>
      </c>
      <c r="D72" s="5" t="s">
        <v>54</v>
      </c>
      <c r="E72" s="5" t="s">
        <v>14</v>
      </c>
      <c r="F72"/>
      <c r="G72" s="2">
        <f>G64+G61+G62</f>
        <v>0.8890755887222319</v>
      </c>
      <c r="H72" s="2"/>
      <c r="I72" s="2">
        <f>I64+I61+I62</f>
        <v>0.9912237175149741</v>
      </c>
      <c r="J72" s="2"/>
      <c r="K72" s="2">
        <f>K64+K61+K62</f>
        <v>1.3657545128331552</v>
      </c>
      <c r="L72" s="2"/>
      <c r="M72" s="2">
        <f t="shared" si="0"/>
        <v>1.0820179396901204</v>
      </c>
    </row>
    <row r="73" spans="2:13" ht="12.75">
      <c r="B73" s="5"/>
      <c r="C73" s="5"/>
      <c r="F73"/>
      <c r="G73" s="2"/>
      <c r="H73"/>
      <c r="I73" s="2"/>
      <c r="J73"/>
      <c r="K73" s="2"/>
      <c r="L73"/>
      <c r="M73" s="2"/>
    </row>
    <row r="74" spans="2:13" ht="12.75">
      <c r="B74" s="5"/>
      <c r="C74" s="5"/>
      <c r="G74" s="2"/>
      <c r="H74" s="5"/>
      <c r="I74" s="2"/>
      <c r="J74" s="5"/>
      <c r="K74" s="2"/>
      <c r="L74"/>
      <c r="M74" s="2"/>
    </row>
    <row r="75" spans="2:13" ht="12.75">
      <c r="B75" s="17" t="str">
        <f>cond!C13</f>
        <v>603C11</v>
      </c>
      <c r="C75" s="5" t="str">
        <f>cond!C20</f>
        <v>Nickel SRE</v>
      </c>
      <c r="G75" s="15" t="s">
        <v>209</v>
      </c>
      <c r="H75" s="15"/>
      <c r="I75" s="16" t="s">
        <v>210</v>
      </c>
      <c r="J75" s="15"/>
      <c r="K75" s="15" t="s">
        <v>211</v>
      </c>
      <c r="L75" s="15"/>
      <c r="M75" s="15" t="s">
        <v>46</v>
      </c>
    </row>
    <row r="76" spans="2:13" ht="12.75">
      <c r="B76" s="5"/>
      <c r="C76" s="5"/>
      <c r="G76" s="54"/>
      <c r="H76" s="5"/>
      <c r="I76" s="54"/>
      <c r="J76" s="5"/>
      <c r="K76" s="54"/>
      <c r="L76" s="5"/>
      <c r="M76" s="57"/>
    </row>
    <row r="77" spans="2:13" ht="12.75">
      <c r="B77" s="5" t="s">
        <v>105</v>
      </c>
      <c r="C77" s="5"/>
      <c r="D77" s="5" t="s">
        <v>112</v>
      </c>
      <c r="E77" s="5" t="s">
        <v>99</v>
      </c>
      <c r="G77">
        <v>0.119</v>
      </c>
      <c r="H77" s="5"/>
      <c r="I77" s="61">
        <v>0.0768</v>
      </c>
      <c r="J77" s="5"/>
      <c r="K77">
        <v>0.141</v>
      </c>
      <c r="L77" s="5"/>
      <c r="M77" s="57">
        <f>AVERAGE(K77,I77,G77)</f>
        <v>0.11226666666666667</v>
      </c>
    </row>
    <row r="78" spans="2:13" ht="12.75">
      <c r="B78" s="5" t="s">
        <v>105</v>
      </c>
      <c r="C78" s="5" t="s">
        <v>324</v>
      </c>
      <c r="D78" s="5" t="s">
        <v>54</v>
      </c>
      <c r="E78" s="5" t="s">
        <v>14</v>
      </c>
      <c r="F78"/>
      <c r="G78" s="2">
        <f>G77/0.0283*14/(21-7.2)</f>
        <v>4.265888257284784</v>
      </c>
      <c r="H78" s="2"/>
      <c r="I78" s="2">
        <f>I77/0.0283*14/(21-7.2)</f>
        <v>2.7531110769703484</v>
      </c>
      <c r="J78" s="2"/>
      <c r="K78" s="2">
        <f>K77/0.0283*14/(21-7.2)</f>
        <v>5.054539867875249</v>
      </c>
      <c r="L78"/>
      <c r="M78" s="57">
        <f>AVERAGE(K78,I78,G78)</f>
        <v>4.024513067376794</v>
      </c>
    </row>
    <row r="79" spans="2:13" ht="12.75">
      <c r="B79" s="5" t="s">
        <v>140</v>
      </c>
      <c r="C79" s="5"/>
      <c r="D79" s="5" t="s">
        <v>17</v>
      </c>
      <c r="G79" s="61">
        <f>('feed 1'!G37-G78)/'feed 1'!G37*100</f>
        <v>99.9968705112802</v>
      </c>
      <c r="H79" s="61"/>
      <c r="I79" s="61">
        <f>('feed 1'!I37-I78)/'feed 1'!I37*100</f>
        <v>99.99774640483835</v>
      </c>
      <c r="J79" s="61"/>
      <c r="K79" s="61">
        <f>('feed 1'!K37-K78)/'feed 1'!K37*100</f>
        <v>99.99552058624195</v>
      </c>
      <c r="L79"/>
      <c r="M79" s="61">
        <f>AVERAGE(K79,I79,G79)</f>
        <v>99.99671250078684</v>
      </c>
    </row>
    <row r="80" spans="2:13" ht="12.75">
      <c r="B80" s="5"/>
      <c r="C80" s="5"/>
      <c r="G80" s="61"/>
      <c r="H80" s="61"/>
      <c r="I80" s="61"/>
      <c r="J80" s="61"/>
      <c r="K80" s="61"/>
      <c r="L80"/>
      <c r="M80" s="61"/>
    </row>
    <row r="81" spans="2:13" ht="12.75">
      <c r="B81" s="5"/>
      <c r="C81" s="5"/>
      <c r="F81"/>
      <c r="G81" s="61"/>
      <c r="H81"/>
      <c r="I81"/>
      <c r="J81"/>
      <c r="K81"/>
      <c r="L81"/>
      <c r="M81" s="50"/>
    </row>
    <row r="82" spans="1:13" ht="12.75">
      <c r="A82" s="13">
        <v>1</v>
      </c>
      <c r="B82" s="17" t="s">
        <v>170</v>
      </c>
      <c r="C82" s="17"/>
      <c r="G82" s="15" t="s">
        <v>209</v>
      </c>
      <c r="H82" s="15"/>
      <c r="I82" s="16" t="s">
        <v>210</v>
      </c>
      <c r="J82" s="15"/>
      <c r="K82" s="15" t="s">
        <v>211</v>
      </c>
      <c r="L82" s="15"/>
      <c r="M82" s="15" t="s">
        <v>46</v>
      </c>
    </row>
    <row r="83" spans="2:12" ht="12.75">
      <c r="B83" s="5"/>
      <c r="C83" s="5"/>
      <c r="D83" s="9"/>
      <c r="E83" s="9"/>
      <c r="F83" s="9"/>
      <c r="G83" s="9"/>
      <c r="H83" s="9"/>
      <c r="I83" s="18"/>
      <c r="J83" s="9"/>
      <c r="K83" s="9"/>
      <c r="L83" s="9"/>
    </row>
    <row r="84" spans="2:13" ht="12.75">
      <c r="B84" s="5" t="s">
        <v>121</v>
      </c>
      <c r="C84" s="5" t="s">
        <v>324</v>
      </c>
      <c r="D84" s="9" t="s">
        <v>15</v>
      </c>
      <c r="E84" s="9" t="s">
        <v>14</v>
      </c>
      <c r="F84"/>
      <c r="G84"/>
      <c r="H84"/>
      <c r="I84"/>
      <c r="J84"/>
      <c r="K84"/>
      <c r="L84"/>
      <c r="M84" s="52">
        <v>2.7</v>
      </c>
    </row>
    <row r="85" spans="2:13" ht="12.75">
      <c r="B85" s="5" t="s">
        <v>62</v>
      </c>
      <c r="C85" s="5"/>
      <c r="D85" s="5" t="s">
        <v>15</v>
      </c>
      <c r="E85" s="5" t="s">
        <v>14</v>
      </c>
      <c r="F85"/>
      <c r="G85" s="57"/>
      <c r="H85" s="57"/>
      <c r="I85" s="57"/>
      <c r="J85" s="57"/>
      <c r="K85" s="57"/>
      <c r="L85"/>
      <c r="M85" s="57">
        <v>0.7</v>
      </c>
    </row>
    <row r="86" spans="2:13" ht="12.75">
      <c r="B86" s="5" t="s">
        <v>12</v>
      </c>
      <c r="C86" s="5" t="s">
        <v>324</v>
      </c>
      <c r="D86" s="5" t="s">
        <v>13</v>
      </c>
      <c r="E86" s="5" t="s">
        <v>14</v>
      </c>
      <c r="F86"/>
      <c r="G86">
        <v>0.011</v>
      </c>
      <c r="H86"/>
      <c r="I86">
        <v>0.012</v>
      </c>
      <c r="J86"/>
      <c r="K86">
        <v>0.0072</v>
      </c>
      <c r="L86"/>
      <c r="M86" s="50">
        <f>AVERAGE(G86,I86,K86)</f>
        <v>0.010066666666666666</v>
      </c>
    </row>
    <row r="87" spans="2:13" ht="12.75">
      <c r="B87" s="5" t="s">
        <v>49</v>
      </c>
      <c r="C87" s="5"/>
      <c r="D87" s="5" t="s">
        <v>112</v>
      </c>
      <c r="E87" s="5" t="s">
        <v>99</v>
      </c>
      <c r="F87"/>
      <c r="G87">
        <v>22.4</v>
      </c>
      <c r="H87"/>
      <c r="I87">
        <v>29.6</v>
      </c>
      <c r="J87"/>
      <c r="K87">
        <v>11.3</v>
      </c>
      <c r="L87"/>
      <c r="M87" s="50"/>
    </row>
    <row r="88" spans="2:13" ht="12.75">
      <c r="B88" s="5" t="s">
        <v>50</v>
      </c>
      <c r="C88" s="5"/>
      <c r="D88" s="5" t="s">
        <v>112</v>
      </c>
      <c r="E88" s="5" t="s">
        <v>99</v>
      </c>
      <c r="F88"/>
      <c r="G88">
        <v>1.57</v>
      </c>
      <c r="H88"/>
      <c r="I88">
        <v>1.22</v>
      </c>
      <c r="J88"/>
      <c r="K88">
        <v>2.04</v>
      </c>
      <c r="L88"/>
      <c r="M88" s="50"/>
    </row>
    <row r="89" spans="2:13" ht="12.75">
      <c r="B89" s="5" t="s">
        <v>49</v>
      </c>
      <c r="C89" s="5" t="s">
        <v>324</v>
      </c>
      <c r="D89" s="5" t="s">
        <v>15</v>
      </c>
      <c r="E89" s="5" t="s">
        <v>14</v>
      </c>
      <c r="F89"/>
      <c r="G89" s="57">
        <f>G87/0.0283*14/(21-G$95)/1516</f>
        <v>0.5111570790267751</v>
      </c>
      <c r="H89"/>
      <c r="I89" s="57">
        <f>I87/0.0283*14/(21-I$95)/1516</f>
        <v>0.6661409125937605</v>
      </c>
      <c r="J89"/>
      <c r="K89" s="57">
        <f>K87/0.0283*14/(21-K$95)/1516</f>
        <v>0.2474768468358599</v>
      </c>
      <c r="L89"/>
      <c r="M89" s="57">
        <f>AVERAGE(G89,I89,K89)</f>
        <v>0.4749249461521319</v>
      </c>
    </row>
    <row r="90" spans="2:13" ht="12.75">
      <c r="B90" s="5" t="s">
        <v>50</v>
      </c>
      <c r="C90" s="5" t="s">
        <v>324</v>
      </c>
      <c r="D90" s="5" t="s">
        <v>15</v>
      </c>
      <c r="E90" s="5" t="s">
        <v>14</v>
      </c>
      <c r="F90"/>
      <c r="G90" s="57">
        <f>G88/0.0283*14/(21-G$95)/3000</f>
        <v>0.01810439266269655</v>
      </c>
      <c r="H90"/>
      <c r="I90" s="57">
        <f>I88/0.0283*14/(21-I$95)/3000</f>
        <v>0.01387433491734698</v>
      </c>
      <c r="J90"/>
      <c r="K90" s="57">
        <f>K88/0.0283*14/(21-K$95)/3000</f>
        <v>0.02257689662532312</v>
      </c>
      <c r="L90"/>
      <c r="M90" s="57">
        <f>AVERAGE(G90,I90,K90)</f>
        <v>0.01818520806845555</v>
      </c>
    </row>
    <row r="91" spans="2:13" ht="12.75">
      <c r="B91" s="5" t="s">
        <v>326</v>
      </c>
      <c r="C91" s="5" t="s">
        <v>324</v>
      </c>
      <c r="D91" s="5" t="s">
        <v>15</v>
      </c>
      <c r="E91" s="5" t="s">
        <v>14</v>
      </c>
      <c r="F91"/>
      <c r="G91" s="57">
        <f>G89+2*G90</f>
        <v>0.5473658643521682</v>
      </c>
      <c r="H91" s="57"/>
      <c r="I91" s="57">
        <f>I89+2*I90</f>
        <v>0.6938895824284544</v>
      </c>
      <c r="J91" s="57"/>
      <c r="K91" s="57">
        <f>K89+2*K90</f>
        <v>0.29263064008650613</v>
      </c>
      <c r="L91"/>
      <c r="M91" s="57">
        <f>AVERAGE(G91,I91,K91)</f>
        <v>0.5112953622890429</v>
      </c>
    </row>
    <row r="92" spans="2:13" ht="12.75">
      <c r="B92" s="5"/>
      <c r="C92" s="5"/>
      <c r="F92"/>
      <c r="G92" s="57"/>
      <c r="H92" s="57"/>
      <c r="I92" s="57"/>
      <c r="J92" s="57"/>
      <c r="K92" s="57"/>
      <c r="L92"/>
      <c r="M92" s="61"/>
    </row>
    <row r="93" spans="2:13" ht="12.75">
      <c r="B93" s="5" t="s">
        <v>84</v>
      </c>
      <c r="C93" s="5" t="s">
        <v>49</v>
      </c>
      <c r="D93" s="5" t="s">
        <v>324</v>
      </c>
      <c r="F93"/>
      <c r="G93" s="57"/>
      <c r="H93" s="57"/>
      <c r="I93" s="57"/>
      <c r="J93" s="57"/>
      <c r="K93" s="57"/>
      <c r="L93"/>
      <c r="M93" s="61"/>
    </row>
    <row r="94" spans="2:13" ht="12.75">
      <c r="B94" s="5" t="s">
        <v>77</v>
      </c>
      <c r="C94" s="5"/>
      <c r="D94" s="5" t="s">
        <v>16</v>
      </c>
      <c r="F94"/>
      <c r="G94" s="58">
        <v>40000</v>
      </c>
      <c r="H94" s="58"/>
      <c r="I94" s="58">
        <v>40300</v>
      </c>
      <c r="J94" s="58"/>
      <c r="K94" s="58">
        <v>39000</v>
      </c>
      <c r="L94"/>
      <c r="M94" s="61"/>
    </row>
    <row r="95" spans="2:13" ht="12.75">
      <c r="B95" s="5" t="s">
        <v>81</v>
      </c>
      <c r="C95" s="5"/>
      <c r="D95" s="5" t="s">
        <v>17</v>
      </c>
      <c r="F95"/>
      <c r="G95" s="57">
        <v>6.7</v>
      </c>
      <c r="H95" s="57"/>
      <c r="I95" s="57">
        <v>6.5</v>
      </c>
      <c r="J95" s="57"/>
      <c r="K95" s="57">
        <v>6.1</v>
      </c>
      <c r="L95"/>
      <c r="M95" s="61"/>
    </row>
    <row r="96" spans="2:13" ht="12.75">
      <c r="B96" s="5" t="s">
        <v>82</v>
      </c>
      <c r="C96" s="5"/>
      <c r="D96" s="5" t="s">
        <v>17</v>
      </c>
      <c r="F96"/>
      <c r="G96" s="57">
        <v>9.2</v>
      </c>
      <c r="H96" s="57"/>
      <c r="I96" s="57">
        <v>7.9</v>
      </c>
      <c r="J96" s="57"/>
      <c r="K96" s="57">
        <v>7.3</v>
      </c>
      <c r="L96"/>
      <c r="M96" s="61"/>
    </row>
    <row r="97" spans="2:13" ht="12.75">
      <c r="B97" s="5" t="s">
        <v>76</v>
      </c>
      <c r="C97" s="5"/>
      <c r="D97" s="5" t="s">
        <v>18</v>
      </c>
      <c r="F97"/>
      <c r="G97">
        <v>115</v>
      </c>
      <c r="H97"/>
      <c r="I97">
        <v>108</v>
      </c>
      <c r="J97"/>
      <c r="K97">
        <v>111</v>
      </c>
      <c r="L97"/>
      <c r="M97" s="2"/>
    </row>
    <row r="98" spans="2:13" ht="12.75">
      <c r="B98" s="5"/>
      <c r="C98" s="5"/>
      <c r="F98"/>
      <c r="G98"/>
      <c r="H98"/>
      <c r="I98"/>
      <c r="J98"/>
      <c r="K98"/>
      <c r="L98"/>
      <c r="M98" s="2"/>
    </row>
    <row r="99" spans="2:13" ht="12.75">
      <c r="B99" s="5" t="s">
        <v>84</v>
      </c>
      <c r="C99" s="5" t="s">
        <v>376</v>
      </c>
      <c r="D99" s="5" t="s">
        <v>325</v>
      </c>
      <c r="F99"/>
      <c r="G99" s="57"/>
      <c r="H99" s="57"/>
      <c r="I99" s="57"/>
      <c r="J99" s="57"/>
      <c r="K99" s="57"/>
      <c r="L99"/>
      <c r="M99" s="61"/>
    </row>
    <row r="100" spans="2:13" ht="12.75">
      <c r="B100" s="5" t="s">
        <v>77</v>
      </c>
      <c r="C100" s="5"/>
      <c r="D100" s="5" t="s">
        <v>16</v>
      </c>
      <c r="F100"/>
      <c r="G100">
        <v>41200</v>
      </c>
      <c r="H100"/>
      <c r="I100">
        <v>42100</v>
      </c>
      <c r="J100"/>
      <c r="K100">
        <v>40600</v>
      </c>
      <c r="L100"/>
      <c r="M100" s="61"/>
    </row>
    <row r="101" spans="2:13" ht="12.75">
      <c r="B101" s="5" t="s">
        <v>81</v>
      </c>
      <c r="C101" s="5"/>
      <c r="D101" s="5" t="s">
        <v>17</v>
      </c>
      <c r="F101"/>
      <c r="G101">
        <v>6.7</v>
      </c>
      <c r="H101"/>
      <c r="I101">
        <v>6.5</v>
      </c>
      <c r="J101"/>
      <c r="K101">
        <v>6.1</v>
      </c>
      <c r="L101"/>
      <c r="M101" s="61"/>
    </row>
    <row r="102" spans="2:13" ht="12.75">
      <c r="B102" s="5" t="s">
        <v>82</v>
      </c>
      <c r="C102" s="5"/>
      <c r="D102" s="5" t="s">
        <v>17</v>
      </c>
      <c r="F102"/>
      <c r="G102">
        <v>10.4</v>
      </c>
      <c r="H102"/>
      <c r="I102">
        <v>8.3</v>
      </c>
      <c r="J102"/>
      <c r="K102">
        <v>9</v>
      </c>
      <c r="L102"/>
      <c r="M102" s="61"/>
    </row>
    <row r="103" spans="2:13" ht="12.75">
      <c r="B103" s="5" t="s">
        <v>76</v>
      </c>
      <c r="C103" s="5"/>
      <c r="D103" s="5" t="s">
        <v>18</v>
      </c>
      <c r="F103"/>
      <c r="G103">
        <v>116</v>
      </c>
      <c r="H103"/>
      <c r="I103">
        <v>109</v>
      </c>
      <c r="J103"/>
      <c r="K103">
        <v>114</v>
      </c>
      <c r="L103"/>
      <c r="M103" s="2"/>
    </row>
    <row r="104" spans="2:13" ht="12.75">
      <c r="B104" s="5"/>
      <c r="C104" s="5"/>
      <c r="F104"/>
      <c r="G104"/>
      <c r="H104"/>
      <c r="I104"/>
      <c r="J104"/>
      <c r="K104"/>
      <c r="L104"/>
      <c r="M104" s="2"/>
    </row>
    <row r="105" spans="2:13" ht="12.75">
      <c r="B105" s="5" t="s">
        <v>377</v>
      </c>
      <c r="C105" s="5"/>
      <c r="D105" s="5" t="s">
        <v>112</v>
      </c>
      <c r="E105" s="5" t="s">
        <v>99</v>
      </c>
      <c r="F105"/>
      <c r="G105">
        <v>116</v>
      </c>
      <c r="H105"/>
      <c r="I105">
        <v>1.68</v>
      </c>
      <c r="J105"/>
      <c r="K105">
        <v>1.48</v>
      </c>
      <c r="L105"/>
      <c r="M105" s="2"/>
    </row>
    <row r="106" spans="2:13" ht="12.75">
      <c r="B106" s="5" t="s">
        <v>174</v>
      </c>
      <c r="C106"/>
      <c r="D106" s="5" t="s">
        <v>112</v>
      </c>
      <c r="E106" s="5" t="s">
        <v>99</v>
      </c>
      <c r="F106"/>
      <c r="G106">
        <v>4.15</v>
      </c>
      <c r="H106"/>
      <c r="I106">
        <v>3.37</v>
      </c>
      <c r="J106"/>
      <c r="K106">
        <v>0.997</v>
      </c>
      <c r="L106"/>
      <c r="M106"/>
    </row>
    <row r="107" spans="2:13" ht="12.75">
      <c r="B107" s="5" t="s">
        <v>103</v>
      </c>
      <c r="C107"/>
      <c r="D107" s="5" t="s">
        <v>112</v>
      </c>
      <c r="E107" s="5" t="s">
        <v>99</v>
      </c>
      <c r="G107">
        <v>5.68</v>
      </c>
      <c r="H107"/>
      <c r="I107">
        <v>4.53</v>
      </c>
      <c r="J107"/>
      <c r="K107">
        <v>1.35</v>
      </c>
      <c r="L107"/>
      <c r="M107"/>
    </row>
    <row r="108" spans="2:13" ht="12.75">
      <c r="B108" s="5" t="s">
        <v>175</v>
      </c>
      <c r="C108"/>
      <c r="D108" s="5" t="s">
        <v>112</v>
      </c>
      <c r="E108" s="5" t="s">
        <v>99</v>
      </c>
      <c r="G108">
        <v>112</v>
      </c>
      <c r="H108"/>
      <c r="I108">
        <v>2.63</v>
      </c>
      <c r="J108"/>
      <c r="K108">
        <v>0.853</v>
      </c>
      <c r="L108"/>
      <c r="M108"/>
    </row>
    <row r="109" spans="2:13" ht="12.75">
      <c r="B109" s="5" t="s">
        <v>79</v>
      </c>
      <c r="C109"/>
      <c r="D109" s="5" t="s">
        <v>112</v>
      </c>
      <c r="E109" s="5" t="s">
        <v>99</v>
      </c>
      <c r="G109">
        <v>0.182</v>
      </c>
      <c r="H109"/>
      <c r="I109">
        <v>0.158</v>
      </c>
      <c r="J109"/>
      <c r="K109">
        <v>0.05</v>
      </c>
      <c r="L109"/>
      <c r="M109"/>
    </row>
    <row r="110" spans="2:13" ht="12.75">
      <c r="B110" s="5" t="s">
        <v>378</v>
      </c>
      <c r="C110"/>
      <c r="D110" s="5" t="s">
        <v>112</v>
      </c>
      <c r="E110" s="5" t="s">
        <v>99</v>
      </c>
      <c r="G110">
        <v>0.534</v>
      </c>
      <c r="H110"/>
      <c r="I110">
        <v>0.176</v>
      </c>
      <c r="J110"/>
      <c r="K110">
        <v>0.288</v>
      </c>
      <c r="L110"/>
      <c r="M110"/>
    </row>
    <row r="111" spans="2:13" ht="12.75">
      <c r="B111" s="5" t="s">
        <v>104</v>
      </c>
      <c r="C111"/>
      <c r="D111" s="5" t="s">
        <v>112</v>
      </c>
      <c r="E111" s="5" t="s">
        <v>99</v>
      </c>
      <c r="G111">
        <v>5.6</v>
      </c>
      <c r="H111"/>
      <c r="I111">
        <v>4.02</v>
      </c>
      <c r="J111"/>
      <c r="K111">
        <v>1.41</v>
      </c>
      <c r="L111"/>
      <c r="M111"/>
    </row>
    <row r="112" spans="2:13" ht="12.75">
      <c r="B112" s="5" t="s">
        <v>379</v>
      </c>
      <c r="C112"/>
      <c r="D112" s="5" t="s">
        <v>112</v>
      </c>
      <c r="E112" s="5" t="s">
        <v>99</v>
      </c>
      <c r="G112">
        <v>54.8</v>
      </c>
      <c r="H112"/>
      <c r="I112">
        <v>4.44</v>
      </c>
      <c r="J112"/>
      <c r="K112">
        <v>4.03</v>
      </c>
      <c r="L112"/>
      <c r="M112"/>
    </row>
    <row r="113" spans="2:13" ht="12.75">
      <c r="B113" s="5" t="s">
        <v>83</v>
      </c>
      <c r="C113"/>
      <c r="D113" s="5" t="s">
        <v>112</v>
      </c>
      <c r="E113" s="5" t="s">
        <v>99</v>
      </c>
      <c r="F113"/>
      <c r="G113">
        <v>5.8</v>
      </c>
      <c r="H113"/>
      <c r="I113">
        <v>6.41</v>
      </c>
      <c r="J113"/>
      <c r="K113">
        <v>1.96</v>
      </c>
      <c r="L113"/>
      <c r="M113"/>
    </row>
    <row r="114" spans="2:13" ht="12.75">
      <c r="B114" s="5" t="s">
        <v>380</v>
      </c>
      <c r="C114"/>
      <c r="D114" s="5" t="s">
        <v>112</v>
      </c>
      <c r="E114" s="5" t="s">
        <v>99</v>
      </c>
      <c r="F114"/>
      <c r="G114">
        <v>0.109</v>
      </c>
      <c r="H114"/>
      <c r="I114">
        <v>0.0574</v>
      </c>
      <c r="J114"/>
      <c r="K114">
        <v>0.095</v>
      </c>
      <c r="L114"/>
      <c r="M114"/>
    </row>
    <row r="115" spans="2:13" ht="12.75">
      <c r="B115" s="5" t="s">
        <v>381</v>
      </c>
      <c r="C115"/>
      <c r="D115" s="5" t="s">
        <v>112</v>
      </c>
      <c r="E115" s="5" t="s">
        <v>99</v>
      </c>
      <c r="F115"/>
      <c r="G115">
        <v>19.9</v>
      </c>
      <c r="H115"/>
      <c r="I115">
        <v>8.07</v>
      </c>
      <c r="J115"/>
      <c r="K115">
        <v>3.09</v>
      </c>
      <c r="L115"/>
      <c r="M115"/>
    </row>
    <row r="116" spans="2:13" ht="12.75">
      <c r="B116" s="5" t="s">
        <v>382</v>
      </c>
      <c r="C116"/>
      <c r="D116" s="5" t="s">
        <v>112</v>
      </c>
      <c r="E116" s="5" t="s">
        <v>99</v>
      </c>
      <c r="F116"/>
      <c r="G116">
        <v>8.49</v>
      </c>
      <c r="H116"/>
      <c r="I116">
        <v>5.54</v>
      </c>
      <c r="J116"/>
      <c r="K116">
        <v>3.04</v>
      </c>
      <c r="L116"/>
      <c r="M116"/>
    </row>
    <row r="117" spans="2:13" ht="12.75">
      <c r="B117" s="5" t="s">
        <v>78</v>
      </c>
      <c r="C117"/>
      <c r="D117" s="5" t="s">
        <v>112</v>
      </c>
      <c r="E117" s="5" t="s">
        <v>99</v>
      </c>
      <c r="F117"/>
      <c r="G117">
        <v>110</v>
      </c>
      <c r="H117"/>
      <c r="I117">
        <v>82</v>
      </c>
      <c r="J117"/>
      <c r="K117">
        <v>26.5</v>
      </c>
      <c r="L117"/>
      <c r="M117"/>
    </row>
    <row r="118" spans="2:13" ht="12.75">
      <c r="B118" s="5" t="s">
        <v>383</v>
      </c>
      <c r="C118"/>
      <c r="D118" s="5" t="s">
        <v>112</v>
      </c>
      <c r="E118" s="5" t="s">
        <v>99</v>
      </c>
      <c r="F118"/>
      <c r="G118">
        <v>7.95</v>
      </c>
      <c r="H118"/>
      <c r="I118">
        <v>0.742</v>
      </c>
      <c r="J118"/>
      <c r="K118">
        <v>0.663</v>
      </c>
      <c r="L118"/>
      <c r="M118"/>
    </row>
    <row r="119" spans="2:13" ht="12.75">
      <c r="B119" s="13" t="s">
        <v>390</v>
      </c>
      <c r="C119"/>
      <c r="D119" s="5" t="s">
        <v>112</v>
      </c>
      <c r="E119" s="5" t="s">
        <v>99</v>
      </c>
      <c r="G119">
        <v>0.37</v>
      </c>
      <c r="H119"/>
      <c r="I119">
        <v>0.155</v>
      </c>
      <c r="J119"/>
      <c r="K119">
        <v>2.93</v>
      </c>
      <c r="L119"/>
      <c r="M119"/>
    </row>
    <row r="120" spans="2:13" ht="12.75">
      <c r="B120" s="5" t="s">
        <v>80</v>
      </c>
      <c r="C120"/>
      <c r="D120" s="5" t="s">
        <v>112</v>
      </c>
      <c r="E120" s="5" t="s">
        <v>99</v>
      </c>
      <c r="G120">
        <v>22.8</v>
      </c>
      <c r="H120"/>
      <c r="I120">
        <v>19.5</v>
      </c>
      <c r="J120"/>
      <c r="K120">
        <v>15.5</v>
      </c>
      <c r="L120"/>
      <c r="M120"/>
    </row>
    <row r="121" spans="2:13" ht="12.75">
      <c r="B121" s="5" t="s">
        <v>384</v>
      </c>
      <c r="C121"/>
      <c r="D121" s="5" t="s">
        <v>112</v>
      </c>
      <c r="E121" s="5" t="s">
        <v>99</v>
      </c>
      <c r="G121">
        <v>10.6</v>
      </c>
      <c r="H121"/>
      <c r="I121">
        <v>15.5</v>
      </c>
      <c r="J121"/>
      <c r="K121">
        <v>3.31</v>
      </c>
      <c r="L121"/>
      <c r="M121"/>
    </row>
    <row r="122" spans="2:13" ht="12.75">
      <c r="B122" s="5" t="s">
        <v>105</v>
      </c>
      <c r="C122"/>
      <c r="D122" s="5" t="s">
        <v>112</v>
      </c>
      <c r="E122" s="5" t="s">
        <v>99</v>
      </c>
      <c r="G122">
        <v>7.88</v>
      </c>
      <c r="H122"/>
      <c r="I122">
        <v>11.8</v>
      </c>
      <c r="J122"/>
      <c r="K122">
        <v>4.43</v>
      </c>
      <c r="L122"/>
      <c r="M122"/>
    </row>
    <row r="123" spans="2:13" ht="12.75">
      <c r="B123" s="5" t="s">
        <v>106</v>
      </c>
      <c r="C123"/>
      <c r="D123" s="5" t="s">
        <v>112</v>
      </c>
      <c r="E123" s="5" t="s">
        <v>99</v>
      </c>
      <c r="G123">
        <v>10.5</v>
      </c>
      <c r="H123"/>
      <c r="I123">
        <v>13.9</v>
      </c>
      <c r="J123"/>
      <c r="K123">
        <v>4.32</v>
      </c>
      <c r="L123"/>
      <c r="M123"/>
    </row>
    <row r="124" spans="2:13" ht="12.75">
      <c r="B124" s="5" t="s">
        <v>385</v>
      </c>
      <c r="C124"/>
      <c r="D124" s="5" t="s">
        <v>112</v>
      </c>
      <c r="E124" s="5" t="s">
        <v>99</v>
      </c>
      <c r="G124">
        <v>127</v>
      </c>
      <c r="H124"/>
      <c r="I124">
        <v>18.3</v>
      </c>
      <c r="J124"/>
      <c r="K124">
        <v>9.92</v>
      </c>
      <c r="L124"/>
      <c r="M124"/>
    </row>
    <row r="125" spans="2:13" ht="12.75">
      <c r="B125" s="5" t="s">
        <v>107</v>
      </c>
      <c r="C125"/>
      <c r="D125" s="5" t="s">
        <v>112</v>
      </c>
      <c r="E125" s="5" t="s">
        <v>99</v>
      </c>
      <c r="G125">
        <v>4.31</v>
      </c>
      <c r="H125"/>
      <c r="I125">
        <v>3.27</v>
      </c>
      <c r="J125"/>
      <c r="K125">
        <v>1.03</v>
      </c>
      <c r="L125"/>
      <c r="M125"/>
    </row>
    <row r="126" spans="2:13" ht="12.75">
      <c r="B126" s="5" t="s">
        <v>386</v>
      </c>
      <c r="C126"/>
      <c r="D126" s="5" t="s">
        <v>112</v>
      </c>
      <c r="E126" s="5" t="s">
        <v>99</v>
      </c>
      <c r="G126">
        <v>0.965</v>
      </c>
      <c r="H126"/>
      <c r="I126">
        <v>1.11</v>
      </c>
      <c r="J126"/>
      <c r="K126">
        <v>0.592</v>
      </c>
      <c r="L126"/>
      <c r="M126"/>
    </row>
    <row r="127" spans="2:13" ht="12.75">
      <c r="B127" s="5" t="s">
        <v>102</v>
      </c>
      <c r="C127"/>
      <c r="D127" s="5" t="s">
        <v>112</v>
      </c>
      <c r="E127" s="5" t="s">
        <v>99</v>
      </c>
      <c r="G127">
        <v>0.56</v>
      </c>
      <c r="H127"/>
      <c r="I127">
        <v>0.571</v>
      </c>
      <c r="J127"/>
      <c r="K127">
        <v>0.832</v>
      </c>
      <c r="L127"/>
      <c r="M127"/>
    </row>
    <row r="128" spans="2:13" ht="12.75">
      <c r="B128" s="5" t="s">
        <v>387</v>
      </c>
      <c r="C128"/>
      <c r="D128" s="5" t="s">
        <v>112</v>
      </c>
      <c r="E128" s="5" t="s">
        <v>99</v>
      </c>
      <c r="G128">
        <v>317</v>
      </c>
      <c r="H128"/>
      <c r="I128">
        <v>48.9</v>
      </c>
      <c r="J128"/>
      <c r="K128">
        <v>28.7</v>
      </c>
      <c r="L128"/>
      <c r="M128"/>
    </row>
    <row r="129" spans="2:13" ht="12.75">
      <c r="B129" s="5" t="s">
        <v>388</v>
      </c>
      <c r="C129"/>
      <c r="D129" s="5" t="s">
        <v>112</v>
      </c>
      <c r="E129" s="5" t="s">
        <v>99</v>
      </c>
      <c r="G129">
        <v>2.77</v>
      </c>
      <c r="H129"/>
      <c r="I129">
        <v>0.0687</v>
      </c>
      <c r="J129"/>
      <c r="K129">
        <v>0.0298</v>
      </c>
      <c r="L129"/>
      <c r="M129"/>
    </row>
    <row r="130" spans="2:13" ht="12.75">
      <c r="B130" s="5" t="s">
        <v>109</v>
      </c>
      <c r="C130"/>
      <c r="D130" s="5" t="s">
        <v>112</v>
      </c>
      <c r="E130" s="5" t="s">
        <v>99</v>
      </c>
      <c r="G130">
        <v>2.81</v>
      </c>
      <c r="H130"/>
      <c r="I130">
        <v>2</v>
      </c>
      <c r="J130"/>
      <c r="K130">
        <v>0.677</v>
      </c>
      <c r="L130"/>
      <c r="M130"/>
    </row>
    <row r="131" spans="2:13" ht="12.75">
      <c r="B131" s="5" t="s">
        <v>108</v>
      </c>
      <c r="C131"/>
      <c r="D131" s="5" t="s">
        <v>112</v>
      </c>
      <c r="E131" s="5" t="s">
        <v>99</v>
      </c>
      <c r="G131">
        <v>1.5</v>
      </c>
      <c r="H131"/>
      <c r="I131">
        <v>0.921</v>
      </c>
      <c r="J131"/>
      <c r="K131">
        <v>0.395</v>
      </c>
      <c r="L131"/>
      <c r="M131"/>
    </row>
    <row r="132" spans="2:13" ht="12.75">
      <c r="B132" s="5" t="s">
        <v>389</v>
      </c>
      <c r="C132"/>
      <c r="D132" s="5" t="s">
        <v>112</v>
      </c>
      <c r="E132" s="5" t="s">
        <v>99</v>
      </c>
      <c r="F132"/>
      <c r="G132">
        <v>1.07</v>
      </c>
      <c r="H132"/>
      <c r="I132">
        <v>0.12</v>
      </c>
      <c r="J132"/>
      <c r="K132">
        <v>0.0539</v>
      </c>
      <c r="L132"/>
      <c r="M132"/>
    </row>
    <row r="133" spans="2:13" ht="12.75">
      <c r="B133" s="5" t="s">
        <v>110</v>
      </c>
      <c r="C133"/>
      <c r="D133" s="5" t="s">
        <v>112</v>
      </c>
      <c r="E133" s="5" t="s">
        <v>99</v>
      </c>
      <c r="F133"/>
      <c r="G133">
        <v>1.72</v>
      </c>
      <c r="H133"/>
      <c r="I133">
        <v>1.8</v>
      </c>
      <c r="J133"/>
      <c r="K133">
        <v>0.504</v>
      </c>
      <c r="L133"/>
      <c r="M133"/>
    </row>
    <row r="134" spans="2:13" ht="12.75">
      <c r="B134" s="5" t="s">
        <v>111</v>
      </c>
      <c r="C134" s="5"/>
      <c r="D134" s="5" t="s">
        <v>112</v>
      </c>
      <c r="E134" s="5" t="s">
        <v>99</v>
      </c>
      <c r="F134"/>
      <c r="G134">
        <v>115</v>
      </c>
      <c r="H134"/>
      <c r="I134">
        <v>3.36</v>
      </c>
      <c r="J134"/>
      <c r="K134">
        <v>1.25</v>
      </c>
      <c r="L134"/>
      <c r="M134" s="2"/>
    </row>
    <row r="135" spans="2:13" ht="12.75">
      <c r="B135" s="5" t="s">
        <v>357</v>
      </c>
      <c r="C135" s="5"/>
      <c r="D135" s="5" t="s">
        <v>112</v>
      </c>
      <c r="E135" s="5" t="s">
        <v>99</v>
      </c>
      <c r="F135"/>
      <c r="G135">
        <v>0.0675</v>
      </c>
      <c r="H135"/>
      <c r="I135">
        <v>0.0767</v>
      </c>
      <c r="J135"/>
      <c r="K135">
        <v>0.406</v>
      </c>
      <c r="L135"/>
      <c r="M135" s="2"/>
    </row>
    <row r="136" spans="2:13" ht="12.75">
      <c r="B136" s="5"/>
      <c r="C136" s="5"/>
      <c r="F136"/>
      <c r="G136"/>
      <c r="H136"/>
      <c r="I136"/>
      <c r="J136"/>
      <c r="K136"/>
      <c r="L136"/>
      <c r="M136" s="2"/>
    </row>
    <row r="137" spans="2:13" ht="12.75">
      <c r="B137" s="5" t="s">
        <v>377</v>
      </c>
      <c r="C137" s="5" t="s">
        <v>325</v>
      </c>
      <c r="D137" s="5" t="s">
        <v>54</v>
      </c>
      <c r="E137" s="5" t="s">
        <v>14</v>
      </c>
      <c r="F137"/>
      <c r="G137" s="2">
        <f>G105/0.0283*14/(21-G$101)</f>
        <v>4012.9481825594903</v>
      </c>
      <c r="H137"/>
      <c r="I137" s="2">
        <f>I105/0.0283*14/(21-I$101)</f>
        <v>57.316924576580966</v>
      </c>
      <c r="J137"/>
      <c r="K137" s="2">
        <f aca="true" t="shared" si="1" ref="K137:K167">K105/0.0283*14/(21-K$101)</f>
        <v>49.13795147864443</v>
      </c>
      <c r="L137"/>
      <c r="M137" s="2">
        <f>AVERAGE(G137,I137,K137)</f>
        <v>1373.1343528715718</v>
      </c>
    </row>
    <row r="138" spans="2:15" ht="12.75">
      <c r="B138" s="5" t="s">
        <v>174</v>
      </c>
      <c r="C138" s="5" t="s">
        <v>325</v>
      </c>
      <c r="D138" s="5" t="s">
        <v>54</v>
      </c>
      <c r="E138" s="5" t="s">
        <v>14</v>
      </c>
      <c r="F138"/>
      <c r="G138" s="2">
        <f aca="true" t="shared" si="2" ref="G138:I167">G106/0.0283*14/(21-G$101)</f>
        <v>143.56668066915418</v>
      </c>
      <c r="H138"/>
      <c r="I138" s="2">
        <f t="shared" si="2"/>
        <v>114.97502132326065</v>
      </c>
      <c r="J138"/>
      <c r="K138" s="2">
        <f t="shared" si="1"/>
        <v>33.10171461095169</v>
      </c>
      <c r="L138"/>
      <c r="M138" s="2">
        <f aca="true" t="shared" si="3" ref="M138:M167">AVERAGE(G138,I138,K138)</f>
        <v>97.21447220112218</v>
      </c>
      <c r="O138"/>
    </row>
    <row r="139" spans="2:15" ht="12.75">
      <c r="B139" s="5" t="s">
        <v>103</v>
      </c>
      <c r="C139" s="5" t="s">
        <v>325</v>
      </c>
      <c r="D139" s="5" t="s">
        <v>54</v>
      </c>
      <c r="E139" s="5" t="s">
        <v>14</v>
      </c>
      <c r="G139" s="2">
        <f t="shared" si="2"/>
        <v>196.49608342187847</v>
      </c>
      <c r="H139"/>
      <c r="I139" s="2">
        <f t="shared" si="2"/>
        <v>154.5509930547094</v>
      </c>
      <c r="J139"/>
      <c r="K139" s="2">
        <f t="shared" si="1"/>
        <v>44.82178006497973</v>
      </c>
      <c r="L139"/>
      <c r="M139" s="2">
        <f t="shared" si="3"/>
        <v>131.95628551385587</v>
      </c>
      <c r="O139"/>
    </row>
    <row r="140" spans="2:15" ht="12.75">
      <c r="B140" s="5" t="s">
        <v>175</v>
      </c>
      <c r="C140" s="5" t="s">
        <v>325</v>
      </c>
      <c r="D140" s="5" t="s">
        <v>54</v>
      </c>
      <c r="E140" s="5" t="s">
        <v>14</v>
      </c>
      <c r="G140" s="2">
        <f t="shared" si="2"/>
        <v>3874.570659022956</v>
      </c>
      <c r="H140"/>
      <c r="I140" s="2">
        <f t="shared" si="2"/>
        <v>89.72828073595711</v>
      </c>
      <c r="J140"/>
      <c r="K140" s="2">
        <f t="shared" si="1"/>
        <v>28.320724737353856</v>
      </c>
      <c r="L140"/>
      <c r="M140" s="2">
        <f t="shared" si="3"/>
        <v>1330.8732214987556</v>
      </c>
      <c r="O140"/>
    </row>
    <row r="141" spans="2:15" ht="12.75">
      <c r="B141" s="5" t="s">
        <v>79</v>
      </c>
      <c r="C141" s="5" t="s">
        <v>325</v>
      </c>
      <c r="D141" s="5" t="s">
        <v>54</v>
      </c>
      <c r="E141" s="5" t="s">
        <v>14</v>
      </c>
      <c r="G141" s="2">
        <f t="shared" si="2"/>
        <v>6.296177320912303</v>
      </c>
      <c r="H141"/>
      <c r="I141" s="2">
        <f t="shared" si="2"/>
        <v>5.390520287559402</v>
      </c>
      <c r="J141"/>
      <c r="K141" s="2">
        <f t="shared" si="1"/>
        <v>1.6600659283325825</v>
      </c>
      <c r="L141"/>
      <c r="M141" s="2">
        <f t="shared" si="3"/>
        <v>4.448921178934762</v>
      </c>
      <c r="O141"/>
    </row>
    <row r="142" spans="2:15" ht="12.75">
      <c r="B142" s="5" t="s">
        <v>378</v>
      </c>
      <c r="C142" s="5" t="s">
        <v>325</v>
      </c>
      <c r="D142" s="5" t="s">
        <v>54</v>
      </c>
      <c r="E142" s="5" t="s">
        <v>14</v>
      </c>
      <c r="G142" s="2">
        <f t="shared" si="2"/>
        <v>18.47339939212731</v>
      </c>
      <c r="H142"/>
      <c r="I142" s="2">
        <f t="shared" si="2"/>
        <v>6.004630193737054</v>
      </c>
      <c r="J142"/>
      <c r="K142" s="2">
        <f t="shared" si="1"/>
        <v>9.561979747195673</v>
      </c>
      <c r="L142"/>
      <c r="M142" s="2">
        <f t="shared" si="3"/>
        <v>11.346669777686678</v>
      </c>
      <c r="O142"/>
    </row>
    <row r="143" spans="2:15" ht="12.75">
      <c r="B143" s="5" t="s">
        <v>104</v>
      </c>
      <c r="C143" s="5" t="s">
        <v>325</v>
      </c>
      <c r="D143" s="5" t="s">
        <v>54</v>
      </c>
      <c r="E143" s="5" t="s">
        <v>14</v>
      </c>
      <c r="G143" s="2">
        <f t="shared" si="2"/>
        <v>193.72853295114777</v>
      </c>
      <c r="H143"/>
      <c r="I143" s="2">
        <f t="shared" si="2"/>
        <v>137.15121237967588</v>
      </c>
      <c r="J143"/>
      <c r="K143" s="2">
        <f t="shared" si="1"/>
        <v>46.813859178978824</v>
      </c>
      <c r="L143"/>
      <c r="M143" s="2">
        <f t="shared" si="3"/>
        <v>125.89786816993416</v>
      </c>
      <c r="O143"/>
    </row>
    <row r="144" spans="2:15" ht="12.75">
      <c r="B144" s="5" t="s">
        <v>379</v>
      </c>
      <c r="C144" s="5" t="s">
        <v>325</v>
      </c>
      <c r="D144" s="5" t="s">
        <v>54</v>
      </c>
      <c r="E144" s="5" t="s">
        <v>14</v>
      </c>
      <c r="G144" s="2">
        <f t="shared" si="2"/>
        <v>1895.7720724505175</v>
      </c>
      <c r="H144"/>
      <c r="I144" s="2">
        <f t="shared" si="2"/>
        <v>151.48044352382115</v>
      </c>
      <c r="J144"/>
      <c r="K144" s="2">
        <f t="shared" si="1"/>
        <v>133.80131382360614</v>
      </c>
      <c r="L144"/>
      <c r="M144" s="2">
        <f t="shared" si="3"/>
        <v>727.0179432659816</v>
      </c>
      <c r="O144"/>
    </row>
    <row r="145" spans="2:15" ht="12.75">
      <c r="B145" s="5" t="s">
        <v>83</v>
      </c>
      <c r="C145" s="5" t="s">
        <v>325</v>
      </c>
      <c r="D145" s="5" t="s">
        <v>54</v>
      </c>
      <c r="E145" s="5" t="s">
        <v>14</v>
      </c>
      <c r="F145"/>
      <c r="G145" s="2">
        <f t="shared" si="2"/>
        <v>200.6474091279745</v>
      </c>
      <c r="H145"/>
      <c r="I145" s="2">
        <f t="shared" si="2"/>
        <v>218.69136103326431</v>
      </c>
      <c r="J145"/>
      <c r="K145" s="2">
        <f t="shared" si="1"/>
        <v>65.07458439063723</v>
      </c>
      <c r="L145"/>
      <c r="M145" s="2">
        <f t="shared" si="3"/>
        <v>161.47111818395868</v>
      </c>
      <c r="O145"/>
    </row>
    <row r="146" spans="2:15" ht="12.75">
      <c r="B146" s="5" t="s">
        <v>380</v>
      </c>
      <c r="C146" s="5" t="s">
        <v>325</v>
      </c>
      <c r="D146" s="5" t="s">
        <v>54</v>
      </c>
      <c r="E146" s="5" t="s">
        <v>14</v>
      </c>
      <c r="F146"/>
      <c r="G146" s="2">
        <f t="shared" si="2"/>
        <v>3.7707875163705555</v>
      </c>
      <c r="H146"/>
      <c r="I146" s="2">
        <f t="shared" si="2"/>
        <v>1.9583282563665165</v>
      </c>
      <c r="J146"/>
      <c r="K146" s="2">
        <f t="shared" si="1"/>
        <v>3.154125263831907</v>
      </c>
      <c r="L146"/>
      <c r="M146" s="2">
        <f t="shared" si="3"/>
        <v>2.961080345522993</v>
      </c>
      <c r="O146"/>
    </row>
    <row r="147" spans="2:15" ht="12.75">
      <c r="B147" s="5" t="s">
        <v>381</v>
      </c>
      <c r="C147" s="5" t="s">
        <v>325</v>
      </c>
      <c r="D147" s="5" t="s">
        <v>54</v>
      </c>
      <c r="E147" s="5" t="s">
        <v>14</v>
      </c>
      <c r="F147"/>
      <c r="G147" s="2">
        <f t="shared" si="2"/>
        <v>688.4281795942571</v>
      </c>
      <c r="H147"/>
      <c r="I147" s="2">
        <f t="shared" si="2"/>
        <v>275.32594126964784</v>
      </c>
      <c r="J147"/>
      <c r="K147" s="2">
        <f t="shared" si="1"/>
        <v>102.59207437095358</v>
      </c>
      <c r="L147"/>
      <c r="M147" s="2">
        <f t="shared" si="3"/>
        <v>355.4487317449528</v>
      </c>
      <c r="O147"/>
    </row>
    <row r="148" spans="2:15" ht="12.75">
      <c r="B148" s="5" t="s">
        <v>382</v>
      </c>
      <c r="C148" s="5" t="s">
        <v>325</v>
      </c>
      <c r="D148" s="5" t="s">
        <v>54</v>
      </c>
      <c r="E148" s="5" t="s">
        <v>14</v>
      </c>
      <c r="F148"/>
      <c r="G148" s="2">
        <f t="shared" si="2"/>
        <v>293.7062937062937</v>
      </c>
      <c r="H148"/>
      <c r="I148" s="2">
        <f t="shared" si="2"/>
        <v>189.0093822346777</v>
      </c>
      <c r="J148"/>
      <c r="K148" s="2">
        <f t="shared" si="1"/>
        <v>100.93200844262103</v>
      </c>
      <c r="L148"/>
      <c r="M148" s="2">
        <f t="shared" si="3"/>
        <v>194.54922812786415</v>
      </c>
      <c r="O148"/>
    </row>
    <row r="149" spans="2:15" ht="12.75">
      <c r="B149" s="5" t="s">
        <v>78</v>
      </c>
      <c r="C149" s="5" t="s">
        <v>325</v>
      </c>
      <c r="D149" s="5" t="s">
        <v>54</v>
      </c>
      <c r="E149" s="5" t="s">
        <v>14</v>
      </c>
      <c r="F149"/>
      <c r="G149" s="2">
        <f t="shared" si="2"/>
        <v>3805.3818972546887</v>
      </c>
      <c r="H149"/>
      <c r="I149" s="2">
        <f t="shared" si="2"/>
        <v>2797.6117948093097</v>
      </c>
      <c r="J149"/>
      <c r="K149" s="2">
        <f t="shared" si="1"/>
        <v>879.8349420162685</v>
      </c>
      <c r="L149"/>
      <c r="M149" s="2">
        <f t="shared" si="3"/>
        <v>2494.276211360089</v>
      </c>
      <c r="O149"/>
    </row>
    <row r="150" spans="2:15" ht="12.75">
      <c r="B150" s="5" t="s">
        <v>383</v>
      </c>
      <c r="C150" s="5" t="s">
        <v>325</v>
      </c>
      <c r="D150" s="5" t="s">
        <v>54</v>
      </c>
      <c r="E150" s="5" t="s">
        <v>14</v>
      </c>
      <c r="F150"/>
      <c r="G150" s="2">
        <f t="shared" si="2"/>
        <v>275.0253280288616</v>
      </c>
      <c r="H150"/>
      <c r="I150" s="2">
        <f t="shared" si="2"/>
        <v>25.314975021323264</v>
      </c>
      <c r="J150"/>
      <c r="K150" s="2">
        <f t="shared" si="1"/>
        <v>22.012474209690044</v>
      </c>
      <c r="L150"/>
      <c r="M150" s="2">
        <f t="shared" si="3"/>
        <v>107.45092575329164</v>
      </c>
      <c r="O150"/>
    </row>
    <row r="151" spans="2:15" ht="12.75">
      <c r="B151" s="5" t="s">
        <v>390</v>
      </c>
      <c r="C151" s="5" t="s">
        <v>325</v>
      </c>
      <c r="D151" s="5" t="s">
        <v>54</v>
      </c>
      <c r="E151" s="5" t="s">
        <v>14</v>
      </c>
      <c r="F151"/>
      <c r="G151" s="2">
        <f t="shared" si="2"/>
        <v>12.799920927129406</v>
      </c>
      <c r="H151"/>
      <c r="I151" s="2">
        <f t="shared" si="2"/>
        <v>5.288168636529792</v>
      </c>
      <c r="J151"/>
      <c r="K151" s="2">
        <f t="shared" si="1"/>
        <v>97.27986340028934</v>
      </c>
      <c r="L151"/>
      <c r="M151" s="2">
        <f t="shared" si="3"/>
        <v>38.45598432131618</v>
      </c>
      <c r="O151"/>
    </row>
    <row r="152" spans="2:15" ht="12.75">
      <c r="B152" s="5" t="s">
        <v>80</v>
      </c>
      <c r="C152" s="5" t="s">
        <v>325</v>
      </c>
      <c r="D152" s="5" t="s">
        <v>54</v>
      </c>
      <c r="E152" s="5" t="s">
        <v>14</v>
      </c>
      <c r="G152" s="2">
        <f t="shared" si="2"/>
        <v>788.7518841582445</v>
      </c>
      <c r="H152"/>
      <c r="I152" s="2">
        <f t="shared" si="2"/>
        <v>665.2857316924577</v>
      </c>
      <c r="J152"/>
      <c r="K152" s="2">
        <f t="shared" si="1"/>
        <v>514.6204377831004</v>
      </c>
      <c r="L152"/>
      <c r="M152" s="2">
        <f t="shared" si="3"/>
        <v>656.2193512112675</v>
      </c>
      <c r="O152"/>
    </row>
    <row r="153" spans="2:15" ht="12.75">
      <c r="B153" s="5" t="s">
        <v>384</v>
      </c>
      <c r="C153" s="5" t="s">
        <v>325</v>
      </c>
      <c r="D153" s="5" t="s">
        <v>54</v>
      </c>
      <c r="E153" s="5" t="s">
        <v>14</v>
      </c>
      <c r="G153" s="2">
        <f t="shared" si="2"/>
        <v>366.70043737181544</v>
      </c>
      <c r="H153"/>
      <c r="I153" s="2">
        <f t="shared" si="2"/>
        <v>528.8168636529791</v>
      </c>
      <c r="J153"/>
      <c r="K153" s="2">
        <f t="shared" si="1"/>
        <v>109.89636445561696</v>
      </c>
      <c r="L153"/>
      <c r="M153" s="2">
        <f t="shared" si="3"/>
        <v>335.1378884934705</v>
      </c>
      <c r="O153"/>
    </row>
    <row r="154" spans="2:15" ht="12.75">
      <c r="B154" s="5" t="s">
        <v>105</v>
      </c>
      <c r="C154" s="5" t="s">
        <v>325</v>
      </c>
      <c r="D154" s="5" t="s">
        <v>54</v>
      </c>
      <c r="E154" s="5" t="s">
        <v>14</v>
      </c>
      <c r="G154" s="2">
        <f t="shared" si="2"/>
        <v>272.6037213669722</v>
      </c>
      <c r="H154"/>
      <c r="I154" s="2">
        <f t="shared" si="2"/>
        <v>402.58316071646163</v>
      </c>
      <c r="J154"/>
      <c r="K154" s="2">
        <f t="shared" si="1"/>
        <v>147.0818412502668</v>
      </c>
      <c r="L154"/>
      <c r="M154" s="2">
        <f t="shared" si="3"/>
        <v>274.08957444456684</v>
      </c>
      <c r="O154"/>
    </row>
    <row r="155" spans="2:15" ht="12.75">
      <c r="B155" s="5" t="s">
        <v>106</v>
      </c>
      <c r="C155" s="5" t="s">
        <v>325</v>
      </c>
      <c r="D155" s="5" t="s">
        <v>54</v>
      </c>
      <c r="E155" s="5" t="s">
        <v>14</v>
      </c>
      <c r="G155" s="2">
        <f t="shared" si="2"/>
        <v>363.2409992834021</v>
      </c>
      <c r="H155"/>
      <c r="I155" s="2">
        <f t="shared" si="2"/>
        <v>474.2293164371878</v>
      </c>
      <c r="J155"/>
      <c r="K155" s="2">
        <f t="shared" si="1"/>
        <v>143.42969620793514</v>
      </c>
      <c r="L155"/>
      <c r="M155" s="2">
        <f t="shared" si="3"/>
        <v>326.96667064284173</v>
      </c>
      <c r="O155"/>
    </row>
    <row r="156" spans="2:15" ht="12.75">
      <c r="B156" s="5" t="s">
        <v>385</v>
      </c>
      <c r="C156" s="5" t="s">
        <v>325</v>
      </c>
      <c r="D156" s="5" t="s">
        <v>54</v>
      </c>
      <c r="E156" s="5" t="s">
        <v>14</v>
      </c>
      <c r="G156" s="2">
        <f t="shared" si="2"/>
        <v>4393.4863722849595</v>
      </c>
      <c r="H156"/>
      <c r="I156" s="2">
        <f t="shared" si="2"/>
        <v>624.3450712806142</v>
      </c>
      <c r="J156"/>
      <c r="K156" s="2">
        <f t="shared" si="1"/>
        <v>329.35708018118436</v>
      </c>
      <c r="L156"/>
      <c r="M156" s="2">
        <f t="shared" si="3"/>
        <v>1782.3961745822528</v>
      </c>
      <c r="O156"/>
    </row>
    <row r="157" spans="2:15" ht="12.75">
      <c r="B157" s="5" t="s">
        <v>107</v>
      </c>
      <c r="C157" s="5" t="s">
        <v>325</v>
      </c>
      <c r="D157" s="5" t="s">
        <v>54</v>
      </c>
      <c r="E157" s="5" t="s">
        <v>14</v>
      </c>
      <c r="G157" s="2">
        <f t="shared" si="2"/>
        <v>149.10178161061552</v>
      </c>
      <c r="H157"/>
      <c r="I157" s="2">
        <f t="shared" si="2"/>
        <v>111.56329962227368</v>
      </c>
      <c r="J157"/>
      <c r="K157" s="2">
        <f t="shared" si="1"/>
        <v>34.1973581236512</v>
      </c>
      <c r="L157"/>
      <c r="M157" s="2">
        <f t="shared" si="3"/>
        <v>98.28747978551347</v>
      </c>
      <c r="O157"/>
    </row>
    <row r="158" spans="2:15" ht="12.75">
      <c r="B158" s="5" t="s">
        <v>386</v>
      </c>
      <c r="C158" s="5" t="s">
        <v>325</v>
      </c>
      <c r="D158" s="5" t="s">
        <v>54</v>
      </c>
      <c r="E158" s="5" t="s">
        <v>14</v>
      </c>
      <c r="G158" s="2">
        <f t="shared" si="2"/>
        <v>33.38357755318886</v>
      </c>
      <c r="H158"/>
      <c r="I158" s="2">
        <f t="shared" si="2"/>
        <v>37.87011088095529</v>
      </c>
      <c r="J158"/>
      <c r="K158" s="2">
        <f t="shared" si="1"/>
        <v>19.65518059145777</v>
      </c>
      <c r="L158"/>
      <c r="M158" s="2">
        <f t="shared" si="3"/>
        <v>30.302956341867304</v>
      </c>
      <c r="O158"/>
    </row>
    <row r="159" spans="2:15" ht="12.75">
      <c r="B159" s="5" t="s">
        <v>102</v>
      </c>
      <c r="C159" s="5" t="s">
        <v>325</v>
      </c>
      <c r="D159" s="5" t="s">
        <v>54</v>
      </c>
      <c r="E159" s="5" t="s">
        <v>14</v>
      </c>
      <c r="G159" s="2">
        <f t="shared" si="2"/>
        <v>19.37285329511478</v>
      </c>
      <c r="H159"/>
      <c r="I159" s="2">
        <f t="shared" si="2"/>
        <v>19.480930912635554</v>
      </c>
      <c r="J159"/>
      <c r="K159" s="2">
        <f t="shared" si="1"/>
        <v>27.62349704745417</v>
      </c>
      <c r="L159"/>
      <c r="M159" s="2">
        <f t="shared" si="3"/>
        <v>22.159093751734833</v>
      </c>
      <c r="O159"/>
    </row>
    <row r="160" spans="2:15" ht="12.75">
      <c r="B160" s="5" t="s">
        <v>387</v>
      </c>
      <c r="C160" s="5" t="s">
        <v>325</v>
      </c>
      <c r="D160" s="5" t="s">
        <v>54</v>
      </c>
      <c r="E160" s="5" t="s">
        <v>14</v>
      </c>
      <c r="G160" s="2">
        <f t="shared" si="2"/>
        <v>10966.41874027033</v>
      </c>
      <c r="H160"/>
      <c r="I160" s="2">
        <f t="shared" si="2"/>
        <v>1668.3319117826247</v>
      </c>
      <c r="J160"/>
      <c r="K160" s="2">
        <f t="shared" si="1"/>
        <v>952.8778428629022</v>
      </c>
      <c r="L160"/>
      <c r="M160" s="2">
        <f t="shared" si="3"/>
        <v>4529.209498305286</v>
      </c>
      <c r="O160"/>
    </row>
    <row r="161" spans="2:15" ht="12.75">
      <c r="B161" s="5" t="s">
        <v>388</v>
      </c>
      <c r="C161" s="5" t="s">
        <v>325</v>
      </c>
      <c r="D161" s="5" t="s">
        <v>54</v>
      </c>
      <c r="E161" s="5" t="s">
        <v>14</v>
      </c>
      <c r="G161" s="2">
        <f t="shared" si="2"/>
        <v>95.82643504904988</v>
      </c>
      <c r="H161"/>
      <c r="I161" s="2">
        <f t="shared" si="2"/>
        <v>2.3438528085780432</v>
      </c>
      <c r="J161"/>
      <c r="K161" s="2">
        <f t="shared" si="1"/>
        <v>0.9893992932862192</v>
      </c>
      <c r="L161"/>
      <c r="M161" s="2">
        <f t="shared" si="3"/>
        <v>33.053229050304715</v>
      </c>
      <c r="O161"/>
    </row>
    <row r="162" spans="2:15" ht="12.75">
      <c r="B162" s="5" t="s">
        <v>109</v>
      </c>
      <c r="C162" s="5" t="s">
        <v>325</v>
      </c>
      <c r="D162" s="5" t="s">
        <v>54</v>
      </c>
      <c r="E162" s="5" t="s">
        <v>14</v>
      </c>
      <c r="G162" s="2">
        <f t="shared" si="2"/>
        <v>97.21021028441523</v>
      </c>
      <c r="H162"/>
      <c r="I162" s="2">
        <f t="shared" si="2"/>
        <v>68.23443401973925</v>
      </c>
      <c r="J162"/>
      <c r="K162" s="2">
        <f t="shared" si="1"/>
        <v>22.477292669623164</v>
      </c>
      <c r="L162"/>
      <c r="M162" s="2">
        <f t="shared" si="3"/>
        <v>62.64064565792588</v>
      </c>
      <c r="O162"/>
    </row>
    <row r="163" spans="2:15" ht="12.75">
      <c r="B163" s="5" t="s">
        <v>108</v>
      </c>
      <c r="C163" s="5" t="s">
        <v>325</v>
      </c>
      <c r="D163" s="5" t="s">
        <v>54</v>
      </c>
      <c r="E163" s="5" t="s">
        <v>14</v>
      </c>
      <c r="G163" s="2">
        <f t="shared" si="2"/>
        <v>51.8915713262003</v>
      </c>
      <c r="H163"/>
      <c r="I163" s="2">
        <f t="shared" si="2"/>
        <v>31.421956866089925</v>
      </c>
      <c r="J163"/>
      <c r="K163" s="2">
        <f t="shared" si="1"/>
        <v>13.114520833827402</v>
      </c>
      <c r="L163"/>
      <c r="M163" s="2">
        <f t="shared" si="3"/>
        <v>32.14268300870587</v>
      </c>
      <c r="O163"/>
    </row>
    <row r="164" spans="2:15" ht="12.75">
      <c r="B164" s="5" t="s">
        <v>389</v>
      </c>
      <c r="C164" s="5" t="s">
        <v>325</v>
      </c>
      <c r="D164" s="5" t="s">
        <v>54</v>
      </c>
      <c r="E164" s="5" t="s">
        <v>14</v>
      </c>
      <c r="G164" s="2">
        <f t="shared" si="2"/>
        <v>37.015987546022885</v>
      </c>
      <c r="H164"/>
      <c r="I164" s="2">
        <f t="shared" si="2"/>
        <v>4.094066041184354</v>
      </c>
      <c r="J164"/>
      <c r="K164" s="2">
        <f t="shared" si="1"/>
        <v>1.789551070742524</v>
      </c>
      <c r="L164"/>
      <c r="M164" s="2">
        <f t="shared" si="3"/>
        <v>14.299868219316588</v>
      </c>
      <c r="O164"/>
    </row>
    <row r="165" spans="2:15" ht="12.75">
      <c r="B165" s="5" t="s">
        <v>110</v>
      </c>
      <c r="C165" s="5" t="s">
        <v>325</v>
      </c>
      <c r="D165" s="5" t="s">
        <v>54</v>
      </c>
      <c r="E165" s="5" t="s">
        <v>14</v>
      </c>
      <c r="F165"/>
      <c r="G165" s="2">
        <f t="shared" si="2"/>
        <v>59.50233512070968</v>
      </c>
      <c r="H165"/>
      <c r="I165" s="2">
        <f t="shared" si="2"/>
        <v>61.41099061776533</v>
      </c>
      <c r="J165"/>
      <c r="K165" s="2">
        <f t="shared" si="1"/>
        <v>16.73346455759243</v>
      </c>
      <c r="L165"/>
      <c r="M165" s="2">
        <f t="shared" si="3"/>
        <v>45.882263432022484</v>
      </c>
      <c r="O165"/>
    </row>
    <row r="166" spans="2:15" ht="12.75">
      <c r="B166" s="5" t="s">
        <v>111</v>
      </c>
      <c r="C166" s="5" t="s">
        <v>325</v>
      </c>
      <c r="D166" s="5" t="s">
        <v>54</v>
      </c>
      <c r="E166" s="5" t="s">
        <v>14</v>
      </c>
      <c r="F166"/>
      <c r="G166" s="2">
        <f t="shared" si="2"/>
        <v>3978.3538016753564</v>
      </c>
      <c r="H166"/>
      <c r="I166" s="2">
        <f t="shared" si="2"/>
        <v>114.63384915316193</v>
      </c>
      <c r="J166"/>
      <c r="K166" s="2">
        <f t="shared" si="1"/>
        <v>41.501648208314556</v>
      </c>
      <c r="L166"/>
      <c r="M166" s="2">
        <f t="shared" si="3"/>
        <v>1378.1630996789443</v>
      </c>
      <c r="O166"/>
    </row>
    <row r="167" spans="2:15" ht="12.75">
      <c r="B167" s="5" t="s">
        <v>357</v>
      </c>
      <c r="C167" s="5" t="s">
        <v>325</v>
      </c>
      <c r="D167" s="5" t="s">
        <v>54</v>
      </c>
      <c r="E167" s="5" t="s">
        <v>14</v>
      </c>
      <c r="G167" s="2">
        <f t="shared" si="2"/>
        <v>2.3351207096790136</v>
      </c>
      <c r="H167"/>
      <c r="I167" s="2">
        <f t="shared" si="2"/>
        <v>2.616790544657</v>
      </c>
      <c r="J167"/>
      <c r="K167" s="2">
        <f t="shared" si="1"/>
        <v>13.479735338060571</v>
      </c>
      <c r="L167"/>
      <c r="M167" s="2">
        <f t="shared" si="3"/>
        <v>6.143882197465529</v>
      </c>
      <c r="O167"/>
    </row>
    <row r="168" spans="2:15" ht="12.75">
      <c r="B168" t="s">
        <v>55</v>
      </c>
      <c r="C168" s="5" t="s">
        <v>325</v>
      </c>
      <c r="D168" s="5" t="s">
        <v>54</v>
      </c>
      <c r="E168" s="5" t="s">
        <v>14</v>
      </c>
      <c r="F168"/>
      <c r="G168" s="2">
        <f>G143+G149</f>
        <v>3999.1104302058366</v>
      </c>
      <c r="H168"/>
      <c r="I168" s="2">
        <f>I143+I149</f>
        <v>2934.7630071889857</v>
      </c>
      <c r="J168"/>
      <c r="K168" s="2">
        <f>K143+K149</f>
        <v>926.6488011952474</v>
      </c>
      <c r="L168" s="2"/>
      <c r="M168" s="2">
        <f>M143+M149</f>
        <v>2620.174079530023</v>
      </c>
      <c r="O168"/>
    </row>
    <row r="169" spans="2:15" ht="12.75">
      <c r="B169" t="s">
        <v>56</v>
      </c>
      <c r="C169" s="5" t="s">
        <v>325</v>
      </c>
      <c r="D169" s="5" t="s">
        <v>54</v>
      </c>
      <c r="E169" s="5" t="s">
        <v>14</v>
      </c>
      <c r="F169"/>
      <c r="G169" s="2">
        <f>G139+G141+G145</f>
        <v>403.4396698707653</v>
      </c>
      <c r="H169"/>
      <c r="I169" s="2">
        <f>I139+I141+I145</f>
        <v>378.6328743755331</v>
      </c>
      <c r="J169"/>
      <c r="K169" s="2">
        <f>K139+K141+K145</f>
        <v>111.55643038394953</v>
      </c>
      <c r="L169" s="2"/>
      <c r="M169" s="2">
        <f>M139+M141+M145</f>
        <v>297.8763248767493</v>
      </c>
      <c r="O169"/>
    </row>
    <row r="170" spans="2:13" ht="12.75">
      <c r="B170" s="5"/>
      <c r="C170" s="5"/>
      <c r="F170"/>
      <c r="G170"/>
      <c r="H170"/>
      <c r="I170"/>
      <c r="J170"/>
      <c r="K170"/>
      <c r="L170"/>
      <c r="M170" s="50"/>
    </row>
    <row r="171" spans="2:13" ht="12.75">
      <c r="B171" s="5" t="s">
        <v>122</v>
      </c>
      <c r="C171" s="5" t="s">
        <v>148</v>
      </c>
      <c r="G171" s="19"/>
      <c r="H171" s="19"/>
      <c r="I171" s="20"/>
      <c r="J171" s="19"/>
      <c r="K171" s="19"/>
      <c r="M171" s="2"/>
    </row>
    <row r="172" spans="2:13" ht="12.75">
      <c r="B172" s="5" t="s">
        <v>123</v>
      </c>
      <c r="C172" s="5"/>
      <c r="D172" s="5" t="s">
        <v>52</v>
      </c>
      <c r="G172">
        <v>256</v>
      </c>
      <c r="H172"/>
      <c r="I172">
        <v>302</v>
      </c>
      <c r="J172"/>
      <c r="K172">
        <v>293</v>
      </c>
      <c r="L172"/>
      <c r="M172"/>
    </row>
    <row r="173" spans="2:13" ht="12.75">
      <c r="B173" s="5" t="s">
        <v>124</v>
      </c>
      <c r="C173" s="5" t="s">
        <v>324</v>
      </c>
      <c r="D173" s="5" t="s">
        <v>52</v>
      </c>
      <c r="G173" s="68">
        <v>0.000266</v>
      </c>
      <c r="H173"/>
      <c r="I173" s="68">
        <v>0.000337</v>
      </c>
      <c r="J173"/>
      <c r="K173" s="68">
        <v>0.000171</v>
      </c>
      <c r="L173"/>
      <c r="M173"/>
    </row>
    <row r="174" spans="2:13" ht="12.75">
      <c r="B174" s="5" t="s">
        <v>51</v>
      </c>
      <c r="C174" s="5" t="s">
        <v>324</v>
      </c>
      <c r="D174" s="5" t="s">
        <v>17</v>
      </c>
      <c r="G174" s="65">
        <f>(G172-G173)/G172*100</f>
        <v>99.99989609375</v>
      </c>
      <c r="H174" s="65"/>
      <c r="I174" s="65">
        <f>(I172-I173)/I172*100</f>
        <v>99.99988841059603</v>
      </c>
      <c r="J174" s="65"/>
      <c r="K174" s="65">
        <f>(K172-K173)/K172*100</f>
        <v>99.99994163822524</v>
      </c>
      <c r="L174" s="5"/>
      <c r="M174" s="66"/>
    </row>
    <row r="175" spans="2:13" ht="12.75">
      <c r="B175" s="5"/>
      <c r="C175" s="5"/>
      <c r="F175"/>
      <c r="G175"/>
      <c r="H175"/>
      <c r="I175"/>
      <c r="J175"/>
      <c r="K175"/>
      <c r="L175"/>
      <c r="M175" s="2"/>
    </row>
    <row r="176" spans="2:13" ht="12.75">
      <c r="B176" s="5" t="s">
        <v>122</v>
      </c>
      <c r="C176" s="5" t="s">
        <v>392</v>
      </c>
      <c r="G176" s="19"/>
      <c r="H176" s="19"/>
      <c r="I176" s="20"/>
      <c r="J176" s="19"/>
      <c r="K176" s="19"/>
      <c r="M176" s="2"/>
    </row>
    <row r="177" spans="2:13" ht="12.75">
      <c r="B177" s="5" t="s">
        <v>123</v>
      </c>
      <c r="C177" s="5"/>
      <c r="D177" s="5" t="s">
        <v>52</v>
      </c>
      <c r="G177">
        <v>285</v>
      </c>
      <c r="H177"/>
      <c r="I177">
        <v>305</v>
      </c>
      <c r="J177"/>
      <c r="K177">
        <v>302</v>
      </c>
      <c r="L177"/>
      <c r="M177"/>
    </row>
    <row r="178" spans="2:13" ht="12.75">
      <c r="B178" s="5" t="s">
        <v>124</v>
      </c>
      <c r="C178" s="5" t="s">
        <v>324</v>
      </c>
      <c r="D178" s="5" t="s">
        <v>52</v>
      </c>
      <c r="G178" s="68">
        <v>0.000368</v>
      </c>
      <c r="H178"/>
      <c r="I178" s="68">
        <v>0.00039</v>
      </c>
      <c r="J178"/>
      <c r="K178" s="68">
        <v>0.000374</v>
      </c>
      <c r="L178"/>
      <c r="M178"/>
    </row>
    <row r="179" spans="2:13" ht="12.75">
      <c r="B179" s="5" t="s">
        <v>51</v>
      </c>
      <c r="C179" s="5" t="s">
        <v>324</v>
      </c>
      <c r="D179" s="5" t="s">
        <v>17</v>
      </c>
      <c r="G179" s="65">
        <f>(G177-G178)/G177*100</f>
        <v>99.99987087719299</v>
      </c>
      <c r="H179" s="65"/>
      <c r="I179" s="65">
        <f>(I177-I178)/I177*100</f>
        <v>99.99987213114755</v>
      </c>
      <c r="J179" s="65"/>
      <c r="K179" s="65">
        <f>(K177-K178)/K177*100</f>
        <v>99.9998761589404</v>
      </c>
      <c r="L179" s="70"/>
      <c r="M179" s="66"/>
    </row>
    <row r="180" spans="2:13" ht="12.75">
      <c r="B180" s="5"/>
      <c r="C180" s="5"/>
      <c r="F180"/>
      <c r="G180" s="50"/>
      <c r="H180"/>
      <c r="I180" s="50"/>
      <c r="J180"/>
      <c r="K180" s="50"/>
      <c r="L180"/>
      <c r="M180" s="2"/>
    </row>
    <row r="181" spans="1:13" ht="12.75">
      <c r="A181" s="13">
        <v>1</v>
      </c>
      <c r="B181" s="17" t="s">
        <v>173</v>
      </c>
      <c r="C181" s="17"/>
      <c r="G181" s="15" t="s">
        <v>209</v>
      </c>
      <c r="H181" s="15"/>
      <c r="I181" s="16" t="s">
        <v>210</v>
      </c>
      <c r="J181" s="15"/>
      <c r="K181" s="15" t="s">
        <v>211</v>
      </c>
      <c r="L181" s="15"/>
      <c r="M181" s="15" t="s">
        <v>46</v>
      </c>
    </row>
    <row r="182" spans="2:12" ht="12.75">
      <c r="B182" s="5"/>
      <c r="C182" s="5"/>
      <c r="D182" s="9"/>
      <c r="E182" s="9"/>
      <c r="F182" s="9"/>
      <c r="G182" s="9"/>
      <c r="H182" s="9"/>
      <c r="I182" s="18"/>
      <c r="J182" s="9"/>
      <c r="K182" s="9"/>
      <c r="L182" s="9"/>
    </row>
    <row r="183" spans="2:13" ht="12.75">
      <c r="B183" s="5" t="s">
        <v>121</v>
      </c>
      <c r="C183" s="5" t="s">
        <v>324</v>
      </c>
      <c r="D183" s="9" t="s">
        <v>15</v>
      </c>
      <c r="E183" s="9" t="s">
        <v>14</v>
      </c>
      <c r="F183"/>
      <c r="G183"/>
      <c r="H183"/>
      <c r="I183"/>
      <c r="J183"/>
      <c r="K183"/>
      <c r="L183"/>
      <c r="M183" s="52">
        <v>1.8</v>
      </c>
    </row>
    <row r="184" spans="2:13" ht="12.75">
      <c r="B184" s="5" t="s">
        <v>62</v>
      </c>
      <c r="C184" s="5" t="s">
        <v>324</v>
      </c>
      <c r="D184" s="5" t="s">
        <v>15</v>
      </c>
      <c r="E184" s="5" t="s">
        <v>14</v>
      </c>
      <c r="F184"/>
      <c r="G184" s="57"/>
      <c r="H184" s="57"/>
      <c r="I184" s="57"/>
      <c r="J184" s="57"/>
      <c r="K184" s="57"/>
      <c r="L184"/>
      <c r="M184" s="57">
        <v>1</v>
      </c>
    </row>
    <row r="185" spans="2:13" ht="12.75">
      <c r="B185" s="5" t="s">
        <v>12</v>
      </c>
      <c r="C185" s="5" t="s">
        <v>324</v>
      </c>
      <c r="D185" s="5" t="s">
        <v>13</v>
      </c>
      <c r="E185" s="5" t="s">
        <v>14</v>
      </c>
      <c r="F185"/>
      <c r="G185">
        <v>0.0035</v>
      </c>
      <c r="H185"/>
      <c r="I185">
        <v>0.0068</v>
      </c>
      <c r="J185"/>
      <c r="K185">
        <v>0.005</v>
      </c>
      <c r="L185"/>
      <c r="M185" s="50">
        <f>AVERAGE(G185,I185,K185)</f>
        <v>0.0051</v>
      </c>
    </row>
    <row r="186" spans="2:13" ht="12.75">
      <c r="B186" s="5" t="s">
        <v>49</v>
      </c>
      <c r="C186" s="5"/>
      <c r="D186" s="5" t="s">
        <v>112</v>
      </c>
      <c r="E186" s="5" t="s">
        <v>99</v>
      </c>
      <c r="F186"/>
      <c r="G186" s="13">
        <v>12.5</v>
      </c>
      <c r="I186" s="13">
        <v>23.2</v>
      </c>
      <c r="K186" s="13">
        <v>14.2</v>
      </c>
      <c r="L186"/>
      <c r="M186" s="50"/>
    </row>
    <row r="187" spans="2:13" ht="12.75">
      <c r="B187" s="5" t="s">
        <v>50</v>
      </c>
      <c r="C187" s="5"/>
      <c r="D187" s="5" t="s">
        <v>112</v>
      </c>
      <c r="E187" s="5" t="s">
        <v>99</v>
      </c>
      <c r="F187"/>
      <c r="G187" s="13">
        <v>2.18</v>
      </c>
      <c r="I187" s="13">
        <v>3.19</v>
      </c>
      <c r="K187" s="13">
        <v>3.27</v>
      </c>
      <c r="L187"/>
      <c r="M187" s="50"/>
    </row>
    <row r="188" spans="2:13" ht="12.75">
      <c r="B188" s="5" t="s">
        <v>49</v>
      </c>
      <c r="C188" s="5" t="s">
        <v>324</v>
      </c>
      <c r="D188" s="5" t="s">
        <v>15</v>
      </c>
      <c r="E188" s="5" t="s">
        <v>14</v>
      </c>
      <c r="F188"/>
      <c r="G188" s="57">
        <f>G186/0.0283/1516*14/(21-G$194)</f>
        <v>0.2934523634250901</v>
      </c>
      <c r="H188"/>
      <c r="I188" s="57">
        <f>I186/0.0283/1516*14/(21-I$194)</f>
        <v>0.5868683296578173</v>
      </c>
      <c r="J188"/>
      <c r="K188" s="57">
        <f>K186/0.0283/1516*14/(21-K$194)</f>
        <v>0.3620101718302768</v>
      </c>
      <c r="L188"/>
      <c r="M188" s="57">
        <f>AVERAGE(G188,I188,K188)</f>
        <v>0.4141102883043948</v>
      </c>
    </row>
    <row r="189" spans="2:13" ht="12.75">
      <c r="B189" s="5" t="s">
        <v>50</v>
      </c>
      <c r="C189" s="5" t="s">
        <v>324</v>
      </c>
      <c r="D189" s="5" t="s">
        <v>15</v>
      </c>
      <c r="E189" s="5" t="s">
        <v>14</v>
      </c>
      <c r="F189"/>
      <c r="G189" s="57">
        <f>G187/0.0283/3000*14/(21-G$194)</f>
        <v>0.025861995915634987</v>
      </c>
      <c r="H189"/>
      <c r="I189" s="57">
        <f>I187/0.0283/3000*14/(21-I$194)</f>
        <v>0.04077756777239069</v>
      </c>
      <c r="J189"/>
      <c r="K189" s="57">
        <f>K187/0.0283/3000*14/(21-K$194)</f>
        <v>0.0421267667844523</v>
      </c>
      <c r="L189"/>
      <c r="M189" s="57">
        <f>AVERAGE(G189,I189,K189)</f>
        <v>0.03625544349082599</v>
      </c>
    </row>
    <row r="190" spans="2:13" ht="12.75">
      <c r="B190" s="5" t="s">
        <v>326</v>
      </c>
      <c r="C190" s="5" t="s">
        <v>324</v>
      </c>
      <c r="D190" s="5" t="s">
        <v>15</v>
      </c>
      <c r="E190" s="5" t="s">
        <v>14</v>
      </c>
      <c r="F190"/>
      <c r="G190" s="57">
        <f>G188+2*G189</f>
        <v>0.3451763552563601</v>
      </c>
      <c r="H190" s="57"/>
      <c r="I190" s="57">
        <f>I188+2*I189</f>
        <v>0.6684234652025987</v>
      </c>
      <c r="J190" s="57"/>
      <c r="K190" s="57">
        <f>K188+2*K189</f>
        <v>0.44626370539918137</v>
      </c>
      <c r="L190"/>
      <c r="M190" s="57">
        <f>AVERAGE(G190,I190,K190)</f>
        <v>0.4866211752860467</v>
      </c>
    </row>
    <row r="191" spans="2:13" ht="12.75">
      <c r="B191" s="5"/>
      <c r="C191" s="5"/>
      <c r="F191"/>
      <c r="G191" s="57"/>
      <c r="H191" s="57"/>
      <c r="I191" s="57"/>
      <c r="J191" s="57"/>
      <c r="K191" s="57"/>
      <c r="L191"/>
      <c r="M191" s="61"/>
    </row>
    <row r="192" spans="2:13" ht="12.75">
      <c r="B192" s="5" t="s">
        <v>84</v>
      </c>
      <c r="C192" s="5" t="s">
        <v>49</v>
      </c>
      <c r="D192" s="5" t="s">
        <v>324</v>
      </c>
      <c r="F192"/>
      <c r="G192" s="57"/>
      <c r="H192" s="57"/>
      <c r="I192" s="57"/>
      <c r="J192" s="57"/>
      <c r="K192" s="57"/>
      <c r="L192"/>
      <c r="M192" s="61"/>
    </row>
    <row r="193" spans="2:13" ht="12.75">
      <c r="B193" s="5" t="s">
        <v>77</v>
      </c>
      <c r="C193" s="5"/>
      <c r="D193" s="5" t="s">
        <v>16</v>
      </c>
      <c r="F193"/>
      <c r="G193" s="58">
        <v>35800</v>
      </c>
      <c r="H193" s="58"/>
      <c r="I193" s="58">
        <v>39400</v>
      </c>
      <c r="J193" s="58"/>
      <c r="K193" s="58">
        <v>37300</v>
      </c>
      <c r="L193"/>
      <c r="M193" s="61"/>
    </row>
    <row r="194" spans="2:13" ht="12.75">
      <c r="B194" s="5" t="s">
        <v>81</v>
      </c>
      <c r="C194" s="5"/>
      <c r="D194" s="5" t="s">
        <v>17</v>
      </c>
      <c r="F194"/>
      <c r="G194" s="57">
        <v>7.1</v>
      </c>
      <c r="H194" s="57"/>
      <c r="I194" s="57">
        <v>8.1</v>
      </c>
      <c r="J194" s="57"/>
      <c r="K194" s="57">
        <v>8.2</v>
      </c>
      <c r="L194"/>
      <c r="M194" s="61"/>
    </row>
    <row r="195" spans="2:13" ht="12.75">
      <c r="B195" s="5" t="s">
        <v>82</v>
      </c>
      <c r="C195" s="5"/>
      <c r="D195" s="5" t="s">
        <v>17</v>
      </c>
      <c r="F195"/>
      <c r="G195" s="57">
        <v>7.8</v>
      </c>
      <c r="H195" s="57"/>
      <c r="I195" s="57">
        <v>8.6</v>
      </c>
      <c r="J195" s="57"/>
      <c r="K195" s="57">
        <v>9.2</v>
      </c>
      <c r="L195"/>
      <c r="M195" s="61"/>
    </row>
    <row r="196" spans="2:13" ht="12.75">
      <c r="B196" s="5" t="s">
        <v>76</v>
      </c>
      <c r="C196" s="5"/>
      <c r="D196" s="5" t="s">
        <v>18</v>
      </c>
      <c r="F196"/>
      <c r="G196">
        <v>110</v>
      </c>
      <c r="H196"/>
      <c r="I196">
        <v>112</v>
      </c>
      <c r="J196"/>
      <c r="K196">
        <v>114</v>
      </c>
      <c r="L196"/>
      <c r="M196" s="2"/>
    </row>
    <row r="197" spans="2:13" ht="12.75">
      <c r="B197" s="5"/>
      <c r="C197" s="5"/>
      <c r="F197"/>
      <c r="G197"/>
      <c r="H197"/>
      <c r="I197"/>
      <c r="J197"/>
      <c r="K197"/>
      <c r="L197"/>
      <c r="M197" s="2"/>
    </row>
    <row r="198" spans="2:13" ht="12.75">
      <c r="B198" s="5" t="s">
        <v>84</v>
      </c>
      <c r="C198" s="5" t="s">
        <v>376</v>
      </c>
      <c r="D198" s="5" t="s">
        <v>325</v>
      </c>
      <c r="F198"/>
      <c r="G198" s="57"/>
      <c r="H198" s="57"/>
      <c r="I198" s="57"/>
      <c r="J198" s="57"/>
      <c r="K198" s="57"/>
      <c r="L198"/>
      <c r="M198" s="61"/>
    </row>
    <row r="199" spans="2:13" ht="12.75">
      <c r="B199" s="5" t="s">
        <v>77</v>
      </c>
      <c r="C199" s="5"/>
      <c r="D199" s="5" t="s">
        <v>16</v>
      </c>
      <c r="F199"/>
      <c r="G199">
        <v>37100</v>
      </c>
      <c r="H199"/>
      <c r="I199">
        <v>39600</v>
      </c>
      <c r="J199"/>
      <c r="K199">
        <v>39700</v>
      </c>
      <c r="L199"/>
      <c r="M199" s="61"/>
    </row>
    <row r="200" spans="2:13" ht="12.75">
      <c r="B200" s="5" t="s">
        <v>81</v>
      </c>
      <c r="C200" s="5"/>
      <c r="D200" s="5" t="s">
        <v>17</v>
      </c>
      <c r="F200"/>
      <c r="G200">
        <v>7.1</v>
      </c>
      <c r="H200"/>
      <c r="I200">
        <v>8.1</v>
      </c>
      <c r="J200"/>
      <c r="K200">
        <v>8.2</v>
      </c>
      <c r="L200"/>
      <c r="M200" s="61"/>
    </row>
    <row r="201" spans="2:13" ht="12.75">
      <c r="B201" s="5" t="s">
        <v>82</v>
      </c>
      <c r="C201" s="5"/>
      <c r="D201" s="5" t="s">
        <v>17</v>
      </c>
      <c r="F201"/>
      <c r="G201">
        <v>7.8</v>
      </c>
      <c r="H201"/>
      <c r="I201">
        <v>9.1</v>
      </c>
      <c r="J201"/>
      <c r="K201">
        <v>9</v>
      </c>
      <c r="L201"/>
      <c r="M201" s="61"/>
    </row>
    <row r="202" spans="2:13" ht="12.75">
      <c r="B202" s="5" t="s">
        <v>76</v>
      </c>
      <c r="C202" s="5"/>
      <c r="D202" s="5" t="s">
        <v>18</v>
      </c>
      <c r="F202"/>
      <c r="G202">
        <v>109</v>
      </c>
      <c r="H202"/>
      <c r="I202">
        <v>112</v>
      </c>
      <c r="J202"/>
      <c r="K202">
        <v>113</v>
      </c>
      <c r="L202"/>
      <c r="M202" s="2"/>
    </row>
    <row r="203" spans="2:13" ht="12.75">
      <c r="B203" s="5"/>
      <c r="C203" s="5"/>
      <c r="F203"/>
      <c r="G203"/>
      <c r="H203"/>
      <c r="I203"/>
      <c r="J203"/>
      <c r="K203"/>
      <c r="L203"/>
      <c r="M203" s="2"/>
    </row>
    <row r="204" spans="2:13" ht="12.75">
      <c r="B204" s="5" t="s">
        <v>377</v>
      </c>
      <c r="C204" s="5"/>
      <c r="D204" s="5" t="s">
        <v>112</v>
      </c>
      <c r="E204" s="5" t="s">
        <v>99</v>
      </c>
      <c r="F204"/>
      <c r="G204">
        <v>127</v>
      </c>
      <c r="H204"/>
      <c r="I204">
        <v>123</v>
      </c>
      <c r="J204"/>
      <c r="K204">
        <v>226</v>
      </c>
      <c r="L204"/>
      <c r="M204"/>
    </row>
    <row r="205" spans="2:13" ht="12.75">
      <c r="B205" s="5" t="s">
        <v>174</v>
      </c>
      <c r="C205"/>
      <c r="D205" s="5" t="s">
        <v>112</v>
      </c>
      <c r="E205" s="5" t="s">
        <v>99</v>
      </c>
      <c r="F205"/>
      <c r="G205">
        <v>0.749</v>
      </c>
      <c r="H205"/>
      <c r="I205">
        <v>2.52</v>
      </c>
      <c r="J205"/>
      <c r="K205">
        <v>1.42</v>
      </c>
      <c r="L205"/>
      <c r="M205"/>
    </row>
    <row r="206" spans="2:13" ht="12.75">
      <c r="B206" s="5" t="s">
        <v>103</v>
      </c>
      <c r="C206"/>
      <c r="D206" s="5" t="s">
        <v>112</v>
      </c>
      <c r="E206" s="5" t="s">
        <v>99</v>
      </c>
      <c r="G206">
        <v>0.61</v>
      </c>
      <c r="H206"/>
      <c r="I206">
        <v>2.43</v>
      </c>
      <c r="J206"/>
      <c r="K206">
        <v>1.31</v>
      </c>
      <c r="L206"/>
      <c r="M206"/>
    </row>
    <row r="207" spans="2:13" ht="12.75">
      <c r="B207" s="5" t="s">
        <v>175</v>
      </c>
      <c r="C207"/>
      <c r="D207" s="5" t="s">
        <v>112</v>
      </c>
      <c r="E207" s="5" t="s">
        <v>99</v>
      </c>
      <c r="G207">
        <v>126</v>
      </c>
      <c r="H207"/>
      <c r="I207">
        <v>122</v>
      </c>
      <c r="J207"/>
      <c r="K207">
        <v>151</v>
      </c>
      <c r="L207"/>
      <c r="M207"/>
    </row>
    <row r="208" spans="2:13" ht="12.75">
      <c r="B208" s="5" t="s">
        <v>79</v>
      </c>
      <c r="C208"/>
      <c r="D208" s="5" t="s">
        <v>112</v>
      </c>
      <c r="E208" s="5" t="s">
        <v>99</v>
      </c>
      <c r="G208">
        <v>0.0623</v>
      </c>
      <c r="H208"/>
      <c r="I208">
        <v>0.118</v>
      </c>
      <c r="J208"/>
      <c r="K208">
        <v>0.109</v>
      </c>
      <c r="L208"/>
      <c r="M208"/>
    </row>
    <row r="209" spans="2:13" ht="12.75">
      <c r="B209" s="5" t="s">
        <v>378</v>
      </c>
      <c r="C209"/>
      <c r="D209" s="5" t="s">
        <v>112</v>
      </c>
      <c r="E209" s="5" t="s">
        <v>99</v>
      </c>
      <c r="G209">
        <v>0.553</v>
      </c>
      <c r="H209"/>
      <c r="I209">
        <v>0.313</v>
      </c>
      <c r="J209"/>
      <c r="K209">
        <v>0.735</v>
      </c>
      <c r="L209"/>
      <c r="M209"/>
    </row>
    <row r="210" spans="2:13" ht="12.75">
      <c r="B210" s="5" t="s">
        <v>104</v>
      </c>
      <c r="C210"/>
      <c r="D210" s="5" t="s">
        <v>112</v>
      </c>
      <c r="E210" s="5" t="s">
        <v>99</v>
      </c>
      <c r="G210">
        <v>1.04</v>
      </c>
      <c r="H210"/>
      <c r="I210">
        <v>2.78</v>
      </c>
      <c r="J210"/>
      <c r="K210">
        <v>1.63</v>
      </c>
      <c r="L210"/>
      <c r="M210"/>
    </row>
    <row r="211" spans="2:13" ht="12.75">
      <c r="B211" s="5" t="s">
        <v>379</v>
      </c>
      <c r="C211"/>
      <c r="D211" s="5" t="s">
        <v>112</v>
      </c>
      <c r="E211" s="5" t="s">
        <v>99</v>
      </c>
      <c r="G211">
        <v>58.8</v>
      </c>
      <c r="H211"/>
      <c r="I211">
        <v>57.2</v>
      </c>
      <c r="J211"/>
      <c r="K211">
        <v>99.5</v>
      </c>
      <c r="L211"/>
      <c r="M211"/>
    </row>
    <row r="212" spans="2:13" ht="12.75">
      <c r="B212" s="5" t="s">
        <v>83</v>
      </c>
      <c r="C212"/>
      <c r="D212" s="5" t="s">
        <v>112</v>
      </c>
      <c r="E212" s="5" t="s">
        <v>99</v>
      </c>
      <c r="F212"/>
      <c r="G212">
        <v>1.4</v>
      </c>
      <c r="H212"/>
      <c r="I212">
        <v>4.14</v>
      </c>
      <c r="J212"/>
      <c r="K212">
        <v>2.46</v>
      </c>
      <c r="L212"/>
      <c r="M212"/>
    </row>
    <row r="213" spans="2:13" ht="12.75">
      <c r="B213" s="5" t="s">
        <v>380</v>
      </c>
      <c r="C213"/>
      <c r="D213" s="5" t="s">
        <v>112</v>
      </c>
      <c r="E213" s="5" t="s">
        <v>99</v>
      </c>
      <c r="F213"/>
      <c r="G213">
        <v>0.0771</v>
      </c>
      <c r="H213"/>
      <c r="I213">
        <v>0.215</v>
      </c>
      <c r="J213"/>
      <c r="K213">
        <v>0.116</v>
      </c>
      <c r="L213"/>
      <c r="M213"/>
    </row>
    <row r="214" spans="2:13" ht="12.75">
      <c r="B214" s="5" t="s">
        <v>381</v>
      </c>
      <c r="C214"/>
      <c r="D214" s="5" t="s">
        <v>112</v>
      </c>
      <c r="E214" s="5" t="s">
        <v>99</v>
      </c>
      <c r="F214"/>
      <c r="G214">
        <v>4.55</v>
      </c>
      <c r="H214"/>
      <c r="I214">
        <v>4.81</v>
      </c>
      <c r="J214"/>
      <c r="K214">
        <v>2.78</v>
      </c>
      <c r="L214"/>
      <c r="M214"/>
    </row>
    <row r="215" spans="2:13" ht="12.75">
      <c r="B215" s="5" t="s">
        <v>382</v>
      </c>
      <c r="C215"/>
      <c r="D215" s="5" t="s">
        <v>112</v>
      </c>
      <c r="E215" s="5" t="s">
        <v>99</v>
      </c>
      <c r="F215"/>
      <c r="G215">
        <v>6.87</v>
      </c>
      <c r="H215"/>
      <c r="I215">
        <v>9.48</v>
      </c>
      <c r="J215"/>
      <c r="K215">
        <v>5.87</v>
      </c>
      <c r="L215"/>
      <c r="M215"/>
    </row>
    <row r="216" spans="2:13" ht="12.75">
      <c r="B216" s="5" t="s">
        <v>78</v>
      </c>
      <c r="C216"/>
      <c r="D216" s="5" t="s">
        <v>112</v>
      </c>
      <c r="E216" s="5" t="s">
        <v>99</v>
      </c>
      <c r="F216"/>
      <c r="G216">
        <v>7.95</v>
      </c>
      <c r="H216"/>
      <c r="I216">
        <v>22.4</v>
      </c>
      <c r="J216"/>
      <c r="K216">
        <v>14.5</v>
      </c>
      <c r="L216"/>
      <c r="M216"/>
    </row>
    <row r="217" spans="2:13" ht="12.75">
      <c r="B217" s="5" t="s">
        <v>383</v>
      </c>
      <c r="C217"/>
      <c r="D217" s="5" t="s">
        <v>112</v>
      </c>
      <c r="E217" s="5" t="s">
        <v>99</v>
      </c>
      <c r="F217"/>
      <c r="G217">
        <v>8.52</v>
      </c>
      <c r="H217"/>
      <c r="I217">
        <v>8.47</v>
      </c>
      <c r="J217"/>
      <c r="K217">
        <v>14.7</v>
      </c>
      <c r="L217"/>
      <c r="M217"/>
    </row>
    <row r="218" spans="2:13" ht="12.75">
      <c r="B218" s="13" t="s">
        <v>390</v>
      </c>
      <c r="C218"/>
      <c r="D218" s="5" t="s">
        <v>112</v>
      </c>
      <c r="E218" s="5" t="s">
        <v>99</v>
      </c>
      <c r="G218">
        <v>0.343</v>
      </c>
      <c r="H218"/>
      <c r="I218">
        <v>0.551</v>
      </c>
      <c r="J218"/>
      <c r="K218">
        <v>0.329</v>
      </c>
      <c r="L218"/>
      <c r="M218"/>
    </row>
    <row r="219" spans="2:13" ht="12.75">
      <c r="B219" s="5" t="s">
        <v>80</v>
      </c>
      <c r="C219"/>
      <c r="D219" s="5" t="s">
        <v>112</v>
      </c>
      <c r="E219" s="5" t="s">
        <v>99</v>
      </c>
      <c r="G219">
        <v>0.413</v>
      </c>
      <c r="H219"/>
      <c r="I219">
        <v>8.01</v>
      </c>
      <c r="J219"/>
      <c r="K219">
        <v>6.84</v>
      </c>
      <c r="L219"/>
      <c r="M219"/>
    </row>
    <row r="220" spans="2:13" ht="12.75">
      <c r="B220" s="5" t="s">
        <v>384</v>
      </c>
      <c r="C220"/>
      <c r="D220" s="5" t="s">
        <v>112</v>
      </c>
      <c r="E220" s="5" t="s">
        <v>99</v>
      </c>
      <c r="G220">
        <v>0.656</v>
      </c>
      <c r="H220"/>
      <c r="I220">
        <v>11.1</v>
      </c>
      <c r="J220"/>
      <c r="K220">
        <v>2.92</v>
      </c>
      <c r="L220"/>
      <c r="M220"/>
    </row>
    <row r="221" spans="2:13" ht="12.75">
      <c r="B221" s="5" t="s">
        <v>105</v>
      </c>
      <c r="C221"/>
      <c r="D221" s="5" t="s">
        <v>112</v>
      </c>
      <c r="E221" s="5" t="s">
        <v>99</v>
      </c>
      <c r="G221">
        <v>2.38</v>
      </c>
      <c r="H221"/>
      <c r="I221">
        <v>4.18</v>
      </c>
      <c r="J221"/>
      <c r="K221">
        <v>1.82</v>
      </c>
      <c r="L221"/>
      <c r="M221"/>
    </row>
    <row r="222" spans="2:13" ht="12.75">
      <c r="B222" s="5" t="s">
        <v>106</v>
      </c>
      <c r="C222"/>
      <c r="D222" s="5" t="s">
        <v>112</v>
      </c>
      <c r="E222" s="5" t="s">
        <v>99</v>
      </c>
      <c r="G222">
        <v>2.19</v>
      </c>
      <c r="H222"/>
      <c r="I222">
        <v>4.02</v>
      </c>
      <c r="J222"/>
      <c r="K222">
        <v>4.42</v>
      </c>
      <c r="L222"/>
      <c r="M222"/>
    </row>
    <row r="223" spans="2:13" ht="12.75">
      <c r="B223" s="5" t="s">
        <v>385</v>
      </c>
      <c r="C223"/>
      <c r="D223" s="5" t="s">
        <v>112</v>
      </c>
      <c r="E223" s="5" t="s">
        <v>99</v>
      </c>
      <c r="G223">
        <v>111</v>
      </c>
      <c r="H223"/>
      <c r="I223">
        <v>114</v>
      </c>
      <c r="J223"/>
      <c r="K223">
        <v>210</v>
      </c>
      <c r="L223"/>
      <c r="M223"/>
    </row>
    <row r="224" spans="2:13" ht="12.75">
      <c r="B224" s="5" t="s">
        <v>107</v>
      </c>
      <c r="C224"/>
      <c r="D224" s="5" t="s">
        <v>112</v>
      </c>
      <c r="E224" s="5" t="s">
        <v>99</v>
      </c>
      <c r="G224">
        <v>0.937</v>
      </c>
      <c r="H224"/>
      <c r="I224">
        <v>3.12</v>
      </c>
      <c r="J224"/>
      <c r="K224">
        <v>1.61</v>
      </c>
      <c r="L224"/>
      <c r="M224"/>
    </row>
    <row r="225" spans="2:13" ht="12.75">
      <c r="B225" s="5" t="s">
        <v>386</v>
      </c>
      <c r="C225"/>
      <c r="D225" s="5" t="s">
        <v>112</v>
      </c>
      <c r="E225" s="5" t="s">
        <v>99</v>
      </c>
      <c r="G225">
        <v>2.1</v>
      </c>
      <c r="H225"/>
      <c r="I225">
        <v>1.14</v>
      </c>
      <c r="J225"/>
      <c r="K225">
        <v>1.95</v>
      </c>
      <c r="L225"/>
      <c r="M225"/>
    </row>
    <row r="226" spans="2:13" ht="12.75">
      <c r="B226" s="5" t="s">
        <v>102</v>
      </c>
      <c r="C226"/>
      <c r="D226" s="5" t="s">
        <v>112</v>
      </c>
      <c r="E226" s="5" t="s">
        <v>99</v>
      </c>
      <c r="G226">
        <v>0.233</v>
      </c>
      <c r="H226"/>
      <c r="I226">
        <v>0.548</v>
      </c>
      <c r="J226"/>
      <c r="K226">
        <v>0.577</v>
      </c>
      <c r="L226"/>
      <c r="M226"/>
    </row>
    <row r="227" spans="2:13" ht="12.75">
      <c r="B227" s="5" t="s">
        <v>387</v>
      </c>
      <c r="C227"/>
      <c r="D227" s="5" t="s">
        <v>112</v>
      </c>
      <c r="E227" s="5" t="s">
        <v>99</v>
      </c>
      <c r="G227">
        <v>290</v>
      </c>
      <c r="H227"/>
      <c r="I227">
        <v>294</v>
      </c>
      <c r="J227"/>
      <c r="K227">
        <v>485</v>
      </c>
      <c r="L227"/>
      <c r="M227"/>
    </row>
    <row r="228" spans="2:13" ht="12.75">
      <c r="B228" s="5" t="s">
        <v>388</v>
      </c>
      <c r="C228"/>
      <c r="D228" s="5" t="s">
        <v>112</v>
      </c>
      <c r="E228" s="5" t="s">
        <v>99</v>
      </c>
      <c r="G228">
        <v>3.26</v>
      </c>
      <c r="H228"/>
      <c r="I228">
        <v>3.08</v>
      </c>
      <c r="J228"/>
      <c r="K228">
        <v>5.65</v>
      </c>
      <c r="L228"/>
      <c r="M228"/>
    </row>
    <row r="229" spans="2:13" ht="12.75">
      <c r="B229" s="5" t="s">
        <v>109</v>
      </c>
      <c r="C229"/>
      <c r="D229" s="5" t="s">
        <v>112</v>
      </c>
      <c r="E229" s="5" t="s">
        <v>99</v>
      </c>
      <c r="G229">
        <v>0.744</v>
      </c>
      <c r="H229"/>
      <c r="I229">
        <v>1.82</v>
      </c>
      <c r="J229"/>
      <c r="K229">
        <v>1.14</v>
      </c>
      <c r="L229"/>
      <c r="M229"/>
    </row>
    <row r="230" spans="2:13" ht="12.75">
      <c r="B230" s="5" t="s">
        <v>108</v>
      </c>
      <c r="C230"/>
      <c r="D230" s="5" t="s">
        <v>112</v>
      </c>
      <c r="E230" s="5" t="s">
        <v>99</v>
      </c>
      <c r="G230">
        <v>0.265</v>
      </c>
      <c r="H230"/>
      <c r="I230">
        <v>0.342</v>
      </c>
      <c r="J230"/>
      <c r="K230">
        <v>0.354</v>
      </c>
      <c r="L230"/>
      <c r="M230"/>
    </row>
    <row r="231" spans="2:13" ht="12.75">
      <c r="B231" s="5" t="s">
        <v>389</v>
      </c>
      <c r="C231"/>
      <c r="D231" s="5" t="s">
        <v>112</v>
      </c>
      <c r="E231" s="5" t="s">
        <v>99</v>
      </c>
      <c r="F231"/>
      <c r="G231">
        <v>0.406</v>
      </c>
      <c r="H231"/>
      <c r="I231">
        <v>0.344</v>
      </c>
      <c r="J231"/>
      <c r="K231">
        <v>0.622</v>
      </c>
      <c r="L231"/>
      <c r="M231"/>
    </row>
    <row r="232" spans="2:13" ht="12.75">
      <c r="B232" s="5" t="s">
        <v>110</v>
      </c>
      <c r="C232"/>
      <c r="D232" s="5" t="s">
        <v>112</v>
      </c>
      <c r="E232" s="5" t="s">
        <v>99</v>
      </c>
      <c r="F232"/>
      <c r="G232">
        <v>0.199</v>
      </c>
      <c r="H232"/>
      <c r="I232">
        <v>0.98</v>
      </c>
      <c r="J232"/>
      <c r="K232">
        <v>0.361</v>
      </c>
      <c r="L232"/>
      <c r="M232"/>
    </row>
    <row r="233" spans="2:13" ht="12.75">
      <c r="B233" s="5" t="s">
        <v>111</v>
      </c>
      <c r="C233" s="5"/>
      <c r="D233" s="5" t="s">
        <v>112</v>
      </c>
      <c r="E233" s="5" t="s">
        <v>99</v>
      </c>
      <c r="F233"/>
      <c r="G233">
        <v>124</v>
      </c>
      <c r="H233"/>
      <c r="I233">
        <v>118</v>
      </c>
      <c r="J233"/>
      <c r="K233">
        <v>192</v>
      </c>
      <c r="L233"/>
      <c r="M233"/>
    </row>
    <row r="234" spans="2:13" ht="12.75">
      <c r="B234" s="5" t="s">
        <v>357</v>
      </c>
      <c r="C234" s="5"/>
      <c r="D234" s="5" t="s">
        <v>112</v>
      </c>
      <c r="E234" s="5" t="s">
        <v>99</v>
      </c>
      <c r="F234"/>
      <c r="G234">
        <v>0.0312</v>
      </c>
      <c r="H234"/>
      <c r="I234">
        <v>0.177</v>
      </c>
      <c r="J234"/>
      <c r="K234">
        <v>0.154</v>
      </c>
      <c r="L234"/>
      <c r="M234"/>
    </row>
    <row r="235" spans="2:13" ht="12.75">
      <c r="B235" s="5"/>
      <c r="C235" s="5"/>
      <c r="F235"/>
      <c r="G235"/>
      <c r="H235"/>
      <c r="I235"/>
      <c r="J235"/>
      <c r="K235"/>
      <c r="L235"/>
      <c r="M235" s="2"/>
    </row>
    <row r="236" spans="2:13" ht="12.75">
      <c r="B236" s="5" t="s">
        <v>377</v>
      </c>
      <c r="C236" s="5" t="s">
        <v>325</v>
      </c>
      <c r="D236" s="5" t="s">
        <v>54</v>
      </c>
      <c r="E236" s="5" t="s">
        <v>14</v>
      </c>
      <c r="F236"/>
      <c r="G236" s="2">
        <f>G204/0.0283*14/(21-G$200)</f>
        <v>4519.917634796757</v>
      </c>
      <c r="H236"/>
      <c r="I236" s="2">
        <f>I204/0.0283*14/(21-I$200)</f>
        <v>4716.903607527323</v>
      </c>
      <c r="J236"/>
      <c r="K236" s="2">
        <f aca="true" t="shared" si="4" ref="K236:K266">K204/0.0283*14/(21-K$200)</f>
        <v>8734.540636042402</v>
      </c>
      <c r="L236"/>
      <c r="M236" s="2">
        <f>AVERAGE(G236,I236,K236)</f>
        <v>5990.453959455494</v>
      </c>
    </row>
    <row r="237" spans="2:15" ht="12.75">
      <c r="B237" s="5" t="s">
        <v>174</v>
      </c>
      <c r="C237" s="5" t="s">
        <v>325</v>
      </c>
      <c r="D237" s="5" t="s">
        <v>54</v>
      </c>
      <c r="E237" s="5" t="s">
        <v>14</v>
      </c>
      <c r="F237"/>
      <c r="G237" s="2">
        <f aca="true" t="shared" si="5" ref="G237:I266">G205/0.0283*14/(21-G$200)</f>
        <v>26.65683707451</v>
      </c>
      <c r="H237"/>
      <c r="I237" s="2">
        <f t="shared" si="5"/>
        <v>96.63900073958419</v>
      </c>
      <c r="J237"/>
      <c r="K237" s="2">
        <f t="shared" si="4"/>
        <v>54.88074204946996</v>
      </c>
      <c r="L237"/>
      <c r="M237" s="2">
        <f aca="true" t="shared" si="6" ref="M237:M266">AVERAGE(G237,I237,K237)</f>
        <v>59.39219328785472</v>
      </c>
      <c r="O237"/>
    </row>
    <row r="238" spans="2:15" ht="12.75">
      <c r="B238" s="5" t="s">
        <v>103</v>
      </c>
      <c r="C238" s="5" t="s">
        <v>325</v>
      </c>
      <c r="D238" s="5" t="s">
        <v>54</v>
      </c>
      <c r="E238" s="5" t="s">
        <v>14</v>
      </c>
      <c r="G238" s="2">
        <f t="shared" si="5"/>
        <v>21.709840608078906</v>
      </c>
      <c r="H238"/>
      <c r="I238" s="2">
        <f t="shared" si="5"/>
        <v>93.18760785602763</v>
      </c>
      <c r="J238"/>
      <c r="K238" s="2">
        <f t="shared" si="4"/>
        <v>50.62941696113074</v>
      </c>
      <c r="L238"/>
      <c r="M238" s="2">
        <f t="shared" si="6"/>
        <v>55.17562180841242</v>
      </c>
      <c r="O238"/>
    </row>
    <row r="239" spans="2:15" ht="12.75">
      <c r="B239" s="5" t="s">
        <v>175</v>
      </c>
      <c r="C239" s="5" t="s">
        <v>325</v>
      </c>
      <c r="D239" s="5" t="s">
        <v>54</v>
      </c>
      <c r="E239" s="5" t="s">
        <v>14</v>
      </c>
      <c r="G239" s="2">
        <f t="shared" si="5"/>
        <v>4484.327732160562</v>
      </c>
      <c r="H239"/>
      <c r="I239" s="2">
        <f t="shared" si="5"/>
        <v>4678.554797710028</v>
      </c>
      <c r="J239"/>
      <c r="K239" s="2">
        <f t="shared" si="4"/>
        <v>5835.909893992933</v>
      </c>
      <c r="L239"/>
      <c r="M239" s="2">
        <f t="shared" si="6"/>
        <v>4999.597474621173</v>
      </c>
      <c r="O239"/>
    </row>
    <row r="240" spans="2:15" ht="12.75">
      <c r="B240" s="5" t="s">
        <v>79</v>
      </c>
      <c r="C240" s="5" t="s">
        <v>325</v>
      </c>
      <c r="D240" s="5" t="s">
        <v>54</v>
      </c>
      <c r="E240" s="5" t="s">
        <v>14</v>
      </c>
      <c r="G240" s="2">
        <f t="shared" si="5"/>
        <v>2.2172509342349445</v>
      </c>
      <c r="H240"/>
      <c r="I240" s="2">
        <f t="shared" si="5"/>
        <v>4.525159558440847</v>
      </c>
      <c r="J240"/>
      <c r="K240" s="2">
        <f t="shared" si="4"/>
        <v>4.21267667844523</v>
      </c>
      <c r="L240"/>
      <c r="M240" s="2">
        <f t="shared" si="6"/>
        <v>3.6516957237070073</v>
      </c>
      <c r="O240"/>
    </row>
    <row r="241" spans="2:15" ht="12.75">
      <c r="B241" s="5" t="s">
        <v>378</v>
      </c>
      <c r="C241" s="5" t="s">
        <v>325</v>
      </c>
      <c r="D241" s="5" t="s">
        <v>54</v>
      </c>
      <c r="E241" s="5" t="s">
        <v>14</v>
      </c>
      <c r="G241" s="2">
        <f t="shared" si="5"/>
        <v>19.6812161578158</v>
      </c>
      <c r="H241"/>
      <c r="I241" s="2">
        <f t="shared" si="5"/>
        <v>12.003177472813432</v>
      </c>
      <c r="J241"/>
      <c r="K241" s="2">
        <f t="shared" si="4"/>
        <v>28.406581272084804</v>
      </c>
      <c r="L241"/>
      <c r="M241" s="2">
        <f t="shared" si="6"/>
        <v>20.030324967571346</v>
      </c>
      <c r="O241"/>
    </row>
    <row r="242" spans="2:15" ht="12.75">
      <c r="B242" s="5" t="s">
        <v>104</v>
      </c>
      <c r="C242" s="5" t="s">
        <v>325</v>
      </c>
      <c r="D242" s="5" t="s">
        <v>54</v>
      </c>
      <c r="E242" s="5" t="s">
        <v>14</v>
      </c>
      <c r="G242" s="2">
        <f t="shared" si="5"/>
        <v>37.01349874164273</v>
      </c>
      <c r="H242"/>
      <c r="I242" s="2">
        <f t="shared" si="5"/>
        <v>106.60969129208098</v>
      </c>
      <c r="J242"/>
      <c r="K242" s="2">
        <f t="shared" si="4"/>
        <v>62.99690812720848</v>
      </c>
      <c r="L242"/>
      <c r="M242" s="2">
        <f t="shared" si="6"/>
        <v>68.87336605364406</v>
      </c>
      <c r="O242"/>
    </row>
    <row r="243" spans="2:15" ht="12.75">
      <c r="B243" s="5" t="s">
        <v>379</v>
      </c>
      <c r="C243" s="5" t="s">
        <v>325</v>
      </c>
      <c r="D243" s="5" t="s">
        <v>54</v>
      </c>
      <c r="E243" s="5" t="s">
        <v>14</v>
      </c>
      <c r="G243" s="2">
        <f t="shared" si="5"/>
        <v>2092.686275008262</v>
      </c>
      <c r="H243"/>
      <c r="I243" s="2">
        <f t="shared" si="5"/>
        <v>2193.5519215492923</v>
      </c>
      <c r="J243"/>
      <c r="K243" s="2">
        <f t="shared" si="4"/>
        <v>3845.5167844522966</v>
      </c>
      <c r="L243"/>
      <c r="M243" s="2">
        <f t="shared" si="6"/>
        <v>2710.58499366995</v>
      </c>
      <c r="O243"/>
    </row>
    <row r="244" spans="2:15" ht="12.75">
      <c r="B244" s="5" t="s">
        <v>83</v>
      </c>
      <c r="C244" s="5" t="s">
        <v>325</v>
      </c>
      <c r="D244" s="5" t="s">
        <v>54</v>
      </c>
      <c r="E244" s="5" t="s">
        <v>14</v>
      </c>
      <c r="F244"/>
      <c r="G244" s="2">
        <f t="shared" si="5"/>
        <v>49.8258636906729</v>
      </c>
      <c r="H244"/>
      <c r="I244" s="2">
        <f t="shared" si="5"/>
        <v>158.76407264360256</v>
      </c>
      <c r="J244"/>
      <c r="K244" s="2">
        <f t="shared" si="4"/>
        <v>95.07508833922262</v>
      </c>
      <c r="L244"/>
      <c r="M244" s="2">
        <f t="shared" si="6"/>
        <v>101.22167489116602</v>
      </c>
      <c r="O244"/>
    </row>
    <row r="245" spans="2:15" ht="12.75">
      <c r="B245" s="5" t="s">
        <v>380</v>
      </c>
      <c r="C245" s="5" t="s">
        <v>325</v>
      </c>
      <c r="D245" s="5" t="s">
        <v>54</v>
      </c>
      <c r="E245" s="5" t="s">
        <v>14</v>
      </c>
      <c r="F245"/>
      <c r="G245" s="2">
        <f t="shared" si="5"/>
        <v>2.743981493250629</v>
      </c>
      <c r="H245"/>
      <c r="I245" s="2">
        <f t="shared" si="5"/>
        <v>8.244994110718492</v>
      </c>
      <c r="J245"/>
      <c r="K245" s="2">
        <f t="shared" si="4"/>
        <v>4.483215547703181</v>
      </c>
      <c r="L245"/>
      <c r="M245" s="2">
        <f t="shared" si="6"/>
        <v>5.157397050557434</v>
      </c>
      <c r="O245"/>
    </row>
    <row r="246" spans="2:15" ht="12.75">
      <c r="B246" s="5" t="s">
        <v>381</v>
      </c>
      <c r="C246" s="5" t="s">
        <v>325</v>
      </c>
      <c r="D246" s="5" t="s">
        <v>54</v>
      </c>
      <c r="E246" s="5" t="s">
        <v>14</v>
      </c>
      <c r="F246"/>
      <c r="G246" s="2">
        <f t="shared" si="5"/>
        <v>161.93405699468693</v>
      </c>
      <c r="H246"/>
      <c r="I246" s="2">
        <f t="shared" si="5"/>
        <v>184.45777522119045</v>
      </c>
      <c r="J246"/>
      <c r="K246" s="2">
        <f t="shared" si="4"/>
        <v>107.44257950530036</v>
      </c>
      <c r="L246"/>
      <c r="M246" s="2">
        <f t="shared" si="6"/>
        <v>151.27813724039257</v>
      </c>
      <c r="O246"/>
    </row>
    <row r="247" spans="2:15" ht="12.75">
      <c r="B247" s="5" t="s">
        <v>382</v>
      </c>
      <c r="C247" s="5" t="s">
        <v>325</v>
      </c>
      <c r="D247" s="5" t="s">
        <v>54</v>
      </c>
      <c r="E247" s="5" t="s">
        <v>14</v>
      </c>
      <c r="F247"/>
      <c r="G247" s="2">
        <f t="shared" si="5"/>
        <v>244.5026311106592</v>
      </c>
      <c r="H247"/>
      <c r="I247" s="2">
        <f t="shared" si="5"/>
        <v>363.5467170679596</v>
      </c>
      <c r="J247"/>
      <c r="K247" s="2">
        <f t="shared" si="4"/>
        <v>226.8661660777385</v>
      </c>
      <c r="L247"/>
      <c r="M247" s="2">
        <f t="shared" si="6"/>
        <v>278.3051714187858</v>
      </c>
      <c r="O247"/>
    </row>
    <row r="248" spans="2:15" ht="12.75">
      <c r="B248" s="5" t="s">
        <v>78</v>
      </c>
      <c r="C248" s="5" t="s">
        <v>325</v>
      </c>
      <c r="D248" s="5" t="s">
        <v>54</v>
      </c>
      <c r="E248" s="5" t="s">
        <v>14</v>
      </c>
      <c r="F248"/>
      <c r="G248" s="2">
        <f t="shared" si="5"/>
        <v>282.9397259577498</v>
      </c>
      <c r="H248"/>
      <c r="I248" s="2">
        <f t="shared" si="5"/>
        <v>859.0133399074149</v>
      </c>
      <c r="J248"/>
      <c r="K248" s="2">
        <f t="shared" si="4"/>
        <v>560.4019434628975</v>
      </c>
      <c r="L248"/>
      <c r="M248" s="2">
        <f t="shared" si="6"/>
        <v>567.4516697760208</v>
      </c>
      <c r="O248"/>
    </row>
    <row r="249" spans="2:15" ht="12.75">
      <c r="B249" s="5" t="s">
        <v>383</v>
      </c>
      <c r="C249" s="5" t="s">
        <v>325</v>
      </c>
      <c r="D249" s="5" t="s">
        <v>54</v>
      </c>
      <c r="E249" s="5" t="s">
        <v>14</v>
      </c>
      <c r="F249"/>
      <c r="G249" s="2">
        <f t="shared" si="5"/>
        <v>303.2259704603808</v>
      </c>
      <c r="H249"/>
      <c r="I249" s="2">
        <f t="shared" si="5"/>
        <v>324.8144191524913</v>
      </c>
      <c r="J249"/>
      <c r="K249" s="2">
        <f t="shared" si="4"/>
        <v>568.1316254416961</v>
      </c>
      <c r="L249"/>
      <c r="M249" s="2">
        <f t="shared" si="6"/>
        <v>398.7240050181894</v>
      </c>
      <c r="O249"/>
    </row>
    <row r="250" spans="2:15" ht="12.75">
      <c r="B250" s="5" t="s">
        <v>390</v>
      </c>
      <c r="C250" s="5" t="s">
        <v>325</v>
      </c>
      <c r="D250" s="5" t="s">
        <v>54</v>
      </c>
      <c r="E250" s="5" t="s">
        <v>14</v>
      </c>
      <c r="F250"/>
      <c r="G250" s="2">
        <f t="shared" si="5"/>
        <v>12.207336604214861</v>
      </c>
      <c r="H250"/>
      <c r="I250" s="2">
        <f t="shared" si="5"/>
        <v>21.13019420932972</v>
      </c>
      <c r="J250"/>
      <c r="K250" s="2">
        <f t="shared" si="4"/>
        <v>12.715326855123676</v>
      </c>
      <c r="L250"/>
      <c r="M250" s="2">
        <f t="shared" si="6"/>
        <v>15.350952556222753</v>
      </c>
      <c r="O250"/>
    </row>
    <row r="251" spans="2:15" ht="12.75">
      <c r="B251" s="5" t="s">
        <v>80</v>
      </c>
      <c r="C251" s="5" t="s">
        <v>325</v>
      </c>
      <c r="D251" s="5" t="s">
        <v>54</v>
      </c>
      <c r="E251" s="5" t="s">
        <v>14</v>
      </c>
      <c r="G251" s="2">
        <f t="shared" si="5"/>
        <v>14.698629788748507</v>
      </c>
      <c r="H251"/>
      <c r="I251" s="2">
        <f t="shared" si="5"/>
        <v>307.17396663653545</v>
      </c>
      <c r="J251"/>
      <c r="K251" s="2">
        <f t="shared" si="4"/>
        <v>264.3551236749117</v>
      </c>
      <c r="L251"/>
      <c r="M251" s="2">
        <f t="shared" si="6"/>
        <v>195.40924003339856</v>
      </c>
      <c r="O251"/>
    </row>
    <row r="252" spans="2:15" ht="12.75">
      <c r="B252" s="5" t="s">
        <v>384</v>
      </c>
      <c r="C252" s="5" t="s">
        <v>325</v>
      </c>
      <c r="D252" s="5" t="s">
        <v>54</v>
      </c>
      <c r="E252" s="5" t="s">
        <v>14</v>
      </c>
      <c r="G252" s="2">
        <f t="shared" si="5"/>
        <v>23.346976129343876</v>
      </c>
      <c r="H252"/>
      <c r="I252" s="2">
        <f t="shared" si="5"/>
        <v>425.67178897197795</v>
      </c>
      <c r="J252"/>
      <c r="K252" s="2">
        <f t="shared" si="4"/>
        <v>112.85335689045937</v>
      </c>
      <c r="L252"/>
      <c r="M252" s="2">
        <f t="shared" si="6"/>
        <v>187.29070733059373</v>
      </c>
      <c r="O252"/>
    </row>
    <row r="253" spans="2:15" ht="12.75">
      <c r="B253" s="5" t="s">
        <v>105</v>
      </c>
      <c r="C253" s="5" t="s">
        <v>325</v>
      </c>
      <c r="D253" s="5" t="s">
        <v>54</v>
      </c>
      <c r="E253" s="5" t="s">
        <v>14</v>
      </c>
      <c r="G253" s="2">
        <f t="shared" si="5"/>
        <v>84.70396827414393</v>
      </c>
      <c r="H253"/>
      <c r="I253" s="2">
        <f t="shared" si="5"/>
        <v>160.2980250362944</v>
      </c>
      <c r="J253"/>
      <c r="K253" s="2">
        <f t="shared" si="4"/>
        <v>70.34010600706713</v>
      </c>
      <c r="L253"/>
      <c r="M253" s="2">
        <f t="shared" si="6"/>
        <v>105.11403310583516</v>
      </c>
      <c r="O253"/>
    </row>
    <row r="254" spans="2:15" ht="12.75">
      <c r="B254" s="5" t="s">
        <v>106</v>
      </c>
      <c r="C254" s="5" t="s">
        <v>325</v>
      </c>
      <c r="D254" s="5" t="s">
        <v>54</v>
      </c>
      <c r="E254" s="5" t="s">
        <v>14</v>
      </c>
      <c r="G254" s="2">
        <f t="shared" si="5"/>
        <v>77.9418867732669</v>
      </c>
      <c r="H254"/>
      <c r="I254" s="2">
        <f t="shared" si="5"/>
        <v>154.16221546552714</v>
      </c>
      <c r="J254"/>
      <c r="K254" s="2">
        <f t="shared" si="4"/>
        <v>170.82597173144876</v>
      </c>
      <c r="L254"/>
      <c r="M254" s="2">
        <f t="shared" si="6"/>
        <v>134.3100246567476</v>
      </c>
      <c r="O254"/>
    </row>
    <row r="255" spans="2:15" ht="12.75">
      <c r="B255" s="5" t="s">
        <v>385</v>
      </c>
      <c r="C255" s="5" t="s">
        <v>325</v>
      </c>
      <c r="D255" s="5" t="s">
        <v>54</v>
      </c>
      <c r="E255" s="5" t="s">
        <v>14</v>
      </c>
      <c r="G255" s="2">
        <f t="shared" si="5"/>
        <v>3950.479192617637</v>
      </c>
      <c r="H255"/>
      <c r="I255" s="2">
        <f t="shared" si="5"/>
        <v>4371.764319171666</v>
      </c>
      <c r="J255"/>
      <c r="K255" s="2">
        <f t="shared" si="4"/>
        <v>8116.166077738515</v>
      </c>
      <c r="L255"/>
      <c r="M255" s="2">
        <f t="shared" si="6"/>
        <v>5479.469863175939</v>
      </c>
      <c r="O255"/>
    </row>
    <row r="256" spans="2:15" ht="12.75">
      <c r="B256" s="5" t="s">
        <v>107</v>
      </c>
      <c r="C256" s="5" t="s">
        <v>325</v>
      </c>
      <c r="D256" s="5" t="s">
        <v>54</v>
      </c>
      <c r="E256" s="5" t="s">
        <v>14</v>
      </c>
      <c r="G256" s="2">
        <f t="shared" si="5"/>
        <v>33.34773877011465</v>
      </c>
      <c r="H256"/>
      <c r="I256" s="2">
        <f t="shared" si="5"/>
        <v>119.64828662996138</v>
      </c>
      <c r="J256"/>
      <c r="K256" s="2">
        <f t="shared" si="4"/>
        <v>62.22393992932863</v>
      </c>
      <c r="L256"/>
      <c r="M256" s="2">
        <f t="shared" si="6"/>
        <v>71.73998844313489</v>
      </c>
      <c r="O256"/>
    </row>
    <row r="257" spans="2:15" ht="12.75">
      <c r="B257" s="5" t="s">
        <v>386</v>
      </c>
      <c r="C257" s="5" t="s">
        <v>325</v>
      </c>
      <c r="D257" s="5" t="s">
        <v>54</v>
      </c>
      <c r="E257" s="5" t="s">
        <v>14</v>
      </c>
      <c r="G257" s="2">
        <f t="shared" si="5"/>
        <v>74.73879553600935</v>
      </c>
      <c r="H257"/>
      <c r="I257" s="2">
        <f t="shared" si="5"/>
        <v>43.71764319171665</v>
      </c>
      <c r="J257"/>
      <c r="K257" s="2">
        <f t="shared" si="4"/>
        <v>75.36439929328623</v>
      </c>
      <c r="L257"/>
      <c r="M257" s="2">
        <f t="shared" si="6"/>
        <v>64.60694600700407</v>
      </c>
      <c r="O257"/>
    </row>
    <row r="258" spans="2:15" ht="12.75">
      <c r="B258" s="5" t="s">
        <v>102</v>
      </c>
      <c r="C258" s="5" t="s">
        <v>325</v>
      </c>
      <c r="D258" s="5" t="s">
        <v>54</v>
      </c>
      <c r="E258" s="5" t="s">
        <v>14</v>
      </c>
      <c r="G258" s="2">
        <f t="shared" si="5"/>
        <v>8.29244731423342</v>
      </c>
      <c r="H258"/>
      <c r="I258" s="2">
        <f t="shared" si="5"/>
        <v>21.015147779877836</v>
      </c>
      <c r="J258"/>
      <c r="K258" s="2">
        <f t="shared" si="4"/>
        <v>22.300132508833922</v>
      </c>
      <c r="L258"/>
      <c r="M258" s="2">
        <f t="shared" si="6"/>
        <v>17.20257586764839</v>
      </c>
      <c r="O258"/>
    </row>
    <row r="259" spans="2:15" ht="12.75">
      <c r="B259" s="5" t="s">
        <v>387</v>
      </c>
      <c r="C259" s="5" t="s">
        <v>325</v>
      </c>
      <c r="D259" s="5" t="s">
        <v>54</v>
      </c>
      <c r="E259" s="5" t="s">
        <v>14</v>
      </c>
      <c r="G259" s="2">
        <f t="shared" si="5"/>
        <v>10321.071764496532</v>
      </c>
      <c r="H259"/>
      <c r="I259" s="2">
        <f t="shared" si="5"/>
        <v>11274.550086284824</v>
      </c>
      <c r="J259"/>
      <c r="K259" s="2">
        <f t="shared" si="4"/>
        <v>18744.47879858657</v>
      </c>
      <c r="L259"/>
      <c r="M259" s="2">
        <f t="shared" si="6"/>
        <v>13446.700216455974</v>
      </c>
      <c r="O259"/>
    </row>
    <row r="260" spans="2:15" ht="12.75">
      <c r="B260" s="5" t="s">
        <v>388</v>
      </c>
      <c r="C260" s="5" t="s">
        <v>325</v>
      </c>
      <c r="D260" s="5" t="s">
        <v>54</v>
      </c>
      <c r="E260" s="5" t="s">
        <v>14</v>
      </c>
      <c r="G260" s="2">
        <f t="shared" si="5"/>
        <v>116.02308259399547</v>
      </c>
      <c r="H260"/>
      <c r="I260" s="2">
        <f t="shared" si="5"/>
        <v>118.11433423726957</v>
      </c>
      <c r="J260"/>
      <c r="K260" s="2">
        <f t="shared" si="4"/>
        <v>218.36351590106008</v>
      </c>
      <c r="L260"/>
      <c r="M260" s="2">
        <f t="shared" si="6"/>
        <v>150.8336442441084</v>
      </c>
      <c r="O260"/>
    </row>
    <row r="261" spans="2:15" ht="12.75">
      <c r="B261" s="5" t="s">
        <v>109</v>
      </c>
      <c r="C261" s="5" t="s">
        <v>325</v>
      </c>
      <c r="D261" s="5" t="s">
        <v>54</v>
      </c>
      <c r="E261" s="5" t="s">
        <v>14</v>
      </c>
      <c r="G261" s="2">
        <f t="shared" si="5"/>
        <v>26.478887561329028</v>
      </c>
      <c r="H261"/>
      <c r="I261" s="2">
        <f t="shared" si="5"/>
        <v>69.79483386747746</v>
      </c>
      <c r="J261"/>
      <c r="K261" s="2">
        <f t="shared" si="4"/>
        <v>44.059187279151935</v>
      </c>
      <c r="L261"/>
      <c r="M261" s="2">
        <f t="shared" si="6"/>
        <v>46.777636235986144</v>
      </c>
      <c r="O261"/>
    </row>
    <row r="262" spans="2:15" ht="12.75">
      <c r="B262" s="5" t="s">
        <v>108</v>
      </c>
      <c r="C262" s="5" t="s">
        <v>325</v>
      </c>
      <c r="D262" s="5" t="s">
        <v>54</v>
      </c>
      <c r="E262" s="5" t="s">
        <v>14</v>
      </c>
      <c r="G262" s="2">
        <f t="shared" si="5"/>
        <v>9.431324198591659</v>
      </c>
      <c r="H262"/>
      <c r="I262" s="2">
        <f t="shared" si="5"/>
        <v>13.115292957514997</v>
      </c>
      <c r="J262"/>
      <c r="K262" s="2">
        <f t="shared" si="4"/>
        <v>13.681537102473497</v>
      </c>
      <c r="L262"/>
      <c r="M262" s="2">
        <f t="shared" si="6"/>
        <v>12.076051419526719</v>
      </c>
      <c r="O262"/>
    </row>
    <row r="263" spans="2:15" ht="12.75">
      <c r="B263" s="5" t="s">
        <v>389</v>
      </c>
      <c r="C263" s="5" t="s">
        <v>325</v>
      </c>
      <c r="D263" s="5" t="s">
        <v>54</v>
      </c>
      <c r="E263" s="5" t="s">
        <v>14</v>
      </c>
      <c r="G263" s="2">
        <f t="shared" si="5"/>
        <v>14.449500470295144</v>
      </c>
      <c r="H263"/>
      <c r="I263" s="2">
        <f t="shared" si="5"/>
        <v>13.191990577149586</v>
      </c>
      <c r="J263"/>
      <c r="K263" s="2">
        <f t="shared" si="4"/>
        <v>24.039310954063602</v>
      </c>
      <c r="L263"/>
      <c r="M263" s="2">
        <f t="shared" si="6"/>
        <v>17.226934000502776</v>
      </c>
      <c r="O263"/>
    </row>
    <row r="264" spans="2:15" ht="12.75">
      <c r="B264" s="5" t="s">
        <v>110</v>
      </c>
      <c r="C264" s="5" t="s">
        <v>325</v>
      </c>
      <c r="D264" s="5" t="s">
        <v>54</v>
      </c>
      <c r="E264" s="5" t="s">
        <v>14</v>
      </c>
      <c r="F264"/>
      <c r="G264" s="2">
        <f t="shared" si="5"/>
        <v>7.082390624602791</v>
      </c>
      <c r="H264"/>
      <c r="I264" s="2">
        <f t="shared" si="5"/>
        <v>37.5818336209494</v>
      </c>
      <c r="J264"/>
      <c r="K264" s="2">
        <f t="shared" si="4"/>
        <v>13.952075971731448</v>
      </c>
      <c r="L264"/>
      <c r="M264" s="2">
        <f t="shared" si="6"/>
        <v>19.538766739094545</v>
      </c>
      <c r="O264"/>
    </row>
    <row r="265" spans="2:15" ht="12.75">
      <c r="B265" s="5" t="s">
        <v>111</v>
      </c>
      <c r="C265" s="5" t="s">
        <v>325</v>
      </c>
      <c r="D265" s="5" t="s">
        <v>54</v>
      </c>
      <c r="E265" s="5" t="s">
        <v>14</v>
      </c>
      <c r="F265"/>
      <c r="G265" s="2">
        <f t="shared" si="5"/>
        <v>4413.147926888171</v>
      </c>
      <c r="H265"/>
      <c r="I265" s="2">
        <f t="shared" si="5"/>
        <v>4525.159558440847</v>
      </c>
      <c r="J265"/>
      <c r="K265" s="2">
        <f t="shared" si="4"/>
        <v>7420.494699646643</v>
      </c>
      <c r="L265"/>
      <c r="M265" s="2">
        <f t="shared" si="6"/>
        <v>5452.934061658554</v>
      </c>
      <c r="O265"/>
    </row>
    <row r="266" spans="2:15" ht="12.75">
      <c r="B266" s="5" t="s">
        <v>357</v>
      </c>
      <c r="C266" s="5" t="s">
        <v>325</v>
      </c>
      <c r="D266" s="5" t="s">
        <v>54</v>
      </c>
      <c r="E266" s="5" t="s">
        <v>14</v>
      </c>
      <c r="G266" s="2">
        <f t="shared" si="5"/>
        <v>1.110404962249282</v>
      </c>
      <c r="H266"/>
      <c r="I266" s="2">
        <f t="shared" si="5"/>
        <v>6.78773933766127</v>
      </c>
      <c r="J266"/>
      <c r="K266" s="2">
        <f t="shared" si="4"/>
        <v>5.951855123674911</v>
      </c>
      <c r="L266"/>
      <c r="M266" s="2">
        <f t="shared" si="6"/>
        <v>4.616666474528487</v>
      </c>
      <c r="O266"/>
    </row>
    <row r="267" spans="2:15" ht="12.75">
      <c r="B267" t="s">
        <v>55</v>
      </c>
      <c r="C267" s="5" t="s">
        <v>325</v>
      </c>
      <c r="D267" s="5" t="s">
        <v>54</v>
      </c>
      <c r="E267" s="5" t="s">
        <v>14</v>
      </c>
      <c r="F267"/>
      <c r="G267" s="2">
        <f>G242+G248</f>
        <v>319.9532246993925</v>
      </c>
      <c r="H267"/>
      <c r="I267" s="2">
        <f>I242+I248</f>
        <v>965.6230311994959</v>
      </c>
      <c r="J267"/>
      <c r="K267" s="2">
        <f>K242+K248</f>
        <v>623.398851590106</v>
      </c>
      <c r="L267" s="2"/>
      <c r="M267" s="2">
        <f>M242+M248</f>
        <v>636.3250358296649</v>
      </c>
      <c r="O267"/>
    </row>
    <row r="268" spans="2:15" ht="12.75">
      <c r="B268" t="s">
        <v>56</v>
      </c>
      <c r="C268" s="5" t="s">
        <v>325</v>
      </c>
      <c r="D268" s="5" t="s">
        <v>54</v>
      </c>
      <c r="E268" s="5" t="s">
        <v>14</v>
      </c>
      <c r="F268"/>
      <c r="G268" s="2">
        <f>G238+G240+G244</f>
        <v>73.75295523298675</v>
      </c>
      <c r="H268"/>
      <c r="I268" s="2">
        <f>I238+I240+I244</f>
        <v>256.47684005807105</v>
      </c>
      <c r="J268"/>
      <c r="K268" s="2">
        <f>K238+K240+K244</f>
        <v>149.91718197879857</v>
      </c>
      <c r="L268" s="2"/>
      <c r="M268" s="2">
        <f>M238+M240+M244</f>
        <v>160.04899242328545</v>
      </c>
      <c r="O268"/>
    </row>
    <row r="269" spans="2:13" ht="12.75">
      <c r="B269" s="5"/>
      <c r="C269" s="5"/>
      <c r="F269"/>
      <c r="G269"/>
      <c r="H269"/>
      <c r="I269"/>
      <c r="J269"/>
      <c r="K269"/>
      <c r="L269"/>
      <c r="M269" s="2"/>
    </row>
    <row r="270" spans="2:13" ht="12.75">
      <c r="B270" s="5"/>
      <c r="C270" s="5"/>
      <c r="F270"/>
      <c r="G270"/>
      <c r="H270"/>
      <c r="I270"/>
      <c r="J270"/>
      <c r="K270"/>
      <c r="L270"/>
      <c r="M270" s="2"/>
    </row>
    <row r="271" spans="2:13" ht="12.75">
      <c r="B271" s="5" t="s">
        <v>122</v>
      </c>
      <c r="C271" s="5" t="s">
        <v>148</v>
      </c>
      <c r="G271" s="19"/>
      <c r="H271" s="19"/>
      <c r="I271" s="20"/>
      <c r="J271" s="19"/>
      <c r="K271" s="19"/>
      <c r="M271" s="2"/>
    </row>
    <row r="272" spans="2:13" ht="12.75">
      <c r="B272" s="5" t="s">
        <v>123</v>
      </c>
      <c r="C272" s="5"/>
      <c r="D272" s="5" t="s">
        <v>52</v>
      </c>
      <c r="G272">
        <v>215</v>
      </c>
      <c r="H272"/>
      <c r="I272">
        <v>274</v>
      </c>
      <c r="J272"/>
      <c r="K272">
        <v>275</v>
      </c>
      <c r="L272"/>
      <c r="M272"/>
    </row>
    <row r="273" spans="2:13" ht="12.75">
      <c r="B273" s="5" t="s">
        <v>124</v>
      </c>
      <c r="C273" s="5" t="s">
        <v>324</v>
      </c>
      <c r="D273" s="5" t="s">
        <v>52</v>
      </c>
      <c r="G273" s="68">
        <v>0.000276</v>
      </c>
      <c r="H273"/>
      <c r="I273" s="68">
        <v>0.000319</v>
      </c>
      <c r="J273"/>
      <c r="K273" s="68">
        <v>0.000372</v>
      </c>
      <c r="L273"/>
      <c r="M273"/>
    </row>
    <row r="274" spans="2:13" ht="12.75">
      <c r="B274" s="5" t="s">
        <v>51</v>
      </c>
      <c r="C274" s="5" t="s">
        <v>324</v>
      </c>
      <c r="D274" s="5" t="s">
        <v>17</v>
      </c>
      <c r="G274" s="65">
        <f>(G272-G273)/G272*100</f>
        <v>99.99987162790697</v>
      </c>
      <c r="H274" s="65"/>
      <c r="I274" s="65">
        <f>(I272-I273)/I272*100</f>
        <v>99.99988357664233</v>
      </c>
      <c r="J274" s="65"/>
      <c r="K274" s="65">
        <f>(K272-K273)/K272*100</f>
        <v>99.99986472727271</v>
      </c>
      <c r="L274" s="5"/>
      <c r="M274" s="66"/>
    </row>
    <row r="275" spans="2:13" ht="12.75">
      <c r="B275" s="5"/>
      <c r="C275" s="5"/>
      <c r="F275"/>
      <c r="G275"/>
      <c r="H275"/>
      <c r="I275"/>
      <c r="J275"/>
      <c r="K275"/>
      <c r="L275"/>
      <c r="M275" s="2"/>
    </row>
    <row r="276" spans="2:13" ht="12.75">
      <c r="B276" s="5" t="s">
        <v>122</v>
      </c>
      <c r="C276" s="5" t="s">
        <v>392</v>
      </c>
      <c r="G276" s="19"/>
      <c r="H276" s="19"/>
      <c r="I276" s="20"/>
      <c r="J276" s="19"/>
      <c r="K276" s="19"/>
      <c r="M276" s="2"/>
    </row>
    <row r="277" spans="2:13" ht="12.75">
      <c r="B277" s="5" t="s">
        <v>123</v>
      </c>
      <c r="C277" s="5"/>
      <c r="D277" s="5" t="s">
        <v>52</v>
      </c>
      <c r="G277">
        <v>209</v>
      </c>
      <c r="H277"/>
      <c r="I277">
        <v>266</v>
      </c>
      <c r="J277"/>
      <c r="K277">
        <v>283</v>
      </c>
      <c r="L277"/>
      <c r="M277"/>
    </row>
    <row r="278" spans="2:13" ht="12.75">
      <c r="B278" s="5" t="s">
        <v>124</v>
      </c>
      <c r="C278" s="5" t="s">
        <v>324</v>
      </c>
      <c r="D278" s="5" t="s">
        <v>52</v>
      </c>
      <c r="G278" s="68">
        <v>0.00039</v>
      </c>
      <c r="H278"/>
      <c r="I278" s="68">
        <v>0.000149</v>
      </c>
      <c r="J278"/>
      <c r="K278" s="68">
        <v>9.85E-05</v>
      </c>
      <c r="L278"/>
      <c r="M278"/>
    </row>
    <row r="279" spans="2:13" ht="12.75">
      <c r="B279" s="5" t="s">
        <v>51</v>
      </c>
      <c r="C279" s="5" t="s">
        <v>324</v>
      </c>
      <c r="D279" s="5" t="s">
        <v>17</v>
      </c>
      <c r="G279" s="65">
        <f>(G277-G278)/G277*100</f>
        <v>99.99981339712917</v>
      </c>
      <c r="H279" s="65"/>
      <c r="I279" s="65">
        <f>(I277-I278)/I277*100</f>
        <v>99.9999439849624</v>
      </c>
      <c r="J279" s="65"/>
      <c r="K279" s="65">
        <f>(K277-K278)/K277*100</f>
        <v>99.9999651943463</v>
      </c>
      <c r="L279" s="70"/>
      <c r="M279" s="66"/>
    </row>
    <row r="280" spans="2:13" ht="12.75">
      <c r="B280" s="5"/>
      <c r="C280" s="5"/>
      <c r="G280" s="68"/>
      <c r="H280" s="5"/>
      <c r="I280" s="68"/>
      <c r="J280" s="5"/>
      <c r="K280" s="68"/>
      <c r="L280"/>
      <c r="M280" s="2"/>
    </row>
    <row r="281" spans="2:13" ht="13.5" customHeight="1">
      <c r="B281" s="5"/>
      <c r="C281" s="5"/>
      <c r="G281" s="68"/>
      <c r="H281" s="5"/>
      <c r="I281" s="68"/>
      <c r="J281" s="5"/>
      <c r="K281" s="68"/>
      <c r="L281"/>
      <c r="M281" s="2"/>
    </row>
    <row r="282" spans="2:13" ht="12.75">
      <c r="B282" s="5"/>
      <c r="C282" s="5"/>
      <c r="G282" s="68"/>
      <c r="H282" s="5"/>
      <c r="I282" s="68"/>
      <c r="J282" s="5"/>
      <c r="K282" s="68"/>
      <c r="M282" s="2"/>
    </row>
    <row r="283" spans="2:13" ht="12.75">
      <c r="B283" s="5"/>
      <c r="C283" s="5"/>
      <c r="G283" s="68"/>
      <c r="H283" s="5"/>
      <c r="I283" s="68"/>
      <c r="J283" s="5"/>
      <c r="K283" s="68"/>
      <c r="M283" s="2"/>
    </row>
    <row r="284" spans="2:13" ht="12.75">
      <c r="B284" s="5"/>
      <c r="C284" s="5"/>
      <c r="K284" s="68"/>
      <c r="M284" s="2"/>
    </row>
    <row r="285" spans="2:13" ht="12.75">
      <c r="B285" s="5"/>
      <c r="C285" s="5"/>
      <c r="G285" s="68"/>
      <c r="H285" s="5"/>
      <c r="I285" s="68"/>
      <c r="J285" s="5"/>
      <c r="K285" s="68"/>
      <c r="M285" s="2"/>
    </row>
    <row r="286" spans="2:13" ht="12.75">
      <c r="B286" s="5"/>
      <c r="C286" s="5"/>
      <c r="G286" s="68"/>
      <c r="H286" s="5"/>
      <c r="I286" s="68"/>
      <c r="J286" s="5"/>
      <c r="K286" s="68"/>
      <c r="M286" s="2"/>
    </row>
    <row r="287" spans="2:13" ht="12.75">
      <c r="B287" s="5"/>
      <c r="C287" s="5"/>
      <c r="G287" s="68"/>
      <c r="H287" s="68"/>
      <c r="I287" s="68"/>
      <c r="J287" s="68"/>
      <c r="K287" s="68"/>
      <c r="M287" s="2"/>
    </row>
    <row r="288" spans="2:13" ht="12.75">
      <c r="B288" s="5"/>
      <c r="C288" s="5"/>
      <c r="H288" s="5"/>
      <c r="J288" s="5"/>
      <c r="K288" s="68"/>
      <c r="M288" s="2"/>
    </row>
    <row r="289" spans="2:13" ht="12.75">
      <c r="B289" s="5"/>
      <c r="C289" s="5"/>
      <c r="G289" s="68"/>
      <c r="H289" s="5"/>
      <c r="I289" s="68"/>
      <c r="J289" s="5"/>
      <c r="K289" s="68"/>
      <c r="M289" s="2"/>
    </row>
    <row r="290" spans="2:13" ht="12.75">
      <c r="B290" s="5"/>
      <c r="C290" s="5"/>
      <c r="G290" s="68"/>
      <c r="H290" s="5"/>
      <c r="I290" s="68"/>
      <c r="J290" s="5"/>
      <c r="K290" s="68"/>
      <c r="M290" s="2"/>
    </row>
    <row r="291" spans="2:13" ht="12.75">
      <c r="B291" s="5"/>
      <c r="C291" s="5"/>
      <c r="F291"/>
      <c r="G291"/>
      <c r="H291"/>
      <c r="I291"/>
      <c r="J291"/>
      <c r="K291"/>
      <c r="L291"/>
      <c r="M291" s="2"/>
    </row>
    <row r="292" spans="2:13" ht="12.75">
      <c r="B292" s="5"/>
      <c r="C292" s="5"/>
      <c r="G292" s="68"/>
      <c r="H292" s="5"/>
      <c r="I292" s="68"/>
      <c r="J292" s="5"/>
      <c r="K292" s="68"/>
      <c r="M292" s="2"/>
    </row>
    <row r="293" spans="12:13" ht="12.75">
      <c r="L293"/>
      <c r="M293" s="2"/>
    </row>
    <row r="294" spans="12:13" ht="12.75">
      <c r="L294"/>
      <c r="M294" s="2"/>
    </row>
    <row r="295" spans="2:13" ht="12.75">
      <c r="B295" s="5"/>
      <c r="C295" s="5"/>
      <c r="G295" s="68"/>
      <c r="H295" s="5"/>
      <c r="I295" s="68"/>
      <c r="J295" s="5"/>
      <c r="K295" s="68"/>
      <c r="L295"/>
      <c r="M295" s="2"/>
    </row>
    <row r="296" spans="2:13" ht="12.75">
      <c r="B296" s="5"/>
      <c r="C296" s="5"/>
      <c r="G296" s="68"/>
      <c r="H296" s="5"/>
      <c r="I296" s="68"/>
      <c r="J296" s="5"/>
      <c r="K296" s="68"/>
      <c r="L296"/>
      <c r="M296" s="2"/>
    </row>
    <row r="297" spans="2:13" ht="12.75">
      <c r="B297" s="5"/>
      <c r="C297" s="5"/>
      <c r="G297" s="68"/>
      <c r="H297" s="5"/>
      <c r="I297" s="68"/>
      <c r="J297" s="5"/>
      <c r="K297" s="68"/>
      <c r="L297"/>
      <c r="M297" s="2"/>
    </row>
    <row r="298" spans="2:13" ht="12.75">
      <c r="B298" s="5"/>
      <c r="C298" s="5"/>
      <c r="F298"/>
      <c r="G298"/>
      <c r="H298"/>
      <c r="I298"/>
      <c r="J298"/>
      <c r="K298" s="68"/>
      <c r="L298"/>
      <c r="M298" s="2"/>
    </row>
    <row r="299" spans="2:13" ht="12.75">
      <c r="B299" s="5"/>
      <c r="C299" s="5"/>
      <c r="F299"/>
      <c r="G299"/>
      <c r="H299"/>
      <c r="I299"/>
      <c r="J299"/>
      <c r="K299" s="68"/>
      <c r="L299"/>
      <c r="M299" s="2"/>
    </row>
    <row r="300" spans="2:13" ht="12.75">
      <c r="B300" s="5"/>
      <c r="C300" s="5"/>
      <c r="F300"/>
      <c r="G300"/>
      <c r="H300"/>
      <c r="I300"/>
      <c r="J300"/>
      <c r="K300" s="68"/>
      <c r="L300"/>
      <c r="M300" s="2"/>
    </row>
    <row r="301" spans="2:3" ht="12.75">
      <c r="B301" s="5"/>
      <c r="C301" s="5"/>
    </row>
    <row r="302" spans="2:13" ht="12.75">
      <c r="B302" s="5"/>
      <c r="C302" s="5"/>
      <c r="M302" s="2"/>
    </row>
    <row r="303" spans="2:13" ht="12.75">
      <c r="B303" s="5"/>
      <c r="C303" s="5"/>
      <c r="M303" s="2"/>
    </row>
    <row r="304" spans="2:13" ht="12.75">
      <c r="B304" s="17"/>
      <c r="C304" s="5"/>
      <c r="M304" s="2"/>
    </row>
    <row r="305" spans="2:13" ht="12.75">
      <c r="B305" s="5"/>
      <c r="C305" s="5"/>
      <c r="D305" s="9"/>
      <c r="E305" s="9"/>
      <c r="G305" s="46"/>
      <c r="H305" s="57"/>
      <c r="I305" s="57"/>
      <c r="J305" s="57"/>
      <c r="K305" s="57"/>
      <c r="M305" s="2"/>
    </row>
    <row r="306" spans="2:13" ht="12.75">
      <c r="B306" s="5"/>
      <c r="C306" s="5"/>
      <c r="D306" s="9"/>
      <c r="E306" s="9"/>
      <c r="M306" s="2"/>
    </row>
    <row r="307" spans="2:13" ht="12.75">
      <c r="B307" s="5"/>
      <c r="C307" s="5"/>
      <c r="D307" s="9"/>
      <c r="E307" s="9"/>
      <c r="H307" s="57"/>
      <c r="I307" s="57"/>
      <c r="J307" s="57"/>
      <c r="K307" s="57"/>
      <c r="M307" s="2"/>
    </row>
    <row r="308" spans="2:13" ht="12.75">
      <c r="B308" s="5"/>
      <c r="C308" s="5"/>
      <c r="D308" s="9"/>
      <c r="E308" s="9"/>
      <c r="M308" s="2"/>
    </row>
    <row r="309" spans="2:13" ht="12.75">
      <c r="B309" s="5"/>
      <c r="C309" s="5"/>
      <c r="H309" s="19"/>
      <c r="I309" s="20"/>
      <c r="J309" s="19"/>
      <c r="K309" s="19"/>
      <c r="M309" s="51"/>
    </row>
    <row r="310" spans="2:13" ht="12.75">
      <c r="B310" s="5"/>
      <c r="C310" s="5"/>
      <c r="H310" s="19"/>
      <c r="I310" s="20"/>
      <c r="J310" s="19"/>
      <c r="K310" s="19"/>
      <c r="M310" s="59"/>
    </row>
    <row r="311" spans="2:13" ht="12.75">
      <c r="B311" s="5"/>
      <c r="C311" s="5"/>
      <c r="G311" s="50"/>
      <c r="H311" s="5"/>
      <c r="I311" s="54"/>
      <c r="J311" s="5"/>
      <c r="K311" s="54"/>
      <c r="L311" s="5"/>
      <c r="M311" s="21"/>
    </row>
    <row r="312" spans="2:13" ht="12.75">
      <c r="B312" s="5"/>
      <c r="C312" s="5"/>
      <c r="G312" s="50"/>
      <c r="H312" s="5"/>
      <c r="I312" s="60"/>
      <c r="J312" s="5"/>
      <c r="K312" s="60"/>
      <c r="L312" s="5"/>
      <c r="M312" s="62"/>
    </row>
    <row r="313" spans="2:13" ht="12.75">
      <c r="B313" s="5"/>
      <c r="C313" s="5"/>
      <c r="M313" s="2"/>
    </row>
    <row r="314" spans="2:13" ht="12.75">
      <c r="B314" s="5"/>
      <c r="C314" s="5"/>
      <c r="G314" s="57"/>
      <c r="H314" s="5"/>
      <c r="J314" s="5"/>
      <c r="M314" s="2"/>
    </row>
    <row r="315" spans="2:13" ht="12.75">
      <c r="B315" s="5"/>
      <c r="C315" s="5"/>
      <c r="G315" s="57"/>
      <c r="H315"/>
      <c r="I315"/>
      <c r="J315"/>
      <c r="K315"/>
      <c r="L315"/>
      <c r="M315" s="2"/>
    </row>
    <row r="316" spans="2:13" ht="12.75">
      <c r="B316" s="5"/>
      <c r="C316" s="5"/>
      <c r="F316"/>
      <c r="G316" s="57"/>
      <c r="H316"/>
      <c r="I316"/>
      <c r="J316"/>
      <c r="K316"/>
      <c r="L316"/>
      <c r="M316" s="2"/>
    </row>
    <row r="317" spans="2:13" ht="12.75">
      <c r="B317" s="5"/>
      <c r="C317" s="5"/>
      <c r="F317"/>
      <c r="G317"/>
      <c r="H317"/>
      <c r="I317"/>
      <c r="J317"/>
      <c r="K317"/>
      <c r="L317"/>
      <c r="M317" s="2"/>
    </row>
    <row r="318" spans="2:13" ht="12.75">
      <c r="B318" s="5"/>
      <c r="C318" s="5"/>
      <c r="G318"/>
      <c r="H318"/>
      <c r="I318"/>
      <c r="J318"/>
      <c r="K318"/>
      <c r="L318"/>
      <c r="M318" s="2"/>
    </row>
    <row r="319" spans="2:13" ht="12.75">
      <c r="B319" s="5"/>
      <c r="C319" s="5"/>
      <c r="G319" s="68"/>
      <c r="H319"/>
      <c r="I319"/>
      <c r="J319"/>
      <c r="K319"/>
      <c r="L319"/>
      <c r="M319" s="2"/>
    </row>
    <row r="320" spans="2:13" ht="12.75">
      <c r="B320" s="5"/>
      <c r="C320" s="5"/>
      <c r="G320" s="68"/>
      <c r="H320" s="5"/>
      <c r="I320"/>
      <c r="J320" s="5"/>
      <c r="K320"/>
      <c r="L320"/>
      <c r="M320" s="2"/>
    </row>
    <row r="321" spans="2:13" ht="12.75">
      <c r="B321" s="5"/>
      <c r="C321" s="5"/>
      <c r="G321" s="68"/>
      <c r="H321" s="5"/>
      <c r="I321"/>
      <c r="J321" s="5"/>
      <c r="K321"/>
      <c r="L321"/>
      <c r="M321" s="2"/>
    </row>
    <row r="322" spans="2:13" ht="12.75">
      <c r="B322" s="5"/>
      <c r="C322" s="5"/>
      <c r="G322" s="68"/>
      <c r="H322"/>
      <c r="I322"/>
      <c r="J322"/>
      <c r="K322"/>
      <c r="L322"/>
      <c r="M322" s="2"/>
    </row>
    <row r="323" spans="2:13" ht="12.75">
      <c r="B323" s="5"/>
      <c r="C323" s="5"/>
      <c r="F323"/>
      <c r="G323" s="68"/>
      <c r="H323" s="5"/>
      <c r="I323"/>
      <c r="J323" s="5"/>
      <c r="K323"/>
      <c r="L323"/>
      <c r="M323" s="2"/>
    </row>
    <row r="324" spans="2:13" ht="12.75">
      <c r="B324" s="5"/>
      <c r="C324" s="5"/>
      <c r="G324" s="68"/>
      <c r="H324" s="5"/>
      <c r="I324"/>
      <c r="J324"/>
      <c r="K324"/>
      <c r="L324"/>
      <c r="M324" s="2"/>
    </row>
    <row r="325" spans="2:13" ht="12.75">
      <c r="B325" s="5"/>
      <c r="C325" s="5"/>
      <c r="G325" s="68"/>
      <c r="H325"/>
      <c r="I325"/>
      <c r="J325"/>
      <c r="K325"/>
      <c r="L325"/>
      <c r="M325" s="2"/>
    </row>
    <row r="326" spans="2:13" ht="12.75">
      <c r="B326" s="5"/>
      <c r="C326" s="5"/>
      <c r="F326"/>
      <c r="G326" s="68"/>
      <c r="H326"/>
      <c r="I326"/>
      <c r="J326"/>
      <c r="K326"/>
      <c r="L326"/>
      <c r="M326" s="2"/>
    </row>
    <row r="327" spans="2:13" ht="12.75">
      <c r="B327" s="5"/>
      <c r="C327" s="5"/>
      <c r="G327"/>
      <c r="H327" s="5"/>
      <c r="I327"/>
      <c r="J327" s="5"/>
      <c r="K327"/>
      <c r="L327"/>
      <c r="M327" s="2"/>
    </row>
    <row r="328" spans="2:13" ht="12.75">
      <c r="B328" s="5"/>
      <c r="C328" s="5"/>
      <c r="G328" s="68"/>
      <c r="H328"/>
      <c r="I328" s="61"/>
      <c r="J328"/>
      <c r="K328"/>
      <c r="L328"/>
      <c r="M328" s="2"/>
    </row>
    <row r="329" spans="2:13" ht="12.75">
      <c r="B329" s="5"/>
      <c r="C329" s="5"/>
      <c r="G329" s="68"/>
      <c r="H329"/>
      <c r="I329"/>
      <c r="J329"/>
      <c r="K329"/>
      <c r="L329"/>
      <c r="M329" s="2"/>
    </row>
    <row r="330" spans="2:13" ht="12.75">
      <c r="B330" s="5"/>
      <c r="C330" s="5"/>
      <c r="G330" s="68"/>
      <c r="H330" s="5"/>
      <c r="I330"/>
      <c r="J330" s="5"/>
      <c r="K330"/>
      <c r="L330"/>
      <c r="M330" s="2"/>
    </row>
    <row r="331" spans="2:13" ht="12.75">
      <c r="B331" s="5"/>
      <c r="C331" s="5"/>
      <c r="G331" s="68"/>
      <c r="H331"/>
      <c r="I331"/>
      <c r="J331"/>
      <c r="K331"/>
      <c r="L331"/>
      <c r="M331" s="2"/>
    </row>
    <row r="332" spans="2:13" ht="12.75">
      <c r="B332" s="5"/>
      <c r="C332" s="5"/>
      <c r="G332"/>
      <c r="H332"/>
      <c r="I332"/>
      <c r="J332"/>
      <c r="K332"/>
      <c r="L332"/>
      <c r="M332" s="2"/>
    </row>
    <row r="333" spans="2:13" ht="12.75">
      <c r="B333" s="5"/>
      <c r="C333" s="5"/>
      <c r="F333"/>
      <c r="G333"/>
      <c r="H333" s="5"/>
      <c r="I333"/>
      <c r="J333" s="5"/>
      <c r="K333"/>
      <c r="L333"/>
      <c r="M333" s="2"/>
    </row>
    <row r="334" spans="2:13" ht="12.75">
      <c r="B334" s="5"/>
      <c r="C334" s="5"/>
      <c r="G334" s="68"/>
      <c r="H334"/>
      <c r="I334"/>
      <c r="J334"/>
      <c r="K334"/>
      <c r="L334"/>
      <c r="M334" s="2"/>
    </row>
    <row r="335" spans="2:13" ht="12.75">
      <c r="B335" s="5"/>
      <c r="C335" s="5"/>
      <c r="G335" s="68"/>
      <c r="H335"/>
      <c r="I335"/>
      <c r="J335"/>
      <c r="K335"/>
      <c r="L335"/>
      <c r="M335" s="2"/>
    </row>
    <row r="336" spans="2:13" ht="12.75">
      <c r="B336" s="5"/>
      <c r="C336" s="5"/>
      <c r="G336" s="68"/>
      <c r="H336"/>
      <c r="I336"/>
      <c r="J336"/>
      <c r="K336"/>
      <c r="L336"/>
      <c r="M336"/>
    </row>
    <row r="337" spans="2:13" ht="12.75">
      <c r="B337" s="5"/>
      <c r="C337" s="5"/>
      <c r="F337"/>
      <c r="G337"/>
      <c r="H337"/>
      <c r="I337"/>
      <c r="J337"/>
      <c r="K337"/>
      <c r="L337"/>
      <c r="M337"/>
    </row>
    <row r="338" spans="2:13" ht="12.75">
      <c r="B338" s="5"/>
      <c r="C338" s="5"/>
      <c r="F338"/>
      <c r="G338"/>
      <c r="H338"/>
      <c r="I338"/>
      <c r="J338"/>
      <c r="K338"/>
      <c r="L338"/>
      <c r="M338" s="2"/>
    </row>
    <row r="339" spans="2:13" ht="12.75">
      <c r="B339" s="5"/>
      <c r="C339" s="5"/>
      <c r="F339"/>
      <c r="G339"/>
      <c r="H339"/>
      <c r="I339"/>
      <c r="J339"/>
      <c r="K339"/>
      <c r="L339"/>
      <c r="M339" s="2"/>
    </row>
    <row r="340" spans="2:13" ht="12.75">
      <c r="B340" s="5"/>
      <c r="C340" s="5"/>
      <c r="F340"/>
      <c r="G340"/>
      <c r="H340"/>
      <c r="I340"/>
      <c r="J340"/>
      <c r="K340"/>
      <c r="L340"/>
      <c r="M340" s="2"/>
    </row>
    <row r="341" spans="2:13" ht="12.75">
      <c r="B341" s="5"/>
      <c r="C341" s="5"/>
      <c r="F341"/>
      <c r="G341"/>
      <c r="H341"/>
      <c r="I341"/>
      <c r="J341"/>
      <c r="K341"/>
      <c r="L341"/>
      <c r="M341" s="2"/>
    </row>
    <row r="342" spans="2:13" ht="12.75">
      <c r="B342" s="5"/>
      <c r="C342" s="5"/>
      <c r="F342"/>
      <c r="G342"/>
      <c r="H342"/>
      <c r="I342"/>
      <c r="J342"/>
      <c r="K342"/>
      <c r="L342"/>
      <c r="M342"/>
    </row>
    <row r="343" spans="2:13" ht="12.75">
      <c r="B343" s="5"/>
      <c r="C343" s="5"/>
      <c r="F343"/>
      <c r="G343"/>
      <c r="H343"/>
      <c r="I343"/>
      <c r="J343"/>
      <c r="K343"/>
      <c r="L343"/>
      <c r="M343"/>
    </row>
    <row r="344" spans="2:13" ht="12.75">
      <c r="B344" s="5"/>
      <c r="C344" s="5"/>
      <c r="F344"/>
      <c r="G344"/>
      <c r="H344"/>
      <c r="I344"/>
      <c r="J344"/>
      <c r="K344"/>
      <c r="L344"/>
      <c r="M344" s="2"/>
    </row>
    <row r="345" spans="2:13" ht="12.75">
      <c r="B345" s="5"/>
      <c r="C345" s="5"/>
      <c r="F345"/>
      <c r="G345"/>
      <c r="H345"/>
      <c r="I345"/>
      <c r="J345"/>
      <c r="K345"/>
      <c r="L345"/>
      <c r="M345" s="2"/>
    </row>
    <row r="346" spans="2:13" ht="12.75">
      <c r="B346" s="5"/>
      <c r="C346" s="5"/>
      <c r="F346"/>
      <c r="G346"/>
      <c r="H346"/>
      <c r="I346"/>
      <c r="J346"/>
      <c r="K346"/>
      <c r="L346"/>
      <c r="M346" s="2"/>
    </row>
    <row r="347" spans="2:13" ht="12.75">
      <c r="B347" s="5"/>
      <c r="C347" s="5"/>
      <c r="F347"/>
      <c r="G347"/>
      <c r="H347"/>
      <c r="I347"/>
      <c r="J347"/>
      <c r="K347"/>
      <c r="L347"/>
      <c r="M347" s="2"/>
    </row>
    <row r="348" spans="2:13" ht="12.75">
      <c r="B348" s="5"/>
      <c r="C348" s="5"/>
      <c r="F348"/>
      <c r="G348"/>
      <c r="H348"/>
      <c r="I348"/>
      <c r="J348"/>
      <c r="K348"/>
      <c r="L348"/>
      <c r="M348"/>
    </row>
    <row r="349" spans="2:13" ht="12.75">
      <c r="B349" s="5"/>
      <c r="C349" s="5"/>
      <c r="F349"/>
      <c r="G349"/>
      <c r="H349" s="5"/>
      <c r="I349" s="2"/>
      <c r="J349" s="5"/>
      <c r="K349" s="2"/>
      <c r="L349"/>
      <c r="M349" s="2"/>
    </row>
    <row r="350" spans="2:13" ht="12.75">
      <c r="B350" s="5"/>
      <c r="C350" s="5"/>
      <c r="F350"/>
      <c r="G350"/>
      <c r="H350"/>
      <c r="I350" s="2"/>
      <c r="J350"/>
      <c r="K350" s="2"/>
      <c r="L350"/>
      <c r="M350" s="2"/>
    </row>
    <row r="351" spans="2:13" ht="12.75">
      <c r="B351" s="5"/>
      <c r="C351" s="5"/>
      <c r="F351"/>
      <c r="G351"/>
      <c r="H351"/>
      <c r="I351" s="2"/>
      <c r="J351"/>
      <c r="K351" s="2"/>
      <c r="L351"/>
      <c r="M351" s="2"/>
    </row>
    <row r="352" spans="2:13" ht="12.75">
      <c r="B352" s="5"/>
      <c r="C352" s="5"/>
      <c r="F352"/>
      <c r="G352"/>
      <c r="H352"/>
      <c r="I352" s="2"/>
      <c r="J352"/>
      <c r="K352" s="2"/>
      <c r="L352"/>
      <c r="M352" s="2"/>
    </row>
    <row r="353" spans="2:13" ht="12.75">
      <c r="B353" s="5"/>
      <c r="C353" s="5"/>
      <c r="G353" s="2"/>
      <c r="H353"/>
      <c r="I353" s="2"/>
      <c r="J353"/>
      <c r="K353" s="2"/>
      <c r="L353"/>
      <c r="M353" s="2"/>
    </row>
    <row r="354" spans="2:13" ht="12.75">
      <c r="B354" s="5"/>
      <c r="C354" s="5"/>
      <c r="G354" s="57"/>
      <c r="H354"/>
      <c r="I354" s="2"/>
      <c r="J354"/>
      <c r="K354" s="2"/>
      <c r="L354"/>
      <c r="M354" s="2"/>
    </row>
    <row r="355" spans="2:13" ht="12.75">
      <c r="B355" s="5"/>
      <c r="C355" s="5"/>
      <c r="G355" s="57"/>
      <c r="H355" s="5"/>
      <c r="I355" s="2"/>
      <c r="J355" s="5"/>
      <c r="K355" s="2"/>
      <c r="L355"/>
      <c r="M355" s="2"/>
    </row>
    <row r="356" spans="2:13" ht="12.75">
      <c r="B356" s="5"/>
      <c r="C356" s="5"/>
      <c r="G356" s="57"/>
      <c r="H356" s="5"/>
      <c r="I356" s="2"/>
      <c r="J356" s="5"/>
      <c r="K356" s="2"/>
      <c r="L356"/>
      <c r="M356" s="2"/>
    </row>
    <row r="357" spans="2:13" ht="12.75">
      <c r="B357" s="5"/>
      <c r="C357" s="5"/>
      <c r="G357" s="57"/>
      <c r="H357"/>
      <c r="I357" s="2"/>
      <c r="J357"/>
      <c r="K357" s="2"/>
      <c r="L357"/>
      <c r="M357" s="2"/>
    </row>
    <row r="358" spans="2:13" ht="12.75">
      <c r="B358" s="5"/>
      <c r="C358" s="5"/>
      <c r="F358"/>
      <c r="G358" s="57"/>
      <c r="H358" s="5"/>
      <c r="I358" s="2"/>
      <c r="J358" s="5"/>
      <c r="K358" s="2"/>
      <c r="L358"/>
      <c r="M358" s="2"/>
    </row>
    <row r="359" spans="2:13" ht="12.75">
      <c r="B359" s="5"/>
      <c r="C359" s="5"/>
      <c r="G359" s="57"/>
      <c r="H359" s="5"/>
      <c r="I359" s="2"/>
      <c r="J359"/>
      <c r="K359" s="2"/>
      <c r="L359"/>
      <c r="M359" s="2"/>
    </row>
    <row r="360" spans="2:13" ht="12.75">
      <c r="B360" s="5"/>
      <c r="C360" s="5"/>
      <c r="G360" s="57"/>
      <c r="H360"/>
      <c r="I360" s="2"/>
      <c r="J360"/>
      <c r="K360" s="2"/>
      <c r="L360"/>
      <c r="M360" s="2"/>
    </row>
    <row r="361" spans="2:13" ht="12.75">
      <c r="B361" s="5"/>
      <c r="C361" s="5"/>
      <c r="F361"/>
      <c r="G361" s="57"/>
      <c r="H361"/>
      <c r="I361" s="2"/>
      <c r="J361"/>
      <c r="K361" s="2"/>
      <c r="L361"/>
      <c r="M361" s="2"/>
    </row>
    <row r="362" spans="2:13" ht="12.75">
      <c r="B362" s="5"/>
      <c r="C362" s="5"/>
      <c r="G362" s="57"/>
      <c r="H362" s="5"/>
      <c r="I362" s="2"/>
      <c r="J362" s="5"/>
      <c r="K362" s="2"/>
      <c r="L362"/>
      <c r="M362" s="2"/>
    </row>
    <row r="363" spans="2:13" ht="12.75">
      <c r="B363" s="5"/>
      <c r="C363" s="5"/>
      <c r="G363" s="57"/>
      <c r="H363"/>
      <c r="I363" s="2"/>
      <c r="J363"/>
      <c r="K363" s="2"/>
      <c r="L363"/>
      <c r="M363" s="2"/>
    </row>
    <row r="364" spans="2:13" ht="12.75">
      <c r="B364" s="5"/>
      <c r="C364" s="5"/>
      <c r="G364" s="57"/>
      <c r="H364"/>
      <c r="I364" s="2"/>
      <c r="J364"/>
      <c r="K364" s="2"/>
      <c r="L364"/>
      <c r="M364" s="2"/>
    </row>
    <row r="365" spans="2:13" ht="12.75">
      <c r="B365" s="5"/>
      <c r="C365" s="5"/>
      <c r="G365" s="57"/>
      <c r="H365" s="5"/>
      <c r="I365" s="2"/>
      <c r="J365" s="5"/>
      <c r="K365" s="2"/>
      <c r="L365"/>
      <c r="M365" s="2"/>
    </row>
    <row r="366" spans="2:13" ht="12.75">
      <c r="B366" s="5"/>
      <c r="C366" s="5"/>
      <c r="G366" s="57"/>
      <c r="H366"/>
      <c r="I366" s="2"/>
      <c r="J366"/>
      <c r="K366" s="2"/>
      <c r="L366"/>
      <c r="M366" s="2"/>
    </row>
    <row r="367" spans="2:13" ht="12.75">
      <c r="B367" s="5"/>
      <c r="C367" s="5"/>
      <c r="G367" s="57"/>
      <c r="H367"/>
      <c r="I367" s="2"/>
      <c r="J367"/>
      <c r="K367" s="2"/>
      <c r="L367"/>
      <c r="M367" s="2"/>
    </row>
    <row r="368" spans="2:13" ht="12.75">
      <c r="B368" s="5"/>
      <c r="C368" s="5"/>
      <c r="F368"/>
      <c r="G368" s="57"/>
      <c r="H368" s="5"/>
      <c r="I368" s="2"/>
      <c r="J368" s="5"/>
      <c r="K368" s="2"/>
      <c r="L368"/>
      <c r="M368" s="2"/>
    </row>
    <row r="369" spans="2:13" ht="12.75">
      <c r="B369" s="5"/>
      <c r="C369" s="5"/>
      <c r="G369" s="57"/>
      <c r="H369"/>
      <c r="I369" s="2"/>
      <c r="J369"/>
      <c r="K369" s="2"/>
      <c r="L369"/>
      <c r="M369" s="2"/>
    </row>
    <row r="370" spans="2:13" ht="12.75">
      <c r="B370" s="5"/>
      <c r="C370" s="5"/>
      <c r="G370" s="57"/>
      <c r="H370"/>
      <c r="I370" s="2"/>
      <c r="J370"/>
      <c r="K370" s="2"/>
      <c r="L370"/>
      <c r="M370" s="2"/>
    </row>
    <row r="371" spans="2:13" ht="12.75">
      <c r="B371" s="5"/>
      <c r="C371" s="5"/>
      <c r="G371" s="57"/>
      <c r="H371"/>
      <c r="I371"/>
      <c r="J371"/>
      <c r="K371"/>
      <c r="L371"/>
      <c r="M371"/>
    </row>
    <row r="372" spans="2:13" ht="12.75">
      <c r="B372" s="5"/>
      <c r="C372" s="5"/>
      <c r="F372"/>
      <c r="G372" s="57"/>
      <c r="H372" s="57"/>
      <c r="I372" s="57"/>
      <c r="J372" s="57"/>
      <c r="K372" s="57"/>
      <c r="L372" s="2"/>
      <c r="M372" s="2"/>
    </row>
    <row r="373" spans="2:13" ht="12.75">
      <c r="B373" s="5"/>
      <c r="C373" s="5"/>
      <c r="F373"/>
      <c r="G373" s="57"/>
      <c r="H373" s="2"/>
      <c r="I373" s="2"/>
      <c r="J373" s="2"/>
      <c r="K373" s="2"/>
      <c r="L373" s="2"/>
      <c r="M373" s="2"/>
    </row>
    <row r="374" spans="2:13" ht="12.75">
      <c r="B374" s="5"/>
      <c r="C374" s="5"/>
      <c r="F374"/>
      <c r="G374" s="57"/>
      <c r="H374"/>
      <c r="I374"/>
      <c r="J374"/>
      <c r="K374"/>
      <c r="L374"/>
      <c r="M374"/>
    </row>
    <row r="375" spans="2:7" ht="12.75">
      <c r="B375" s="5"/>
      <c r="C375" s="5"/>
      <c r="F375"/>
      <c r="G375"/>
    </row>
    <row r="376" spans="2:7" ht="12.75">
      <c r="B376"/>
      <c r="C376"/>
      <c r="F376"/>
      <c r="G376" s="2"/>
    </row>
    <row r="377" spans="2:7" ht="12.75">
      <c r="B377"/>
      <c r="C377"/>
      <c r="F377"/>
      <c r="G377" s="2"/>
    </row>
    <row r="378" spans="2:7" ht="12.75">
      <c r="B378"/>
      <c r="C378"/>
      <c r="D378"/>
      <c r="E378"/>
      <c r="F378"/>
      <c r="G378"/>
    </row>
    <row r="411" spans="2:7" ht="12.75">
      <c r="B411" s="5"/>
      <c r="C411" s="5"/>
      <c r="F411"/>
      <c r="G411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K355"/>
  <sheetViews>
    <sheetView zoomScale="75" zoomScaleNormal="75" workbookViewId="0" topLeftCell="B317">
      <selection activeCell="B35" sqref="B35"/>
    </sheetView>
  </sheetViews>
  <sheetFormatPr defaultColWidth="9.140625" defaultRowHeight="12.75"/>
  <cols>
    <col min="1" max="1" width="1.1484375" style="0" hidden="1" customWidth="1"/>
    <col min="2" max="2" width="18.28125" style="0" customWidth="1"/>
    <col min="3" max="3" width="12.8515625" style="0" customWidth="1"/>
    <col min="5" max="5" width="5.7109375" style="0" customWidth="1"/>
    <col min="6" max="6" width="3.57421875" style="0" customWidth="1"/>
    <col min="7" max="7" width="10.00390625" style="0" bestFit="1" customWidth="1"/>
    <col min="8" max="8" width="2.8515625" style="0" customWidth="1"/>
    <col min="9" max="9" width="9.7109375" style="0" bestFit="1" customWidth="1"/>
    <col min="10" max="10" width="4.00390625" style="0" customWidth="1"/>
    <col min="11" max="11" width="9.7109375" style="0" bestFit="1" customWidth="1"/>
    <col min="12" max="12" width="3.28125" style="0" customWidth="1"/>
    <col min="13" max="13" width="10.00390625" style="0" bestFit="1" customWidth="1"/>
    <col min="14" max="14" width="2.57421875" style="0" customWidth="1"/>
    <col min="16" max="16" width="2.28125" style="0" customWidth="1"/>
    <col min="18" max="18" width="1.57421875" style="0" customWidth="1"/>
    <col min="20" max="21" width="0" style="0" hidden="1" customWidth="1"/>
    <col min="22" max="23" width="9.140625" style="0" hidden="1" customWidth="1"/>
    <col min="24" max="24" width="0" style="0" hidden="1" customWidth="1"/>
  </cols>
  <sheetData>
    <row r="1" ht="12.75">
      <c r="B1" s="3" t="s">
        <v>278</v>
      </c>
    </row>
    <row r="2" ht="12.75">
      <c r="B2" s="3"/>
    </row>
    <row r="3" ht="12.75">
      <c r="B3" s="3"/>
    </row>
    <row r="4" spans="3:15" ht="12.75">
      <c r="C4" t="s">
        <v>327</v>
      </c>
      <c r="D4" t="s">
        <v>328</v>
      </c>
      <c r="E4" t="s">
        <v>329</v>
      </c>
      <c r="O4" s="46"/>
    </row>
    <row r="5" spans="2:19" ht="12.75">
      <c r="B5" s="3" t="s">
        <v>179</v>
      </c>
      <c r="G5" s="46" t="s">
        <v>209</v>
      </c>
      <c r="H5" s="46"/>
      <c r="I5" s="46" t="s">
        <v>210</v>
      </c>
      <c r="J5" s="46"/>
      <c r="K5" s="46" t="s">
        <v>211</v>
      </c>
      <c r="L5" s="46"/>
      <c r="M5" s="46" t="s">
        <v>232</v>
      </c>
      <c r="N5" s="46"/>
      <c r="O5" s="46" t="s">
        <v>286</v>
      </c>
      <c r="P5" s="46"/>
      <c r="Q5" s="46" t="s">
        <v>287</v>
      </c>
      <c r="S5" s="46" t="s">
        <v>46</v>
      </c>
    </row>
    <row r="7" spans="1:24" s="76" customFormat="1" ht="12.75">
      <c r="A7" s="76" t="s">
        <v>179</v>
      </c>
      <c r="B7" s="76" t="s">
        <v>12</v>
      </c>
      <c r="C7" s="76" t="s">
        <v>325</v>
      </c>
      <c r="D7" s="76" t="s">
        <v>13</v>
      </c>
      <c r="E7" s="76" t="s">
        <v>14</v>
      </c>
      <c r="F7" s="77" t="s">
        <v>212</v>
      </c>
      <c r="G7" s="78">
        <v>0.0008484932654545454</v>
      </c>
      <c r="H7" s="78" t="s">
        <v>212</v>
      </c>
      <c r="I7" s="78">
        <v>0.0014823676461176469</v>
      </c>
      <c r="J7" s="78" t="s">
        <v>212</v>
      </c>
      <c r="K7" s="78">
        <v>0.0011492651319403</v>
      </c>
      <c r="L7" s="78" t="s">
        <v>212</v>
      </c>
      <c r="N7" s="78" t="s">
        <v>212</v>
      </c>
      <c r="O7" s="78"/>
      <c r="P7" s="78" t="s">
        <v>212</v>
      </c>
      <c r="Q7" s="78"/>
      <c r="R7" s="78" t="s">
        <v>212</v>
      </c>
      <c r="S7" s="78">
        <f>AVERAGE(G7,I7,K7)</f>
        <v>0.0011600420145041642</v>
      </c>
      <c r="T7" s="78" t="s">
        <v>212</v>
      </c>
      <c r="U7" s="78"/>
      <c r="V7" s="77" t="s">
        <v>212</v>
      </c>
      <c r="W7" s="77"/>
      <c r="X7" s="76">
        <v>0.0011600420145041642</v>
      </c>
    </row>
    <row r="8" spans="1:24" s="76" customFormat="1" ht="12.75">
      <c r="A8" s="76" t="s">
        <v>179</v>
      </c>
      <c r="B8" s="76" t="s">
        <v>113</v>
      </c>
      <c r="C8" s="76" t="s">
        <v>325</v>
      </c>
      <c r="D8" s="76" t="s">
        <v>15</v>
      </c>
      <c r="E8" s="76" t="s">
        <v>14</v>
      </c>
      <c r="F8" s="77" t="s">
        <v>212</v>
      </c>
      <c r="G8" s="79">
        <v>0</v>
      </c>
      <c r="H8" s="79" t="s">
        <v>212</v>
      </c>
      <c r="I8" s="79">
        <v>1.6470588235294117</v>
      </c>
      <c r="J8" s="79" t="s">
        <v>212</v>
      </c>
      <c r="K8" s="79">
        <v>0</v>
      </c>
      <c r="L8" s="77" t="s">
        <v>212</v>
      </c>
      <c r="N8" s="77" t="s">
        <v>212</v>
      </c>
      <c r="O8" s="77"/>
      <c r="P8" s="77" t="s">
        <v>212</v>
      </c>
      <c r="Q8" s="77"/>
      <c r="R8" s="77" t="s">
        <v>212</v>
      </c>
      <c r="S8" s="79">
        <f>AVERAGE(G8,I8,K8)</f>
        <v>0.5490196078431372</v>
      </c>
      <c r="T8" s="77" t="s">
        <v>212</v>
      </c>
      <c r="U8" s="77"/>
      <c r="V8" s="77" t="s">
        <v>212</v>
      </c>
      <c r="W8" s="77"/>
      <c r="X8" s="76">
        <v>0.5490196078431372</v>
      </c>
    </row>
    <row r="9" spans="1:24" s="76" customFormat="1" ht="12.75">
      <c r="A9" s="76" t="s">
        <v>179</v>
      </c>
      <c r="B9" s="76" t="s">
        <v>356</v>
      </c>
      <c r="C9" s="80" t="s">
        <v>325</v>
      </c>
      <c r="D9" s="76" t="s">
        <v>15</v>
      </c>
      <c r="E9" s="76" t="s">
        <v>14</v>
      </c>
      <c r="F9" s="77" t="s">
        <v>212</v>
      </c>
      <c r="G9" s="79">
        <v>0</v>
      </c>
      <c r="H9" s="79" t="s">
        <v>212</v>
      </c>
      <c r="I9" s="79">
        <v>0.16470588235294117</v>
      </c>
      <c r="J9" s="79" t="s">
        <v>212</v>
      </c>
      <c r="K9" s="79">
        <v>0.6268656716417911</v>
      </c>
      <c r="L9" s="77" t="s">
        <v>212</v>
      </c>
      <c r="N9" s="77" t="s">
        <v>212</v>
      </c>
      <c r="O9" s="77"/>
      <c r="P9" s="77" t="s">
        <v>212</v>
      </c>
      <c r="Q9" s="77"/>
      <c r="R9" s="77" t="s">
        <v>212</v>
      </c>
      <c r="S9" s="79">
        <f>AVERAGE(G9,I9,K9)</f>
        <v>0.26385718466491076</v>
      </c>
      <c r="T9" s="77" t="s">
        <v>212</v>
      </c>
      <c r="U9" s="77"/>
      <c r="V9" s="77" t="s">
        <v>212</v>
      </c>
      <c r="W9" s="77"/>
      <c r="X9" s="76">
        <v>0.26385718466491076</v>
      </c>
    </row>
    <row r="10" spans="1:24" s="76" customFormat="1" ht="12.75">
      <c r="A10" s="76" t="s">
        <v>179</v>
      </c>
      <c r="B10" s="76" t="s">
        <v>49</v>
      </c>
      <c r="C10" s="80" t="s">
        <v>325</v>
      </c>
      <c r="D10" s="76" t="s">
        <v>15</v>
      </c>
      <c r="E10" s="76" t="s">
        <v>14</v>
      </c>
      <c r="F10" s="77" t="s">
        <v>212</v>
      </c>
      <c r="G10" s="79">
        <v>1.1641410052765178</v>
      </c>
      <c r="H10" s="79" t="s">
        <v>97</v>
      </c>
      <c r="I10" s="79">
        <v>0.7692946818347953</v>
      </c>
      <c r="J10" s="79" t="s">
        <v>97</v>
      </c>
      <c r="K10" s="79">
        <v>0.7563774203860767</v>
      </c>
      <c r="L10" s="77" t="s">
        <v>212</v>
      </c>
      <c r="N10" s="77" t="s">
        <v>212</v>
      </c>
      <c r="O10" s="77"/>
      <c r="P10" s="77" t="s">
        <v>212</v>
      </c>
      <c r="Q10" s="77"/>
      <c r="R10" s="77" t="s">
        <v>212</v>
      </c>
      <c r="S10" s="79">
        <f>AVERAGE(G10,I10,K10)</f>
        <v>0.8966043691657966</v>
      </c>
      <c r="T10" s="77" t="s">
        <v>212</v>
      </c>
      <c r="U10" s="77"/>
      <c r="V10" s="77" t="s">
        <v>212</v>
      </c>
      <c r="W10" s="77"/>
      <c r="X10" s="76">
        <v>0.8966043691657966</v>
      </c>
    </row>
    <row r="11" spans="6:23" s="76" customFormat="1" ht="12.75">
      <c r="F11" s="77"/>
      <c r="G11" s="79"/>
      <c r="H11" s="79"/>
      <c r="I11" s="79"/>
      <c r="J11" s="79"/>
      <c r="K11" s="79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</row>
    <row r="12" spans="1:57" s="80" customFormat="1" ht="12.75">
      <c r="A12" s="80" t="s">
        <v>179</v>
      </c>
      <c r="B12" s="80" t="s">
        <v>213</v>
      </c>
      <c r="C12" s="80" t="s">
        <v>51</v>
      </c>
      <c r="D12" s="80" t="s">
        <v>17</v>
      </c>
      <c r="G12" s="94">
        <v>99.99999</v>
      </c>
      <c r="H12" s="94"/>
      <c r="I12" s="94">
        <v>99.999995</v>
      </c>
      <c r="J12" s="94"/>
      <c r="K12" s="94">
        <v>99.999998</v>
      </c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</row>
    <row r="13" spans="7:57" s="80" customFormat="1" ht="12.75"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</row>
    <row r="14" spans="2:23" s="76" customFormat="1" ht="12.75">
      <c r="B14" s="76" t="s">
        <v>84</v>
      </c>
      <c r="C14" s="76" t="s">
        <v>214</v>
      </c>
      <c r="D14" s="80" t="s">
        <v>324</v>
      </c>
      <c r="F14" s="77"/>
      <c r="G14" s="79"/>
      <c r="H14" s="79"/>
      <c r="I14" s="79"/>
      <c r="J14" s="79"/>
      <c r="K14" s="79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</row>
    <row r="15" spans="2:63" s="76" customFormat="1" ht="12.75">
      <c r="B15" s="9" t="s">
        <v>77</v>
      </c>
      <c r="C15" s="9"/>
      <c r="D15" s="9" t="s">
        <v>16</v>
      </c>
      <c r="G15" s="79">
        <v>38400</v>
      </c>
      <c r="H15" s="79"/>
      <c r="I15" s="79">
        <v>31600</v>
      </c>
      <c r="J15" s="79"/>
      <c r="K15" s="79">
        <v>32300</v>
      </c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</row>
    <row r="16" spans="2:63" s="76" customFormat="1" ht="12.75">
      <c r="B16" s="9" t="s">
        <v>81</v>
      </c>
      <c r="C16" s="9"/>
      <c r="D16" s="9" t="s">
        <v>17</v>
      </c>
      <c r="G16" s="79">
        <v>7.8</v>
      </c>
      <c r="H16" s="79"/>
      <c r="I16" s="79">
        <v>12.5</v>
      </c>
      <c r="J16" s="79"/>
      <c r="K16" s="79">
        <v>7.6</v>
      </c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</row>
    <row r="17" spans="1:63" s="76" customFormat="1" ht="12.75">
      <c r="A17" s="76" t="s">
        <v>179</v>
      </c>
      <c r="B17" s="9" t="s">
        <v>82</v>
      </c>
      <c r="C17" s="9"/>
      <c r="D17" s="9" t="s">
        <v>17</v>
      </c>
      <c r="G17" s="79">
        <v>19.6</v>
      </c>
      <c r="H17" s="79"/>
      <c r="I17" s="79">
        <v>14.6</v>
      </c>
      <c r="J17" s="79"/>
      <c r="K17" s="79">
        <v>15.8</v>
      </c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</row>
    <row r="18" spans="2:63" s="76" customFormat="1" ht="12.75">
      <c r="B18" s="9" t="s">
        <v>76</v>
      </c>
      <c r="C18" s="9"/>
      <c r="D18" s="9" t="s">
        <v>18</v>
      </c>
      <c r="G18" s="79">
        <v>135</v>
      </c>
      <c r="H18" s="79"/>
      <c r="I18" s="79">
        <v>129</v>
      </c>
      <c r="J18" s="79"/>
      <c r="K18" s="79">
        <v>132</v>
      </c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</row>
    <row r="19" spans="7:63" s="76" customFormat="1" ht="12.75"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</row>
    <row r="20" spans="2:63" s="76" customFormat="1" ht="12.75">
      <c r="B20" s="76" t="s">
        <v>84</v>
      </c>
      <c r="C20" s="76" t="s">
        <v>215</v>
      </c>
      <c r="D20" s="76" t="s">
        <v>325</v>
      </c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</row>
    <row r="21" spans="2:63" s="76" customFormat="1" ht="12.75">
      <c r="B21" s="9" t="s">
        <v>77</v>
      </c>
      <c r="C21" s="9"/>
      <c r="D21" s="9" t="s">
        <v>16</v>
      </c>
      <c r="G21" s="79">
        <v>34500</v>
      </c>
      <c r="H21" s="79"/>
      <c r="I21" s="79">
        <v>31300</v>
      </c>
      <c r="J21" s="79"/>
      <c r="K21" s="79">
        <v>29200</v>
      </c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</row>
    <row r="22" spans="2:63" s="76" customFormat="1" ht="12.75">
      <c r="B22" s="9" t="s">
        <v>81</v>
      </c>
      <c r="C22" s="9"/>
      <c r="D22" s="9" t="s">
        <v>17</v>
      </c>
      <c r="G22" s="79">
        <v>7.8</v>
      </c>
      <c r="H22" s="79"/>
      <c r="I22" s="79">
        <v>12.5</v>
      </c>
      <c r="J22" s="79"/>
      <c r="K22" s="79">
        <v>7.6</v>
      </c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</row>
    <row r="23" spans="2:63" s="76" customFormat="1" ht="12.75">
      <c r="B23" s="9" t="s">
        <v>82</v>
      </c>
      <c r="C23" s="9"/>
      <c r="D23" s="9" t="s">
        <v>17</v>
      </c>
      <c r="G23" s="79">
        <v>19.3</v>
      </c>
      <c r="H23" s="79"/>
      <c r="I23" s="79">
        <v>14.6</v>
      </c>
      <c r="J23" s="79"/>
      <c r="K23" s="79">
        <v>16</v>
      </c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</row>
    <row r="24" spans="2:63" s="76" customFormat="1" ht="12.75">
      <c r="B24" s="9" t="s">
        <v>76</v>
      </c>
      <c r="C24" s="9"/>
      <c r="D24" s="9" t="s">
        <v>18</v>
      </c>
      <c r="G24" s="79">
        <v>138</v>
      </c>
      <c r="H24" s="79"/>
      <c r="I24" s="79">
        <v>131</v>
      </c>
      <c r="J24" s="79"/>
      <c r="K24" s="79">
        <v>133</v>
      </c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</row>
    <row r="25" spans="7:63" s="76" customFormat="1" ht="12.75"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</row>
    <row r="26" spans="2:63" s="76" customFormat="1" ht="12.75">
      <c r="B26" s="76" t="s">
        <v>84</v>
      </c>
      <c r="C26" s="76" t="s">
        <v>216</v>
      </c>
      <c r="D26" s="76" t="s">
        <v>330</v>
      </c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</row>
    <row r="27" spans="2:63" s="76" customFormat="1" ht="12.75">
      <c r="B27" s="9" t="s">
        <v>77</v>
      </c>
      <c r="C27" s="9"/>
      <c r="D27" s="9" t="s">
        <v>16</v>
      </c>
      <c r="G27" s="79">
        <v>32700</v>
      </c>
      <c r="H27" s="79"/>
      <c r="I27" s="79">
        <v>32400</v>
      </c>
      <c r="J27" s="79"/>
      <c r="K27" s="79">
        <v>31500</v>
      </c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</row>
    <row r="28" spans="2:63" s="76" customFormat="1" ht="12.75">
      <c r="B28" s="9" t="s">
        <v>81</v>
      </c>
      <c r="C28" s="9"/>
      <c r="D28" s="9" t="s">
        <v>17</v>
      </c>
      <c r="G28" s="79">
        <v>7.8</v>
      </c>
      <c r="H28" s="79"/>
      <c r="I28" s="79">
        <v>12.5</v>
      </c>
      <c r="J28" s="79"/>
      <c r="K28" s="79">
        <v>7.6</v>
      </c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</row>
    <row r="29" spans="2:63" s="76" customFormat="1" ht="12.75">
      <c r="B29" s="9" t="s">
        <v>82</v>
      </c>
      <c r="C29" s="9"/>
      <c r="D29" s="9" t="s">
        <v>17</v>
      </c>
      <c r="G29" s="79">
        <v>18.9</v>
      </c>
      <c r="H29" s="79"/>
      <c r="I29" s="79">
        <v>14.2</v>
      </c>
      <c r="J29" s="79"/>
      <c r="K29" s="79">
        <v>15.4</v>
      </c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</row>
    <row r="30" spans="2:63" s="76" customFormat="1" ht="12.75">
      <c r="B30" s="9" t="s">
        <v>76</v>
      </c>
      <c r="C30" s="9"/>
      <c r="D30" s="9" t="s">
        <v>18</v>
      </c>
      <c r="G30" s="79">
        <v>138</v>
      </c>
      <c r="H30" s="79"/>
      <c r="I30" s="79">
        <v>131</v>
      </c>
      <c r="J30" s="79"/>
      <c r="K30" s="79">
        <v>132</v>
      </c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</row>
    <row r="31" spans="7:63" s="76" customFormat="1" ht="12.75"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</row>
    <row r="32" spans="2:63" s="76" customFormat="1" ht="12.75">
      <c r="B32" s="37" t="s">
        <v>188</v>
      </c>
      <c r="G32" s="46" t="s">
        <v>209</v>
      </c>
      <c r="H32" s="46"/>
      <c r="I32" s="46" t="s">
        <v>210</v>
      </c>
      <c r="J32" s="46"/>
      <c r="K32" s="46" t="s">
        <v>211</v>
      </c>
      <c r="L32" s="46"/>
      <c r="M32" s="46" t="s">
        <v>232</v>
      </c>
      <c r="N32" s="46"/>
      <c r="O32" s="46" t="s">
        <v>286</v>
      </c>
      <c r="P32" s="46"/>
      <c r="Q32" s="46" t="s">
        <v>287</v>
      </c>
      <c r="R32" s="79"/>
      <c r="S32" s="46" t="s">
        <v>46</v>
      </c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</row>
    <row r="33" spans="6:23" s="76" customFormat="1" ht="12.75">
      <c r="F33" s="77"/>
      <c r="G33" s="79"/>
      <c r="H33" s="79"/>
      <c r="I33" s="79"/>
      <c r="J33" s="79"/>
      <c r="K33" s="79"/>
      <c r="L33" s="77"/>
      <c r="N33" s="77"/>
      <c r="O33" s="77"/>
      <c r="P33" s="77"/>
      <c r="Q33" s="77"/>
      <c r="R33" s="77"/>
      <c r="S33" s="77"/>
      <c r="T33" s="77"/>
      <c r="U33" s="77"/>
      <c r="V33" s="77"/>
      <c r="W33" s="77"/>
    </row>
    <row r="34" spans="1:24" s="76" customFormat="1" ht="12.75">
      <c r="A34" s="76" t="s">
        <v>188</v>
      </c>
      <c r="B34" s="76" t="s">
        <v>12</v>
      </c>
      <c r="C34" s="76" t="s">
        <v>325</v>
      </c>
      <c r="D34" s="76" t="s">
        <v>13</v>
      </c>
      <c r="E34" s="76" t="s">
        <v>14</v>
      </c>
      <c r="F34" s="77" t="s">
        <v>212</v>
      </c>
      <c r="G34" s="78">
        <v>0.002058843952941177</v>
      </c>
      <c r="H34" s="78" t="s">
        <v>212</v>
      </c>
      <c r="I34" s="78">
        <v>0.0013284803316788321</v>
      </c>
      <c r="J34" s="78" t="s">
        <v>212</v>
      </c>
      <c r="K34" s="78">
        <v>0.000969240384</v>
      </c>
      <c r="L34" s="78" t="s">
        <v>212</v>
      </c>
      <c r="N34" s="78" t="s">
        <v>212</v>
      </c>
      <c r="O34" s="78"/>
      <c r="P34" s="78" t="s">
        <v>212</v>
      </c>
      <c r="Q34" s="78"/>
      <c r="R34" s="78" t="s">
        <v>212</v>
      </c>
      <c r="S34" s="78">
        <f>AVERAGE(G34,I34,K34)</f>
        <v>0.0014521882228733362</v>
      </c>
      <c r="T34" s="78" t="s">
        <v>212</v>
      </c>
      <c r="U34" s="78"/>
      <c r="V34" s="77" t="s">
        <v>212</v>
      </c>
      <c r="W34" s="77"/>
      <c r="X34" s="76">
        <v>0.0014521882228733362</v>
      </c>
    </row>
    <row r="35" spans="1:24" s="76" customFormat="1" ht="12.75">
      <c r="A35" s="76" t="s">
        <v>188</v>
      </c>
      <c r="B35" s="76" t="s">
        <v>113</v>
      </c>
      <c r="C35" s="76" t="s">
        <v>325</v>
      </c>
      <c r="D35" s="76" t="s">
        <v>15</v>
      </c>
      <c r="E35" s="76" t="s">
        <v>14</v>
      </c>
      <c r="F35" s="77" t="s">
        <v>212</v>
      </c>
      <c r="G35" s="79">
        <v>0</v>
      </c>
      <c r="H35" s="79" t="s">
        <v>212</v>
      </c>
      <c r="I35" s="79">
        <v>0</v>
      </c>
      <c r="J35" s="79" t="s">
        <v>212</v>
      </c>
      <c r="K35" s="79">
        <v>0</v>
      </c>
      <c r="L35" s="77" t="s">
        <v>212</v>
      </c>
      <c r="N35" s="77" t="s">
        <v>212</v>
      </c>
      <c r="O35" s="77"/>
      <c r="P35" s="77" t="s">
        <v>212</v>
      </c>
      <c r="Q35" s="77"/>
      <c r="R35" s="77" t="s">
        <v>212</v>
      </c>
      <c r="S35" s="79">
        <f>AVERAGE(G35,I35,K35)</f>
        <v>0</v>
      </c>
      <c r="T35" s="77" t="s">
        <v>212</v>
      </c>
      <c r="U35" s="77"/>
      <c r="V35" s="77" t="s">
        <v>212</v>
      </c>
      <c r="W35" s="77"/>
      <c r="X35" s="76">
        <v>0</v>
      </c>
    </row>
    <row r="36" spans="1:24" s="76" customFormat="1" ht="12.75">
      <c r="A36" s="76" t="s">
        <v>188</v>
      </c>
      <c r="B36" s="76" t="s">
        <v>356</v>
      </c>
      <c r="C36" s="76" t="s">
        <v>325</v>
      </c>
      <c r="D36" s="76" t="s">
        <v>15</v>
      </c>
      <c r="E36" s="76" t="s">
        <v>14</v>
      </c>
      <c r="F36" s="77" t="s">
        <v>212</v>
      </c>
      <c r="G36" s="79">
        <v>0.20588235294117652</v>
      </c>
      <c r="H36" s="79" t="s">
        <v>212</v>
      </c>
      <c r="I36" s="79">
        <v>0.3065693430656935</v>
      </c>
      <c r="J36" s="79" t="s">
        <v>212</v>
      </c>
      <c r="K36" s="79">
        <v>0</v>
      </c>
      <c r="L36" s="77" t="s">
        <v>212</v>
      </c>
      <c r="N36" s="77" t="s">
        <v>212</v>
      </c>
      <c r="O36" s="77"/>
      <c r="P36" s="77" t="s">
        <v>212</v>
      </c>
      <c r="Q36" s="77"/>
      <c r="R36" s="77" t="s">
        <v>212</v>
      </c>
      <c r="S36" s="79">
        <f>AVERAGE(G36,I36,K36)</f>
        <v>0.17081723200229001</v>
      </c>
      <c r="T36" s="77" t="s">
        <v>212</v>
      </c>
      <c r="U36" s="77"/>
      <c r="V36" s="77" t="s">
        <v>212</v>
      </c>
      <c r="W36" s="77"/>
      <c r="X36" s="76">
        <v>0.17081723200229001</v>
      </c>
    </row>
    <row r="37" spans="1:24" s="76" customFormat="1" ht="12.75">
      <c r="A37" s="76" t="s">
        <v>188</v>
      </c>
      <c r="B37" s="76" t="s">
        <v>49</v>
      </c>
      <c r="C37" s="76" t="s">
        <v>325</v>
      </c>
      <c r="D37" s="76" t="s">
        <v>15</v>
      </c>
      <c r="E37" s="76" t="s">
        <v>14</v>
      </c>
      <c r="F37" s="77" t="s">
        <v>212</v>
      </c>
      <c r="G37" s="79">
        <v>0.36060688211006</v>
      </c>
      <c r="H37" s="79" t="s">
        <v>212</v>
      </c>
      <c r="I37" s="79">
        <v>0.21478482905241547</v>
      </c>
      <c r="J37" s="79" t="s">
        <v>212</v>
      </c>
      <c r="K37" s="79">
        <v>0.679050498004175</v>
      </c>
      <c r="L37" s="77" t="s">
        <v>212</v>
      </c>
      <c r="N37" s="77" t="s">
        <v>212</v>
      </c>
      <c r="O37" s="77"/>
      <c r="P37" s="77" t="s">
        <v>212</v>
      </c>
      <c r="Q37" s="77"/>
      <c r="R37" s="77" t="s">
        <v>212</v>
      </c>
      <c r="S37" s="79">
        <f>AVERAGE(G37,I37,K37)</f>
        <v>0.41814740305555015</v>
      </c>
      <c r="T37" s="77" t="s">
        <v>212</v>
      </c>
      <c r="U37" s="77"/>
      <c r="V37" s="77" t="s">
        <v>212</v>
      </c>
      <c r="W37" s="77"/>
      <c r="X37" s="76">
        <v>0.41814740305555015</v>
      </c>
    </row>
    <row r="38" spans="6:23" s="76" customFormat="1" ht="12.75">
      <c r="F38" s="77"/>
      <c r="G38" s="79"/>
      <c r="H38" s="79"/>
      <c r="I38" s="79"/>
      <c r="J38" s="79"/>
      <c r="K38" s="79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</row>
    <row r="39" spans="1:57" s="80" customFormat="1" ht="12.75">
      <c r="A39" s="80" t="s">
        <v>188</v>
      </c>
      <c r="B39" s="80" t="s">
        <v>213</v>
      </c>
      <c r="C39" s="80" t="s">
        <v>51</v>
      </c>
      <c r="D39" s="80" t="s">
        <v>17</v>
      </c>
      <c r="G39" s="81">
        <v>99.999976</v>
      </c>
      <c r="H39" s="81"/>
      <c r="I39" s="81">
        <v>99.99999</v>
      </c>
      <c r="J39" s="81"/>
      <c r="K39" s="81">
        <v>99.999992</v>
      </c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</row>
    <row r="40" spans="7:57" s="80" customFormat="1" ht="12.75"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</row>
    <row r="41" spans="2:23" s="76" customFormat="1" ht="12.75">
      <c r="B41" s="76" t="s">
        <v>84</v>
      </c>
      <c r="C41" s="76" t="s">
        <v>214</v>
      </c>
      <c r="D41" s="80" t="s">
        <v>324</v>
      </c>
      <c r="F41" s="77"/>
      <c r="G41" s="79"/>
      <c r="H41" s="79"/>
      <c r="I41" s="79"/>
      <c r="J41" s="79"/>
      <c r="K41" s="79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</row>
    <row r="42" spans="2:63" s="76" customFormat="1" ht="12.75">
      <c r="B42" s="5" t="s">
        <v>77</v>
      </c>
      <c r="C42" s="5"/>
      <c r="D42" s="5" t="s">
        <v>16</v>
      </c>
      <c r="G42" s="79">
        <v>32600</v>
      </c>
      <c r="H42" s="79"/>
      <c r="I42" s="79">
        <v>32900</v>
      </c>
      <c r="J42" s="79"/>
      <c r="K42" s="79">
        <v>34200</v>
      </c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</row>
    <row r="43" spans="2:63" s="76" customFormat="1" ht="12.75">
      <c r="B43" s="5" t="s">
        <v>81</v>
      </c>
      <c r="C43" s="5"/>
      <c r="D43" s="5" t="s">
        <v>17</v>
      </c>
      <c r="G43" s="79">
        <v>7.4</v>
      </c>
      <c r="H43" s="79"/>
      <c r="I43" s="79">
        <v>7.3</v>
      </c>
      <c r="J43" s="79"/>
      <c r="K43" s="79">
        <v>8</v>
      </c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</row>
    <row r="44" spans="1:63" s="76" customFormat="1" ht="12.75">
      <c r="A44" s="76" t="s">
        <v>188</v>
      </c>
      <c r="B44" s="5" t="s">
        <v>82</v>
      </c>
      <c r="C44" s="5"/>
      <c r="D44" s="5" t="s">
        <v>17</v>
      </c>
      <c r="G44" s="79">
        <v>20.9</v>
      </c>
      <c r="H44" s="79"/>
      <c r="I44" s="79">
        <v>20.4</v>
      </c>
      <c r="J44" s="79"/>
      <c r="K44" s="79">
        <v>19</v>
      </c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</row>
    <row r="45" spans="2:63" s="76" customFormat="1" ht="12.75">
      <c r="B45" s="5" t="s">
        <v>76</v>
      </c>
      <c r="C45" s="5"/>
      <c r="D45" s="5" t="s">
        <v>18</v>
      </c>
      <c r="G45" s="79">
        <v>140</v>
      </c>
      <c r="H45" s="79"/>
      <c r="I45" s="79">
        <v>141</v>
      </c>
      <c r="J45" s="79"/>
      <c r="K45" s="79">
        <v>138</v>
      </c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</row>
    <row r="46" spans="7:63" s="76" customFormat="1" ht="12.75"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</row>
    <row r="47" spans="2:63" s="76" customFormat="1" ht="12.75">
      <c r="B47" s="76" t="s">
        <v>84</v>
      </c>
      <c r="C47" s="76" t="s">
        <v>215</v>
      </c>
      <c r="D47" s="76" t="s">
        <v>325</v>
      </c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</row>
    <row r="48" spans="2:63" s="76" customFormat="1" ht="12.75">
      <c r="B48" s="5" t="s">
        <v>77</v>
      </c>
      <c r="C48" s="5"/>
      <c r="D48" s="5" t="s">
        <v>16</v>
      </c>
      <c r="G48" s="79">
        <v>30300</v>
      </c>
      <c r="H48" s="79"/>
      <c r="I48" s="79">
        <v>32100</v>
      </c>
      <c r="J48" s="79"/>
      <c r="K48" s="79">
        <v>32300</v>
      </c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</row>
    <row r="49" spans="2:63" s="76" customFormat="1" ht="12.75">
      <c r="B49" s="5" t="s">
        <v>81</v>
      </c>
      <c r="C49" s="5"/>
      <c r="D49" s="5" t="s">
        <v>17</v>
      </c>
      <c r="G49" s="79">
        <v>7.4</v>
      </c>
      <c r="H49" s="79"/>
      <c r="I49" s="79">
        <v>7.3</v>
      </c>
      <c r="J49" s="79"/>
      <c r="K49" s="79">
        <v>8</v>
      </c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</row>
    <row r="50" spans="2:63" s="76" customFormat="1" ht="12.75">
      <c r="B50" s="5" t="s">
        <v>82</v>
      </c>
      <c r="C50" s="5"/>
      <c r="D50" s="5" t="s">
        <v>17</v>
      </c>
      <c r="G50" s="79">
        <v>20.4</v>
      </c>
      <c r="H50" s="79"/>
      <c r="I50" s="79">
        <v>20.4</v>
      </c>
      <c r="J50" s="79"/>
      <c r="K50" s="79">
        <v>18.9</v>
      </c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</row>
    <row r="51" spans="2:63" s="76" customFormat="1" ht="12.75">
      <c r="B51" s="5" t="s">
        <v>76</v>
      </c>
      <c r="C51" s="5"/>
      <c r="D51" s="5" t="s">
        <v>18</v>
      </c>
      <c r="G51" s="79">
        <v>141</v>
      </c>
      <c r="H51" s="79"/>
      <c r="I51" s="79">
        <v>142</v>
      </c>
      <c r="J51" s="79"/>
      <c r="K51" s="79">
        <v>140</v>
      </c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</row>
    <row r="52" spans="7:63" s="76" customFormat="1" ht="12.75"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</row>
    <row r="53" spans="2:63" s="76" customFormat="1" ht="12.75">
      <c r="B53" s="76" t="s">
        <v>84</v>
      </c>
      <c r="C53" s="76" t="s">
        <v>216</v>
      </c>
      <c r="D53" s="76" t="s">
        <v>330</v>
      </c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</row>
    <row r="54" spans="2:63" s="76" customFormat="1" ht="12.75">
      <c r="B54" s="5" t="s">
        <v>77</v>
      </c>
      <c r="C54" s="5"/>
      <c r="D54" s="5" t="s">
        <v>16</v>
      </c>
      <c r="G54" s="79">
        <v>30900</v>
      </c>
      <c r="H54" s="79"/>
      <c r="I54" s="79">
        <v>31500</v>
      </c>
      <c r="J54" s="79"/>
      <c r="K54" s="79">
        <v>35100</v>
      </c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</row>
    <row r="55" spans="2:63" s="76" customFormat="1" ht="12.75">
      <c r="B55" s="5" t="s">
        <v>81</v>
      </c>
      <c r="C55" s="5"/>
      <c r="D55" s="5" t="s">
        <v>17</v>
      </c>
      <c r="G55" s="79">
        <v>7.4</v>
      </c>
      <c r="H55" s="79"/>
      <c r="I55" s="79">
        <v>7.3</v>
      </c>
      <c r="J55" s="79"/>
      <c r="K55" s="79">
        <v>8</v>
      </c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</row>
    <row r="56" spans="2:63" s="76" customFormat="1" ht="12.75">
      <c r="B56" s="5" t="s">
        <v>82</v>
      </c>
      <c r="C56" s="5"/>
      <c r="D56" s="5" t="s">
        <v>17</v>
      </c>
      <c r="G56" s="79">
        <v>20.6</v>
      </c>
      <c r="H56" s="79"/>
      <c r="I56" s="79">
        <v>20.4</v>
      </c>
      <c r="J56" s="79"/>
      <c r="K56" s="79">
        <v>18.7</v>
      </c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</row>
    <row r="57" spans="2:63" s="76" customFormat="1" ht="12.75">
      <c r="B57" s="5" t="s">
        <v>76</v>
      </c>
      <c r="C57" s="5"/>
      <c r="D57" s="5" t="s">
        <v>18</v>
      </c>
      <c r="G57" s="79">
        <v>141</v>
      </c>
      <c r="H57" s="79"/>
      <c r="I57" s="79">
        <v>143</v>
      </c>
      <c r="J57" s="79"/>
      <c r="K57" s="79">
        <v>140</v>
      </c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</row>
    <row r="58" spans="6:23" s="76" customFormat="1" ht="12.75">
      <c r="F58" s="77"/>
      <c r="G58" s="79"/>
      <c r="H58" s="79"/>
      <c r="I58" s="79"/>
      <c r="J58" s="79"/>
      <c r="K58" s="79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</row>
    <row r="59" spans="2:23" s="76" customFormat="1" ht="12.75">
      <c r="B59" s="37" t="s">
        <v>190</v>
      </c>
      <c r="F59" s="77"/>
      <c r="G59" s="46" t="s">
        <v>209</v>
      </c>
      <c r="H59" s="46"/>
      <c r="I59" s="46" t="s">
        <v>210</v>
      </c>
      <c r="J59" s="46"/>
      <c r="K59" s="46" t="s">
        <v>211</v>
      </c>
      <c r="L59" s="46"/>
      <c r="M59" s="46" t="s">
        <v>232</v>
      </c>
      <c r="N59" s="46"/>
      <c r="O59" s="46" t="s">
        <v>286</v>
      </c>
      <c r="P59" s="46"/>
      <c r="Q59" s="46" t="s">
        <v>287</v>
      </c>
      <c r="R59" s="77"/>
      <c r="S59" s="46" t="s">
        <v>46</v>
      </c>
      <c r="T59" s="77"/>
      <c r="U59" s="77"/>
      <c r="V59" s="77"/>
      <c r="W59" s="77"/>
    </row>
    <row r="60" spans="6:23" s="76" customFormat="1" ht="12.75">
      <c r="F60" s="77"/>
      <c r="G60" s="79"/>
      <c r="H60" s="79"/>
      <c r="I60" s="79"/>
      <c r="J60" s="79"/>
      <c r="K60" s="79"/>
      <c r="L60" s="77"/>
      <c r="N60" s="77"/>
      <c r="O60" s="77"/>
      <c r="P60" s="77"/>
      <c r="Q60" s="77"/>
      <c r="R60" s="77"/>
      <c r="S60" s="77"/>
      <c r="T60" s="77"/>
      <c r="U60" s="77"/>
      <c r="V60" s="77"/>
      <c r="W60" s="77"/>
    </row>
    <row r="61" spans="1:24" s="76" customFormat="1" ht="12.75">
      <c r="A61" s="76" t="s">
        <v>190</v>
      </c>
      <c r="B61" s="76" t="s">
        <v>12</v>
      </c>
      <c r="C61" s="76" t="s">
        <v>330</v>
      </c>
      <c r="D61" s="76" t="s">
        <v>13</v>
      </c>
      <c r="E61" s="76" t="s">
        <v>14</v>
      </c>
      <c r="F61" s="77" t="s">
        <v>212</v>
      </c>
      <c r="G61" s="78">
        <v>0.00593605888512</v>
      </c>
      <c r="H61" s="78" t="s">
        <v>212</v>
      </c>
      <c r="I61" s="78">
        <v>0.006681884465454545</v>
      </c>
      <c r="J61" s="78" t="s">
        <v>212</v>
      </c>
      <c r="K61" s="78">
        <v>0.004078780618582677</v>
      </c>
      <c r="L61" s="78" t="s">
        <v>212</v>
      </c>
      <c r="N61" s="78" t="s">
        <v>212</v>
      </c>
      <c r="O61" s="78"/>
      <c r="P61" s="78" t="s">
        <v>212</v>
      </c>
      <c r="Q61" s="78"/>
      <c r="R61" s="78" t="s">
        <v>212</v>
      </c>
      <c r="S61" s="78">
        <f aca="true" t="shared" si="0" ref="S61:S74">AVERAGE(G61,I61,K61)</f>
        <v>0.005565574656385741</v>
      </c>
      <c r="T61" s="78" t="s">
        <v>212</v>
      </c>
      <c r="U61" s="78"/>
      <c r="V61" s="77" t="s">
        <v>212</v>
      </c>
      <c r="W61" s="77"/>
      <c r="X61" s="76">
        <v>0.00556557465638574</v>
      </c>
    </row>
    <row r="62" spans="1:24" s="76" customFormat="1" ht="12.75">
      <c r="A62" s="76" t="s">
        <v>190</v>
      </c>
      <c r="B62" s="76" t="s">
        <v>113</v>
      </c>
      <c r="C62" s="76" t="s">
        <v>330</v>
      </c>
      <c r="D62" s="76" t="s">
        <v>15</v>
      </c>
      <c r="E62" s="76" t="s">
        <v>14</v>
      </c>
      <c r="F62" s="77" t="s">
        <v>212</v>
      </c>
      <c r="G62" s="79">
        <v>10.4</v>
      </c>
      <c r="H62" s="79" t="s">
        <v>212</v>
      </c>
      <c r="I62" s="79">
        <v>5.4</v>
      </c>
      <c r="J62" s="79" t="s">
        <v>212</v>
      </c>
      <c r="K62" s="79">
        <v>6.6</v>
      </c>
      <c r="L62" s="77" t="s">
        <v>212</v>
      </c>
      <c r="N62" s="77" t="s">
        <v>212</v>
      </c>
      <c r="O62" s="77"/>
      <c r="P62" s="77" t="s">
        <v>212</v>
      </c>
      <c r="Q62" s="77"/>
      <c r="R62" s="77" t="s">
        <v>212</v>
      </c>
      <c r="S62" s="79">
        <f t="shared" si="0"/>
        <v>7.466666666666666</v>
      </c>
      <c r="T62" s="77" t="s">
        <v>212</v>
      </c>
      <c r="U62" s="77"/>
      <c r="V62" s="77" t="s">
        <v>212</v>
      </c>
      <c r="W62" s="77"/>
      <c r="X62" s="76">
        <v>7.466666666666666</v>
      </c>
    </row>
    <row r="63" spans="1:24" s="76" customFormat="1" ht="12.75">
      <c r="A63" s="76" t="s">
        <v>190</v>
      </c>
      <c r="B63" s="76" t="s">
        <v>356</v>
      </c>
      <c r="C63" s="76" t="s">
        <v>330</v>
      </c>
      <c r="D63" s="76" t="s">
        <v>15</v>
      </c>
      <c r="E63" s="76" t="s">
        <v>14</v>
      </c>
      <c r="F63" s="77" t="s">
        <v>97</v>
      </c>
      <c r="G63" s="79">
        <v>0.112</v>
      </c>
      <c r="H63" s="79" t="s">
        <v>97</v>
      </c>
      <c r="I63" s="79">
        <v>0.10606060606060606</v>
      </c>
      <c r="J63" s="79" t="s">
        <v>212</v>
      </c>
      <c r="K63" s="79">
        <v>0.11023622047244</v>
      </c>
      <c r="L63" s="77" t="s">
        <v>212</v>
      </c>
      <c r="N63" s="77" t="s">
        <v>212</v>
      </c>
      <c r="O63" s="77"/>
      <c r="P63" s="77" t="s">
        <v>212</v>
      </c>
      <c r="Q63" s="77"/>
      <c r="R63" s="77" t="s">
        <v>212</v>
      </c>
      <c r="S63" s="79">
        <f t="shared" si="0"/>
        <v>0.10943227551101535</v>
      </c>
      <c r="T63" s="77" t="s">
        <v>212</v>
      </c>
      <c r="U63" s="77"/>
      <c r="V63" s="77" t="s">
        <v>212</v>
      </c>
      <c r="W63" s="77"/>
      <c r="X63" s="76">
        <v>0.10943227551101535</v>
      </c>
    </row>
    <row r="64" spans="1:24" s="76" customFormat="1" ht="12.75">
      <c r="A64" s="76" t="s">
        <v>190</v>
      </c>
      <c r="B64" s="76" t="s">
        <v>49</v>
      </c>
      <c r="C64" s="76" t="s">
        <v>330</v>
      </c>
      <c r="D64" s="76" t="s">
        <v>15</v>
      </c>
      <c r="E64" s="76" t="s">
        <v>14</v>
      </c>
      <c r="F64" s="77" t="s">
        <v>212</v>
      </c>
      <c r="G64" s="79">
        <v>0.9677727097481724</v>
      </c>
      <c r="H64" s="79" t="s">
        <v>212</v>
      </c>
      <c r="I64" s="79">
        <v>1.0898341325993</v>
      </c>
      <c r="J64" s="79" t="s">
        <v>212</v>
      </c>
      <c r="K64" s="79">
        <v>1.158485101581926</v>
      </c>
      <c r="L64" s="77" t="s">
        <v>212</v>
      </c>
      <c r="N64" s="77" t="s">
        <v>212</v>
      </c>
      <c r="O64" s="77"/>
      <c r="P64" s="77" t="s">
        <v>212</v>
      </c>
      <c r="Q64" s="77"/>
      <c r="R64" s="77" t="s">
        <v>212</v>
      </c>
      <c r="S64" s="79">
        <f t="shared" si="0"/>
        <v>1.072030647976466</v>
      </c>
      <c r="T64" s="77" t="s">
        <v>212</v>
      </c>
      <c r="U64" s="77"/>
      <c r="V64" s="77" t="s">
        <v>212</v>
      </c>
      <c r="W64" s="77"/>
      <c r="X64" s="76">
        <v>1.072030647976466</v>
      </c>
    </row>
    <row r="65" spans="1:24" s="76" customFormat="1" ht="12.75">
      <c r="A65" s="76" t="s">
        <v>190</v>
      </c>
      <c r="B65" s="76" t="s">
        <v>103</v>
      </c>
      <c r="C65" s="76" t="s">
        <v>325</v>
      </c>
      <c r="D65" s="76" t="s">
        <v>54</v>
      </c>
      <c r="E65" s="76" t="s">
        <v>14</v>
      </c>
      <c r="F65" s="77" t="s">
        <v>212</v>
      </c>
      <c r="G65" s="79">
        <v>9.48864</v>
      </c>
      <c r="H65" s="79" t="s">
        <v>212</v>
      </c>
      <c r="I65" s="79">
        <v>7.113484848484848</v>
      </c>
      <c r="J65" s="79" t="s">
        <v>212</v>
      </c>
      <c r="K65" s="79">
        <v>8.171811023622046</v>
      </c>
      <c r="L65" s="77" t="s">
        <v>212</v>
      </c>
      <c r="N65" s="77" t="s">
        <v>212</v>
      </c>
      <c r="O65" s="77"/>
      <c r="P65" s="77" t="s">
        <v>212</v>
      </c>
      <c r="Q65" s="77"/>
      <c r="R65" s="77" t="s">
        <v>212</v>
      </c>
      <c r="S65" s="79">
        <f t="shared" si="0"/>
        <v>8.257978624035632</v>
      </c>
      <c r="T65" s="77" t="s">
        <v>212</v>
      </c>
      <c r="U65" s="77"/>
      <c r="V65" s="77" t="s">
        <v>212</v>
      </c>
      <c r="W65" s="77"/>
      <c r="X65" s="76">
        <v>8.257978624035632</v>
      </c>
    </row>
    <row r="66" spans="1:24" s="76" customFormat="1" ht="12.75">
      <c r="A66" s="76" t="s">
        <v>190</v>
      </c>
      <c r="B66" s="76" t="s">
        <v>79</v>
      </c>
      <c r="C66" s="76" t="s">
        <v>325</v>
      </c>
      <c r="D66" s="76" t="s">
        <v>54</v>
      </c>
      <c r="E66" s="76" t="s">
        <v>14</v>
      </c>
      <c r="F66" s="77" t="s">
        <v>97</v>
      </c>
      <c r="G66" s="79">
        <v>0.1818656</v>
      </c>
      <c r="H66" s="79" t="s">
        <v>97</v>
      </c>
      <c r="I66" s="79">
        <v>0.19094090909091</v>
      </c>
      <c r="J66" s="79" t="s">
        <v>97</v>
      </c>
      <c r="K66" s="79">
        <v>0.2023496062992126</v>
      </c>
      <c r="L66" s="77" t="s">
        <v>212</v>
      </c>
      <c r="N66" s="77" t="s">
        <v>212</v>
      </c>
      <c r="O66" s="77"/>
      <c r="P66" s="77" t="s">
        <v>212</v>
      </c>
      <c r="Q66" s="77"/>
      <c r="R66" s="77" t="s">
        <v>212</v>
      </c>
      <c r="S66" s="79">
        <f t="shared" si="0"/>
        <v>0.19171870513004086</v>
      </c>
      <c r="T66" s="77" t="s">
        <v>212</v>
      </c>
      <c r="U66" s="77"/>
      <c r="V66" s="77" t="s">
        <v>212</v>
      </c>
      <c r="W66" s="77"/>
      <c r="X66" s="76">
        <v>0.19171870513004086</v>
      </c>
    </row>
    <row r="67" spans="1:24" s="76" customFormat="1" ht="12.75">
      <c r="A67" s="76" t="s">
        <v>190</v>
      </c>
      <c r="B67" s="76" t="s">
        <v>104</v>
      </c>
      <c r="C67" s="76" t="s">
        <v>325</v>
      </c>
      <c r="D67" s="76" t="s">
        <v>54</v>
      </c>
      <c r="E67" s="76" t="s">
        <v>14</v>
      </c>
      <c r="F67" s="77" t="s">
        <v>212</v>
      </c>
      <c r="G67" s="79">
        <v>1.620976</v>
      </c>
      <c r="H67" s="79" t="s">
        <v>212</v>
      </c>
      <c r="I67" s="79">
        <v>2.2089242424242417</v>
      </c>
      <c r="J67" s="79" t="s">
        <v>212</v>
      </c>
      <c r="K67" s="79">
        <v>2.0624094488189</v>
      </c>
      <c r="L67" s="77" t="s">
        <v>212</v>
      </c>
      <c r="N67" s="77" t="s">
        <v>212</v>
      </c>
      <c r="O67" s="77"/>
      <c r="P67" s="77" t="s">
        <v>212</v>
      </c>
      <c r="Q67" s="77"/>
      <c r="R67" s="77" t="s">
        <v>212</v>
      </c>
      <c r="S67" s="79">
        <f t="shared" si="0"/>
        <v>1.9641032304143806</v>
      </c>
      <c r="T67" s="77" t="s">
        <v>212</v>
      </c>
      <c r="U67" s="77"/>
      <c r="V67" s="77" t="s">
        <v>212</v>
      </c>
      <c r="W67" s="77"/>
      <c r="X67" s="76">
        <v>1.9641032304143804</v>
      </c>
    </row>
    <row r="68" spans="1:24" s="76" customFormat="1" ht="12.75">
      <c r="A68" s="76" t="s">
        <v>190</v>
      </c>
      <c r="B68" s="76" t="s">
        <v>83</v>
      </c>
      <c r="C68" s="76" t="s">
        <v>325</v>
      </c>
      <c r="D68" s="76" t="s">
        <v>54</v>
      </c>
      <c r="E68" s="76" t="s">
        <v>14</v>
      </c>
      <c r="F68" s="77" t="s">
        <v>212</v>
      </c>
      <c r="G68" s="79">
        <v>5.53504</v>
      </c>
      <c r="H68" s="79" t="s">
        <v>212</v>
      </c>
      <c r="I68" s="79">
        <v>4.867121212121211</v>
      </c>
      <c r="J68" s="79" t="s">
        <v>212</v>
      </c>
      <c r="K68" s="79">
        <v>5.837007874015748</v>
      </c>
      <c r="L68" s="77" t="s">
        <v>212</v>
      </c>
      <c r="N68" s="77" t="s">
        <v>212</v>
      </c>
      <c r="O68" s="77"/>
      <c r="P68" s="77" t="s">
        <v>212</v>
      </c>
      <c r="Q68" s="77"/>
      <c r="R68" s="77" t="s">
        <v>212</v>
      </c>
      <c r="S68" s="79">
        <f t="shared" si="0"/>
        <v>5.413056362045652</v>
      </c>
      <c r="T68" s="77" t="s">
        <v>212</v>
      </c>
      <c r="U68" s="77"/>
      <c r="V68" s="77" t="s">
        <v>212</v>
      </c>
      <c r="W68" s="77"/>
      <c r="X68" s="76">
        <v>5.413056362045654</v>
      </c>
    </row>
    <row r="69" spans="1:24" s="76" customFormat="1" ht="12.75">
      <c r="A69" s="76" t="s">
        <v>190</v>
      </c>
      <c r="B69" s="76" t="s">
        <v>78</v>
      </c>
      <c r="C69" s="76" t="s">
        <v>325</v>
      </c>
      <c r="D69" s="76" t="s">
        <v>54</v>
      </c>
      <c r="E69" s="76" t="s">
        <v>14</v>
      </c>
      <c r="F69" s="77" t="s">
        <v>212</v>
      </c>
      <c r="G69" s="79">
        <v>33.6056</v>
      </c>
      <c r="H69" s="79" t="s">
        <v>212</v>
      </c>
      <c r="I69" s="79">
        <v>35.1930303030303</v>
      </c>
      <c r="J69" s="79" t="s">
        <v>212</v>
      </c>
      <c r="K69" s="79">
        <v>66.15275590551181</v>
      </c>
      <c r="L69" s="77" t="s">
        <v>212</v>
      </c>
      <c r="N69" s="77" t="s">
        <v>212</v>
      </c>
      <c r="O69" s="77"/>
      <c r="P69" s="77" t="s">
        <v>212</v>
      </c>
      <c r="Q69" s="77"/>
      <c r="R69" s="77" t="s">
        <v>212</v>
      </c>
      <c r="S69" s="79">
        <f t="shared" si="0"/>
        <v>44.98379540284737</v>
      </c>
      <c r="T69" s="77" t="s">
        <v>212</v>
      </c>
      <c r="U69" s="77"/>
      <c r="V69" s="77" t="s">
        <v>212</v>
      </c>
      <c r="W69" s="77"/>
      <c r="X69" s="76">
        <v>44.98379540284737</v>
      </c>
    </row>
    <row r="70" spans="1:24" s="76" customFormat="1" ht="12.75">
      <c r="A70" s="76" t="s">
        <v>190</v>
      </c>
      <c r="B70" s="76" t="s">
        <v>80</v>
      </c>
      <c r="C70" s="76" t="s">
        <v>325</v>
      </c>
      <c r="D70" s="76" t="s">
        <v>54</v>
      </c>
      <c r="E70" s="76" t="s">
        <v>14</v>
      </c>
      <c r="F70" s="77" t="s">
        <v>212</v>
      </c>
      <c r="G70" s="79">
        <v>1.858192</v>
      </c>
      <c r="H70" s="79" t="s">
        <v>212</v>
      </c>
      <c r="I70" s="79">
        <v>1.9842878787878784</v>
      </c>
      <c r="J70" s="79" t="s">
        <v>212</v>
      </c>
      <c r="K70" s="79">
        <v>9.3392125984252</v>
      </c>
      <c r="L70" s="77" t="s">
        <v>212</v>
      </c>
      <c r="N70" s="77" t="s">
        <v>212</v>
      </c>
      <c r="O70" s="77"/>
      <c r="P70" s="77" t="s">
        <v>212</v>
      </c>
      <c r="Q70" s="77"/>
      <c r="R70" s="77" t="s">
        <v>212</v>
      </c>
      <c r="S70" s="79">
        <f t="shared" si="0"/>
        <v>4.39389749240436</v>
      </c>
      <c r="T70" s="77" t="s">
        <v>212</v>
      </c>
      <c r="U70" s="77"/>
      <c r="V70" s="77" t="s">
        <v>212</v>
      </c>
      <c r="W70" s="77"/>
      <c r="X70" s="76">
        <v>4.39389749240436</v>
      </c>
    </row>
    <row r="71" spans="1:24" s="76" customFormat="1" ht="12.75">
      <c r="A71" s="76" t="s">
        <v>190</v>
      </c>
      <c r="B71" s="76" t="s">
        <v>105</v>
      </c>
      <c r="C71" s="76" t="s">
        <v>325</v>
      </c>
      <c r="D71" s="76" t="s">
        <v>54</v>
      </c>
      <c r="E71" s="76" t="s">
        <v>14</v>
      </c>
      <c r="F71" s="77" t="s">
        <v>212</v>
      </c>
      <c r="G71" s="79">
        <v>1.304688</v>
      </c>
      <c r="H71" s="79" t="s">
        <v>212</v>
      </c>
      <c r="I71" s="79">
        <v>2.5084393939394</v>
      </c>
      <c r="J71" s="79" t="s">
        <v>212</v>
      </c>
      <c r="K71" s="79">
        <v>2.140236220472441</v>
      </c>
      <c r="L71" s="77" t="s">
        <v>212</v>
      </c>
      <c r="N71" s="77" t="s">
        <v>212</v>
      </c>
      <c r="O71" s="77"/>
      <c r="P71" s="77" t="s">
        <v>212</v>
      </c>
      <c r="Q71" s="77"/>
      <c r="R71" s="77" t="s">
        <v>212</v>
      </c>
      <c r="S71" s="79">
        <f t="shared" si="0"/>
        <v>1.9844545381372802</v>
      </c>
      <c r="T71" s="77" t="s">
        <v>212</v>
      </c>
      <c r="U71" s="77"/>
      <c r="V71" s="77" t="s">
        <v>212</v>
      </c>
      <c r="W71" s="77"/>
      <c r="X71" s="76">
        <v>1.9844545381372807</v>
      </c>
    </row>
    <row r="72" spans="1:24" s="76" customFormat="1" ht="12.75">
      <c r="A72" s="76" t="s">
        <v>190</v>
      </c>
      <c r="B72" s="76" t="s">
        <v>110</v>
      </c>
      <c r="C72" s="76" t="s">
        <v>325</v>
      </c>
      <c r="D72" s="76" t="s">
        <v>54</v>
      </c>
      <c r="E72" s="76" t="s">
        <v>14</v>
      </c>
      <c r="F72" s="77" t="s">
        <v>97</v>
      </c>
      <c r="G72" s="79">
        <v>1.818656</v>
      </c>
      <c r="H72" s="79" t="s">
        <v>97</v>
      </c>
      <c r="I72" s="79">
        <v>1.9094090909091</v>
      </c>
      <c r="J72" s="79" t="s">
        <v>97</v>
      </c>
      <c r="K72" s="79">
        <v>2.023496062992126</v>
      </c>
      <c r="L72" s="77" t="s">
        <v>212</v>
      </c>
      <c r="N72" s="77" t="s">
        <v>212</v>
      </c>
      <c r="O72" s="77"/>
      <c r="P72" s="77" t="s">
        <v>212</v>
      </c>
      <c r="Q72" s="77"/>
      <c r="R72" s="77" t="s">
        <v>212</v>
      </c>
      <c r="S72" s="79">
        <f t="shared" si="0"/>
        <v>1.9171870513004086</v>
      </c>
      <c r="T72" s="77" t="s">
        <v>212</v>
      </c>
      <c r="U72" s="77"/>
      <c r="V72" s="77" t="s">
        <v>212</v>
      </c>
      <c r="W72" s="77"/>
      <c r="X72" s="76">
        <v>1.9171870513004086</v>
      </c>
    </row>
    <row r="73" spans="2:23" s="76" customFormat="1" ht="12.75">
      <c r="B73" s="80" t="s">
        <v>55</v>
      </c>
      <c r="C73" s="80" t="s">
        <v>325</v>
      </c>
      <c r="D73" s="80" t="s">
        <v>54</v>
      </c>
      <c r="E73" s="80" t="s">
        <v>14</v>
      </c>
      <c r="F73" s="77"/>
      <c r="G73" s="79">
        <f>G67+G69</f>
        <v>35.226576</v>
      </c>
      <c r="H73" s="79"/>
      <c r="I73" s="79">
        <f>I67+I69</f>
        <v>37.40195454545454</v>
      </c>
      <c r="J73" s="79"/>
      <c r="K73" s="79">
        <f>K67+K69</f>
        <v>68.21516535433071</v>
      </c>
      <c r="L73" s="77"/>
      <c r="N73" s="77"/>
      <c r="O73" s="77"/>
      <c r="P73" s="77"/>
      <c r="Q73" s="77"/>
      <c r="R73" s="77"/>
      <c r="S73" s="79">
        <f t="shared" si="0"/>
        <v>46.94789863326175</v>
      </c>
      <c r="T73" s="77"/>
      <c r="U73" s="77"/>
      <c r="V73" s="77"/>
      <c r="W73" s="77"/>
    </row>
    <row r="74" spans="2:23" s="76" customFormat="1" ht="12.75">
      <c r="B74" s="80" t="s">
        <v>56</v>
      </c>
      <c r="C74" s="80" t="s">
        <v>325</v>
      </c>
      <c r="D74" s="80" t="s">
        <v>54</v>
      </c>
      <c r="E74" s="80" t="s">
        <v>14</v>
      </c>
      <c r="F74" s="77"/>
      <c r="G74" s="79">
        <f>G65+G66+G68</f>
        <v>15.2055456</v>
      </c>
      <c r="H74" s="79"/>
      <c r="I74" s="79">
        <f>I65+I66+I68</f>
        <v>12.17154696969697</v>
      </c>
      <c r="J74" s="79"/>
      <c r="K74" s="79">
        <f>K65+K66+K68</f>
        <v>14.211168503937007</v>
      </c>
      <c r="L74" s="77"/>
      <c r="N74" s="77"/>
      <c r="O74" s="77"/>
      <c r="P74" s="77"/>
      <c r="Q74" s="77"/>
      <c r="R74" s="77"/>
      <c r="S74" s="79">
        <f t="shared" si="0"/>
        <v>13.862753691211324</v>
      </c>
      <c r="T74" s="77"/>
      <c r="U74" s="77"/>
      <c r="V74" s="77"/>
      <c r="W74" s="77"/>
    </row>
    <row r="75" spans="6:23" s="76" customFormat="1" ht="12.75">
      <c r="F75" s="77"/>
      <c r="G75" s="79"/>
      <c r="H75" s="79"/>
      <c r="I75" s="79"/>
      <c r="J75" s="79"/>
      <c r="K75" s="79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</row>
    <row r="76" spans="1:57" s="80" customFormat="1" ht="12.75">
      <c r="A76" s="80" t="s">
        <v>190</v>
      </c>
      <c r="B76" s="80" t="s">
        <v>217</v>
      </c>
      <c r="C76" s="80" t="s">
        <v>51</v>
      </c>
      <c r="D76" s="80" t="s">
        <v>17</v>
      </c>
      <c r="G76" s="81">
        <v>99.999954</v>
      </c>
      <c r="H76" s="81"/>
      <c r="I76" s="81">
        <v>99.999952</v>
      </c>
      <c r="J76" s="81"/>
      <c r="K76" s="81">
        <v>99.999952</v>
      </c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</row>
    <row r="77" spans="1:57" s="80" customFormat="1" ht="12.75">
      <c r="A77" s="80" t="s">
        <v>190</v>
      </c>
      <c r="B77" s="80" t="s">
        <v>218</v>
      </c>
      <c r="C77" s="80" t="s">
        <v>51</v>
      </c>
      <c r="D77" s="80" t="s">
        <v>17</v>
      </c>
      <c r="G77" s="81">
        <v>99.999896</v>
      </c>
      <c r="H77" s="81"/>
      <c r="I77" s="81">
        <v>99.999877</v>
      </c>
      <c r="J77" s="81"/>
      <c r="K77" s="81">
        <v>99.999894</v>
      </c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</row>
    <row r="78" spans="1:57" s="80" customFormat="1" ht="12.75">
      <c r="A78" s="80" t="s">
        <v>190</v>
      </c>
      <c r="B78" s="80" t="s">
        <v>148</v>
      </c>
      <c r="C78" s="80" t="s">
        <v>51</v>
      </c>
      <c r="D78" s="80" t="s">
        <v>17</v>
      </c>
      <c r="G78" s="81">
        <v>99.999967</v>
      </c>
      <c r="H78" s="81"/>
      <c r="I78" s="81">
        <v>99.999958</v>
      </c>
      <c r="J78" s="81"/>
      <c r="K78" s="81">
        <v>99.999986</v>
      </c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</row>
    <row r="79" spans="1:57" s="80" customFormat="1" ht="12.75">
      <c r="A79" s="80" t="s">
        <v>190</v>
      </c>
      <c r="B79" s="80" t="s">
        <v>219</v>
      </c>
      <c r="C79" s="80" t="s">
        <v>51</v>
      </c>
      <c r="D79" s="80" t="s">
        <v>17</v>
      </c>
      <c r="G79" s="81">
        <v>99.999949</v>
      </c>
      <c r="H79" s="81"/>
      <c r="I79" s="81">
        <v>99.999947</v>
      </c>
      <c r="J79" s="81"/>
      <c r="K79" s="81">
        <v>99.999947</v>
      </c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</row>
    <row r="80" spans="7:57" s="80" customFormat="1" ht="12.75"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</row>
    <row r="81" spans="2:23" s="76" customFormat="1" ht="12.75">
      <c r="B81" s="76" t="s">
        <v>84</v>
      </c>
      <c r="C81" s="76" t="s">
        <v>214</v>
      </c>
      <c r="D81" s="80" t="s">
        <v>324</v>
      </c>
      <c r="F81" s="77"/>
      <c r="G81" s="79"/>
      <c r="H81" s="79"/>
      <c r="I81" s="79"/>
      <c r="J81" s="79"/>
      <c r="K81" s="79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</row>
    <row r="82" spans="2:63" s="76" customFormat="1" ht="12.75">
      <c r="B82" s="5" t="s">
        <v>77</v>
      </c>
      <c r="C82" s="5"/>
      <c r="D82" s="5" t="s">
        <v>16</v>
      </c>
      <c r="G82" s="79">
        <v>40181</v>
      </c>
      <c r="H82" s="79"/>
      <c r="I82" s="79">
        <v>41005</v>
      </c>
      <c r="J82" s="79"/>
      <c r="K82" s="79">
        <v>42044</v>
      </c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79"/>
      <c r="BE82" s="79"/>
      <c r="BF82" s="79"/>
      <c r="BG82" s="79"/>
      <c r="BH82" s="79"/>
      <c r="BI82" s="79"/>
      <c r="BJ82" s="79"/>
      <c r="BK82" s="79"/>
    </row>
    <row r="83" spans="2:63" s="76" customFormat="1" ht="12.75">
      <c r="B83" s="5" t="s">
        <v>81</v>
      </c>
      <c r="C83" s="5"/>
      <c r="D83" s="5" t="s">
        <v>17</v>
      </c>
      <c r="G83" s="79">
        <v>8.5</v>
      </c>
      <c r="H83" s="79"/>
      <c r="I83" s="79">
        <v>7.8</v>
      </c>
      <c r="J83" s="79"/>
      <c r="K83" s="79">
        <v>8.3</v>
      </c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79"/>
      <c r="AX83" s="79"/>
      <c r="AY83" s="79"/>
      <c r="AZ83" s="79"/>
      <c r="BA83" s="79"/>
      <c r="BB83" s="79"/>
      <c r="BC83" s="79"/>
      <c r="BD83" s="79"/>
      <c r="BE83" s="79"/>
      <c r="BF83" s="79"/>
      <c r="BG83" s="79"/>
      <c r="BH83" s="79"/>
      <c r="BI83" s="79"/>
      <c r="BJ83" s="79"/>
      <c r="BK83" s="79"/>
    </row>
    <row r="84" spans="1:63" s="76" customFormat="1" ht="12.75">
      <c r="A84" s="76" t="s">
        <v>190</v>
      </c>
      <c r="B84" s="5" t="s">
        <v>82</v>
      </c>
      <c r="C84" s="5"/>
      <c r="D84" s="5" t="s">
        <v>17</v>
      </c>
      <c r="G84" s="79">
        <v>13.2</v>
      </c>
      <c r="H84" s="79"/>
      <c r="I84" s="79">
        <v>13.8</v>
      </c>
      <c r="J84" s="79"/>
      <c r="K84" s="79">
        <v>18</v>
      </c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79"/>
      <c r="AO84" s="79"/>
      <c r="AP84" s="79"/>
      <c r="AQ84" s="79"/>
      <c r="AR84" s="79"/>
      <c r="AS84" s="79"/>
      <c r="AT84" s="79"/>
      <c r="AU84" s="79"/>
      <c r="AV84" s="79"/>
      <c r="AW84" s="79"/>
      <c r="AX84" s="79"/>
      <c r="AY84" s="79"/>
      <c r="AZ84" s="79"/>
      <c r="BA84" s="79"/>
      <c r="BB84" s="79"/>
      <c r="BC84" s="79"/>
      <c r="BD84" s="79"/>
      <c r="BE84" s="79"/>
      <c r="BF84" s="79"/>
      <c r="BG84" s="79"/>
      <c r="BH84" s="79"/>
      <c r="BI84" s="79"/>
      <c r="BJ84" s="79"/>
      <c r="BK84" s="79"/>
    </row>
    <row r="85" spans="2:63" s="76" customFormat="1" ht="12.75">
      <c r="B85" s="5" t="s">
        <v>76</v>
      </c>
      <c r="C85" s="5"/>
      <c r="D85" s="5" t="s">
        <v>18</v>
      </c>
      <c r="G85" s="79">
        <v>124</v>
      </c>
      <c r="H85" s="79"/>
      <c r="I85" s="79">
        <v>124</v>
      </c>
      <c r="J85" s="79"/>
      <c r="K85" s="79">
        <v>134</v>
      </c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S85" s="79"/>
      <c r="AT85" s="79"/>
      <c r="AU85" s="79"/>
      <c r="AV85" s="79"/>
      <c r="AW85" s="79"/>
      <c r="AX85" s="79"/>
      <c r="AY85" s="79"/>
      <c r="AZ85" s="79"/>
      <c r="BA85" s="79"/>
      <c r="BB85" s="79"/>
      <c r="BC85" s="79"/>
      <c r="BD85" s="79"/>
      <c r="BE85" s="79"/>
      <c r="BF85" s="79"/>
      <c r="BG85" s="79"/>
      <c r="BH85" s="79"/>
      <c r="BI85" s="79"/>
      <c r="BJ85" s="79"/>
      <c r="BK85" s="79"/>
    </row>
    <row r="86" spans="7:63" s="76" customFormat="1" ht="12.75"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79"/>
      <c r="AN86" s="79"/>
      <c r="AO86" s="79"/>
      <c r="AP86" s="79"/>
      <c r="AQ86" s="79"/>
      <c r="AR86" s="79"/>
      <c r="AS86" s="79"/>
      <c r="AT86" s="79"/>
      <c r="AU86" s="79"/>
      <c r="AV86" s="79"/>
      <c r="AW86" s="79"/>
      <c r="AX86" s="79"/>
      <c r="AY86" s="79"/>
      <c r="AZ86" s="79"/>
      <c r="BA86" s="79"/>
      <c r="BB86" s="79"/>
      <c r="BC86" s="79"/>
      <c r="BD86" s="79"/>
      <c r="BE86" s="79"/>
      <c r="BF86" s="79"/>
      <c r="BG86" s="79"/>
      <c r="BH86" s="79"/>
      <c r="BI86" s="79"/>
      <c r="BJ86" s="79"/>
      <c r="BK86" s="79"/>
    </row>
    <row r="87" spans="2:63" s="76" customFormat="1" ht="12.75">
      <c r="B87" s="76" t="s">
        <v>84</v>
      </c>
      <c r="C87" s="76" t="s">
        <v>96</v>
      </c>
      <c r="D87" s="76" t="s">
        <v>325</v>
      </c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79"/>
      <c r="BD87" s="79"/>
      <c r="BE87" s="79"/>
      <c r="BF87" s="79"/>
      <c r="BG87" s="79"/>
      <c r="BH87" s="79"/>
      <c r="BI87" s="79"/>
      <c r="BJ87" s="79"/>
      <c r="BK87" s="79"/>
    </row>
    <row r="88" spans="2:63" s="76" customFormat="1" ht="12.75">
      <c r="B88" s="5" t="s">
        <v>77</v>
      </c>
      <c r="C88" s="5"/>
      <c r="D88" s="5" t="s">
        <v>16</v>
      </c>
      <c r="G88" s="79">
        <v>39616</v>
      </c>
      <c r="H88" s="79"/>
      <c r="I88" s="79">
        <v>40802</v>
      </c>
      <c r="J88" s="79"/>
      <c r="K88" s="79">
        <v>40323</v>
      </c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79"/>
      <c r="AN88" s="79"/>
      <c r="AO88" s="79"/>
      <c r="AP88" s="79"/>
      <c r="AQ88" s="79"/>
      <c r="AR88" s="79"/>
      <c r="AS88" s="79"/>
      <c r="AT88" s="79"/>
      <c r="AU88" s="79"/>
      <c r="AV88" s="79"/>
      <c r="AW88" s="79"/>
      <c r="AX88" s="79"/>
      <c r="AY88" s="79"/>
      <c r="AZ88" s="79"/>
      <c r="BA88" s="79"/>
      <c r="BB88" s="79"/>
      <c r="BC88" s="79"/>
      <c r="BD88" s="79"/>
      <c r="BE88" s="79"/>
      <c r="BF88" s="79"/>
      <c r="BG88" s="79"/>
      <c r="BH88" s="79"/>
      <c r="BI88" s="79"/>
      <c r="BJ88" s="79"/>
      <c r="BK88" s="79"/>
    </row>
    <row r="89" spans="2:63" s="76" customFormat="1" ht="12.75">
      <c r="B89" s="5" t="s">
        <v>81</v>
      </c>
      <c r="C89" s="5"/>
      <c r="D89" s="5" t="s">
        <v>17</v>
      </c>
      <c r="G89" s="79">
        <v>8.5</v>
      </c>
      <c r="H89" s="79"/>
      <c r="I89" s="79">
        <v>7.8</v>
      </c>
      <c r="J89" s="79"/>
      <c r="K89" s="79">
        <v>8.3</v>
      </c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79"/>
      <c r="AJ89" s="79"/>
      <c r="AK89" s="79"/>
      <c r="AL89" s="79"/>
      <c r="AM89" s="79"/>
      <c r="AN89" s="79"/>
      <c r="AO89" s="79"/>
      <c r="AP89" s="79"/>
      <c r="AQ89" s="79"/>
      <c r="AR89" s="79"/>
      <c r="AS89" s="79"/>
      <c r="AT89" s="79"/>
      <c r="AU89" s="79"/>
      <c r="AV89" s="79"/>
      <c r="AW89" s="79"/>
      <c r="AX89" s="79"/>
      <c r="AY89" s="79"/>
      <c r="AZ89" s="79"/>
      <c r="BA89" s="79"/>
      <c r="BB89" s="79"/>
      <c r="BC89" s="79"/>
      <c r="BD89" s="79"/>
      <c r="BE89" s="79"/>
      <c r="BF89" s="79"/>
      <c r="BG89" s="79"/>
      <c r="BH89" s="79"/>
      <c r="BI89" s="79"/>
      <c r="BJ89" s="79"/>
      <c r="BK89" s="79"/>
    </row>
    <row r="90" spans="2:63" s="76" customFormat="1" ht="12.75">
      <c r="B90" s="5" t="s">
        <v>82</v>
      </c>
      <c r="C90" s="5"/>
      <c r="D90" s="5" t="s">
        <v>17</v>
      </c>
      <c r="G90" s="79">
        <v>13.3</v>
      </c>
      <c r="H90" s="79"/>
      <c r="I90" s="79">
        <v>14</v>
      </c>
      <c r="J90" s="79"/>
      <c r="K90" s="79">
        <v>18.2</v>
      </c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79"/>
      <c r="AK90" s="79"/>
      <c r="AL90" s="79"/>
      <c r="AM90" s="79"/>
      <c r="AN90" s="79"/>
      <c r="AO90" s="79"/>
      <c r="AP90" s="79"/>
      <c r="AQ90" s="79"/>
      <c r="AR90" s="79"/>
      <c r="AS90" s="79"/>
      <c r="AT90" s="79"/>
      <c r="AU90" s="79"/>
      <c r="AV90" s="79"/>
      <c r="AW90" s="79"/>
      <c r="AX90" s="79"/>
      <c r="AY90" s="79"/>
      <c r="AZ90" s="79"/>
      <c r="BA90" s="79"/>
      <c r="BB90" s="79"/>
      <c r="BC90" s="79"/>
      <c r="BD90" s="79"/>
      <c r="BE90" s="79"/>
      <c r="BF90" s="79"/>
      <c r="BG90" s="79"/>
      <c r="BH90" s="79"/>
      <c r="BI90" s="79"/>
      <c r="BJ90" s="79"/>
      <c r="BK90" s="79"/>
    </row>
    <row r="91" spans="2:63" s="76" customFormat="1" ht="12.75">
      <c r="B91" s="5" t="s">
        <v>76</v>
      </c>
      <c r="C91" s="5"/>
      <c r="D91" s="5" t="s">
        <v>18</v>
      </c>
      <c r="G91" s="79">
        <v>124</v>
      </c>
      <c r="H91" s="79"/>
      <c r="I91" s="79">
        <v>124</v>
      </c>
      <c r="J91" s="79"/>
      <c r="K91" s="79">
        <v>134</v>
      </c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  <c r="AJ91" s="79"/>
      <c r="AK91" s="79"/>
      <c r="AL91" s="79"/>
      <c r="AM91" s="79"/>
      <c r="AN91" s="79"/>
      <c r="AO91" s="79"/>
      <c r="AP91" s="79"/>
      <c r="AQ91" s="79"/>
      <c r="AR91" s="79"/>
      <c r="AS91" s="79"/>
      <c r="AT91" s="79"/>
      <c r="AU91" s="79"/>
      <c r="AV91" s="79"/>
      <c r="AW91" s="79"/>
      <c r="AX91" s="79"/>
      <c r="AY91" s="79"/>
      <c r="AZ91" s="79"/>
      <c r="BA91" s="79"/>
      <c r="BB91" s="79"/>
      <c r="BC91" s="79"/>
      <c r="BD91" s="79"/>
      <c r="BE91" s="79"/>
      <c r="BF91" s="79"/>
      <c r="BG91" s="79"/>
      <c r="BH91" s="79"/>
      <c r="BI91" s="79"/>
      <c r="BJ91" s="79"/>
      <c r="BK91" s="79"/>
    </row>
    <row r="92" spans="7:63" s="76" customFormat="1" ht="12.75"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79"/>
      <c r="AJ92" s="79"/>
      <c r="AK92" s="79"/>
      <c r="AL92" s="79"/>
      <c r="AM92" s="79"/>
      <c r="AN92" s="79"/>
      <c r="AO92" s="79"/>
      <c r="AP92" s="79"/>
      <c r="AQ92" s="79"/>
      <c r="AR92" s="79"/>
      <c r="AS92" s="79"/>
      <c r="AT92" s="79"/>
      <c r="AU92" s="79"/>
      <c r="AV92" s="79"/>
      <c r="AW92" s="79"/>
      <c r="AX92" s="79"/>
      <c r="AY92" s="79"/>
      <c r="AZ92" s="79"/>
      <c r="BA92" s="79"/>
      <c r="BB92" s="79"/>
      <c r="BC92" s="79"/>
      <c r="BD92" s="79"/>
      <c r="BE92" s="79"/>
      <c r="BF92" s="79"/>
      <c r="BG92" s="79"/>
      <c r="BH92" s="79"/>
      <c r="BI92" s="79"/>
      <c r="BJ92" s="79"/>
      <c r="BK92" s="79"/>
    </row>
    <row r="93" spans="2:63" s="76" customFormat="1" ht="12.75">
      <c r="B93" s="76" t="s">
        <v>84</v>
      </c>
      <c r="C93" s="76" t="s">
        <v>215</v>
      </c>
      <c r="D93" s="76" t="s">
        <v>330</v>
      </c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79"/>
      <c r="AF93" s="79"/>
      <c r="AG93" s="79"/>
      <c r="AH93" s="79"/>
      <c r="AI93" s="79"/>
      <c r="AJ93" s="79"/>
      <c r="AK93" s="79"/>
      <c r="AL93" s="79"/>
      <c r="AM93" s="79"/>
      <c r="AN93" s="79"/>
      <c r="AO93" s="79"/>
      <c r="AP93" s="79"/>
      <c r="AQ93" s="79"/>
      <c r="AR93" s="79"/>
      <c r="AS93" s="79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79"/>
      <c r="BE93" s="79"/>
      <c r="BF93" s="79"/>
      <c r="BG93" s="79"/>
      <c r="BH93" s="79"/>
      <c r="BI93" s="79"/>
      <c r="BJ93" s="79"/>
      <c r="BK93" s="79"/>
    </row>
    <row r="94" spans="2:63" s="76" customFormat="1" ht="12.75">
      <c r="B94" s="5" t="s">
        <v>77</v>
      </c>
      <c r="C94" s="5"/>
      <c r="D94" s="5" t="s">
        <v>16</v>
      </c>
      <c r="G94" s="79">
        <v>39530</v>
      </c>
      <c r="H94" s="79"/>
      <c r="I94" s="79">
        <v>41235</v>
      </c>
      <c r="J94" s="79"/>
      <c r="K94" s="79">
        <v>43844</v>
      </c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79"/>
      <c r="AK94" s="79"/>
      <c r="AL94" s="79"/>
      <c r="AM94" s="79"/>
      <c r="AN94" s="79"/>
      <c r="AO94" s="79"/>
      <c r="AP94" s="79"/>
      <c r="AQ94" s="79"/>
      <c r="AR94" s="79"/>
      <c r="AS94" s="79"/>
      <c r="AT94" s="79"/>
      <c r="AU94" s="79"/>
      <c r="AV94" s="79"/>
      <c r="AW94" s="79"/>
      <c r="AX94" s="79"/>
      <c r="AY94" s="79"/>
      <c r="AZ94" s="79"/>
      <c r="BA94" s="79"/>
      <c r="BB94" s="79"/>
      <c r="BC94" s="79"/>
      <c r="BD94" s="79"/>
      <c r="BE94" s="79"/>
      <c r="BF94" s="79"/>
      <c r="BG94" s="79"/>
      <c r="BH94" s="79"/>
      <c r="BI94" s="79"/>
      <c r="BJ94" s="79"/>
      <c r="BK94" s="79"/>
    </row>
    <row r="95" spans="2:63" s="76" customFormat="1" ht="12.75">
      <c r="B95" s="5" t="s">
        <v>81</v>
      </c>
      <c r="C95" s="5"/>
      <c r="D95" s="5" t="s">
        <v>17</v>
      </c>
      <c r="G95" s="79">
        <v>8.5</v>
      </c>
      <c r="H95" s="79"/>
      <c r="I95" s="79">
        <v>7.8</v>
      </c>
      <c r="J95" s="79"/>
      <c r="K95" s="79">
        <v>8.3</v>
      </c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79"/>
      <c r="AK95" s="79"/>
      <c r="AL95" s="79"/>
      <c r="AM95" s="79"/>
      <c r="AN95" s="79"/>
      <c r="AO95" s="79"/>
      <c r="AP95" s="79"/>
      <c r="AQ95" s="79"/>
      <c r="AR95" s="79"/>
      <c r="AS95" s="79"/>
      <c r="AT95" s="79"/>
      <c r="AU95" s="79"/>
      <c r="AV95" s="79"/>
      <c r="AW95" s="79"/>
      <c r="AX95" s="79"/>
      <c r="AY95" s="79"/>
      <c r="AZ95" s="79"/>
      <c r="BA95" s="79"/>
      <c r="BB95" s="79"/>
      <c r="BC95" s="79"/>
      <c r="BD95" s="79"/>
      <c r="BE95" s="79"/>
      <c r="BF95" s="79"/>
      <c r="BG95" s="79"/>
      <c r="BH95" s="79"/>
      <c r="BI95" s="79"/>
      <c r="BJ95" s="79"/>
      <c r="BK95" s="79"/>
    </row>
    <row r="96" spans="2:63" s="76" customFormat="1" ht="12.75">
      <c r="B96" s="5" t="s">
        <v>82</v>
      </c>
      <c r="C96" s="5"/>
      <c r="D96" s="5" t="s">
        <v>17</v>
      </c>
      <c r="G96" s="79">
        <v>13.4</v>
      </c>
      <c r="H96" s="79"/>
      <c r="I96" s="79">
        <v>14</v>
      </c>
      <c r="J96" s="79"/>
      <c r="K96" s="79">
        <v>18.4</v>
      </c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79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79"/>
      <c r="BF96" s="79"/>
      <c r="BG96" s="79"/>
      <c r="BH96" s="79"/>
      <c r="BI96" s="79"/>
      <c r="BJ96" s="79"/>
      <c r="BK96" s="79"/>
    </row>
    <row r="97" spans="2:63" s="76" customFormat="1" ht="12.75">
      <c r="B97" s="5" t="s">
        <v>76</v>
      </c>
      <c r="C97" s="5"/>
      <c r="D97" s="5" t="s">
        <v>18</v>
      </c>
      <c r="G97" s="79">
        <v>122</v>
      </c>
      <c r="H97" s="79"/>
      <c r="I97" s="79">
        <v>122</v>
      </c>
      <c r="J97" s="79"/>
      <c r="K97" s="79">
        <v>132</v>
      </c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79"/>
      <c r="AN97" s="79"/>
      <c r="AO97" s="79"/>
      <c r="AP97" s="79"/>
      <c r="AQ97" s="79"/>
      <c r="AR97" s="79"/>
      <c r="AS97" s="79"/>
      <c r="AT97" s="79"/>
      <c r="AU97" s="79"/>
      <c r="AV97" s="79"/>
      <c r="AW97" s="79"/>
      <c r="AX97" s="79"/>
      <c r="AY97" s="79"/>
      <c r="AZ97" s="79"/>
      <c r="BA97" s="79"/>
      <c r="BB97" s="79"/>
      <c r="BC97" s="79"/>
      <c r="BD97" s="79"/>
      <c r="BE97" s="79"/>
      <c r="BF97" s="79"/>
      <c r="BG97" s="79"/>
      <c r="BH97" s="79"/>
      <c r="BI97" s="79"/>
      <c r="BJ97" s="79"/>
      <c r="BK97" s="79"/>
    </row>
    <row r="98" spans="6:23" s="76" customFormat="1" ht="12.75">
      <c r="F98" s="77"/>
      <c r="G98" s="79"/>
      <c r="H98" s="79"/>
      <c r="I98" s="79"/>
      <c r="J98" s="79"/>
      <c r="K98" s="79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</row>
    <row r="99" spans="2:23" s="76" customFormat="1" ht="12.75">
      <c r="B99" s="37" t="s">
        <v>192</v>
      </c>
      <c r="F99" s="77"/>
      <c r="G99" s="46" t="s">
        <v>209</v>
      </c>
      <c r="H99" s="46"/>
      <c r="I99" s="46" t="s">
        <v>210</v>
      </c>
      <c r="J99" s="46"/>
      <c r="K99" s="46" t="s">
        <v>211</v>
      </c>
      <c r="L99" s="46"/>
      <c r="M99" s="46" t="s">
        <v>232</v>
      </c>
      <c r="N99" s="46"/>
      <c r="O99" s="46" t="s">
        <v>286</v>
      </c>
      <c r="P99" s="46"/>
      <c r="Q99" s="46" t="s">
        <v>287</v>
      </c>
      <c r="R99" s="77"/>
      <c r="S99" s="46" t="s">
        <v>46</v>
      </c>
      <c r="T99" s="77"/>
      <c r="U99" s="77"/>
      <c r="V99" s="77"/>
      <c r="W99" s="77"/>
    </row>
    <row r="100" spans="6:23" s="76" customFormat="1" ht="12.75">
      <c r="F100" s="77"/>
      <c r="G100" s="79"/>
      <c r="H100" s="79"/>
      <c r="I100" s="79"/>
      <c r="J100" s="79"/>
      <c r="K100" s="79"/>
      <c r="L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</row>
    <row r="101" spans="1:24" s="76" customFormat="1" ht="12.75">
      <c r="A101" s="76" t="s">
        <v>192</v>
      </c>
      <c r="B101" s="76" t="s">
        <v>12</v>
      </c>
      <c r="C101" s="76" t="s">
        <v>325</v>
      </c>
      <c r="D101" s="76" t="s">
        <v>13</v>
      </c>
      <c r="E101" s="76" t="s">
        <v>14</v>
      </c>
      <c r="F101" s="77" t="s">
        <v>212</v>
      </c>
      <c r="G101" s="78">
        <v>0.00554172164</v>
      </c>
      <c r="H101" s="78" t="s">
        <v>212</v>
      </c>
      <c r="I101" s="78">
        <v>0.0092676975684507</v>
      </c>
      <c r="J101" s="78" t="s">
        <v>212</v>
      </c>
      <c r="K101" s="78">
        <v>0.006164240253134327</v>
      </c>
      <c r="L101" s="78" t="s">
        <v>212</v>
      </c>
      <c r="N101" s="78" t="s">
        <v>212</v>
      </c>
      <c r="O101" s="78"/>
      <c r="P101" s="78" t="s">
        <v>212</v>
      </c>
      <c r="Q101" s="78"/>
      <c r="R101" s="78" t="s">
        <v>212</v>
      </c>
      <c r="S101" s="78">
        <f>AVERAGE(G101,I101,K101)</f>
        <v>0.006991219820528342</v>
      </c>
      <c r="T101" s="78" t="s">
        <v>212</v>
      </c>
      <c r="U101" s="78"/>
      <c r="V101" s="77" t="s">
        <v>212</v>
      </c>
      <c r="W101" s="77"/>
      <c r="X101" s="76">
        <v>0.006991219820528342</v>
      </c>
    </row>
    <row r="102" spans="1:24" s="76" customFormat="1" ht="12.75">
      <c r="A102" s="76" t="s">
        <v>192</v>
      </c>
      <c r="B102" s="76" t="s">
        <v>113</v>
      </c>
      <c r="C102" s="76" t="s">
        <v>325</v>
      </c>
      <c r="D102" s="76" t="s">
        <v>15</v>
      </c>
      <c r="E102" s="76" t="s">
        <v>14</v>
      </c>
      <c r="F102" s="77" t="s">
        <v>212</v>
      </c>
      <c r="G102" s="79">
        <v>8.5</v>
      </c>
      <c r="H102" s="79" t="s">
        <v>212</v>
      </c>
      <c r="I102" s="79">
        <v>5.8</v>
      </c>
      <c r="J102" s="79" t="s">
        <v>212</v>
      </c>
      <c r="K102" s="79">
        <v>5.1</v>
      </c>
      <c r="L102" s="77" t="s">
        <v>212</v>
      </c>
      <c r="N102" s="77" t="s">
        <v>212</v>
      </c>
      <c r="O102" s="77"/>
      <c r="P102" s="77" t="s">
        <v>212</v>
      </c>
      <c r="Q102" s="77"/>
      <c r="R102" s="77" t="s">
        <v>212</v>
      </c>
      <c r="S102" s="79">
        <f>AVERAGE(G102,I102,K102)</f>
        <v>6.466666666666666</v>
      </c>
      <c r="T102" s="77" t="s">
        <v>212</v>
      </c>
      <c r="U102" s="77"/>
      <c r="V102" s="77" t="s">
        <v>212</v>
      </c>
      <c r="W102" s="77"/>
      <c r="X102" s="76">
        <v>6.466666666666666</v>
      </c>
    </row>
    <row r="103" spans="1:24" s="76" customFormat="1" ht="12.75">
      <c r="A103" s="76" t="s">
        <v>192</v>
      </c>
      <c r="B103" s="76" t="s">
        <v>356</v>
      </c>
      <c r="C103" s="76" t="s">
        <v>325</v>
      </c>
      <c r="D103" s="76" t="s">
        <v>15</v>
      </c>
      <c r="E103" s="76" t="s">
        <v>14</v>
      </c>
      <c r="F103" s="77" t="s">
        <v>97</v>
      </c>
      <c r="G103" s="79">
        <v>0.09722222222222222</v>
      </c>
      <c r="H103" s="79" t="s">
        <v>212</v>
      </c>
      <c r="I103" s="79">
        <v>0.9859154929577465</v>
      </c>
      <c r="J103" s="79" t="s">
        <v>212</v>
      </c>
      <c r="K103" s="79">
        <v>0.31343283582089554</v>
      </c>
      <c r="L103" s="77" t="s">
        <v>212</v>
      </c>
      <c r="N103" s="77" t="s">
        <v>212</v>
      </c>
      <c r="O103" s="77"/>
      <c r="P103" s="77" t="s">
        <v>212</v>
      </c>
      <c r="Q103" s="77"/>
      <c r="R103" s="77" t="s">
        <v>212</v>
      </c>
      <c r="S103" s="79">
        <f>AVERAGE(G103,I103,K103)</f>
        <v>0.4655235170002881</v>
      </c>
      <c r="T103" s="77" t="s">
        <v>212</v>
      </c>
      <c r="U103" s="77"/>
      <c r="V103" s="77" t="s">
        <v>212</v>
      </c>
      <c r="W103" s="77"/>
      <c r="X103" s="76">
        <v>0.4655235170002881</v>
      </c>
    </row>
    <row r="104" spans="1:24" s="76" customFormat="1" ht="12.75">
      <c r="A104" s="76" t="s">
        <v>192</v>
      </c>
      <c r="B104" s="76" t="s">
        <v>49</v>
      </c>
      <c r="C104" s="80" t="s">
        <v>325</v>
      </c>
      <c r="D104" s="76" t="s">
        <v>15</v>
      </c>
      <c r="E104" s="76" t="s">
        <v>14</v>
      </c>
      <c r="F104" s="77" t="s">
        <v>212</v>
      </c>
      <c r="G104" s="79">
        <v>0.9763097437868669</v>
      </c>
      <c r="H104" s="79" t="s">
        <v>212</v>
      </c>
      <c r="I104" s="79">
        <v>1.6808005284453889</v>
      </c>
      <c r="J104" s="79" t="s">
        <v>212</v>
      </c>
      <c r="K104" s="79">
        <v>1.4639562975214386</v>
      </c>
      <c r="L104" s="77" t="s">
        <v>212</v>
      </c>
      <c r="N104" s="77" t="s">
        <v>212</v>
      </c>
      <c r="O104" s="77"/>
      <c r="P104" s="77" t="s">
        <v>212</v>
      </c>
      <c r="Q104" s="77"/>
      <c r="R104" s="77" t="s">
        <v>212</v>
      </c>
      <c r="S104" s="79">
        <f>AVERAGE(G104,I104,K104)</f>
        <v>1.3736888565845646</v>
      </c>
      <c r="T104" s="77" t="s">
        <v>212</v>
      </c>
      <c r="U104" s="77"/>
      <c r="V104" s="77" t="s">
        <v>212</v>
      </c>
      <c r="W104" s="77"/>
      <c r="X104" s="76">
        <v>1.3736888565845646</v>
      </c>
    </row>
    <row r="105" spans="6:23" s="76" customFormat="1" ht="12.75">
      <c r="F105" s="77"/>
      <c r="G105" s="79"/>
      <c r="H105" s="79"/>
      <c r="I105" s="79"/>
      <c r="J105" s="79"/>
      <c r="K105" s="79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</row>
    <row r="106" spans="1:57" s="80" customFormat="1" ht="12.75">
      <c r="A106" s="80" t="s">
        <v>192</v>
      </c>
      <c r="B106" s="80" t="s">
        <v>217</v>
      </c>
      <c r="C106" s="80" t="s">
        <v>51</v>
      </c>
      <c r="D106" s="80" t="s">
        <v>17</v>
      </c>
      <c r="G106" s="81">
        <v>99.999949</v>
      </c>
      <c r="H106" s="81"/>
      <c r="I106" s="81">
        <v>99.999961</v>
      </c>
      <c r="J106" s="81"/>
      <c r="K106" s="81">
        <v>99.999949</v>
      </c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  <c r="AO106" s="81"/>
      <c r="AP106" s="81"/>
      <c r="AQ106" s="81"/>
      <c r="AR106" s="81"/>
      <c r="AS106" s="81"/>
      <c r="AT106" s="81"/>
      <c r="AU106" s="81"/>
      <c r="AV106" s="81"/>
      <c r="AW106" s="81"/>
      <c r="AX106" s="81"/>
      <c r="AY106" s="81"/>
      <c r="AZ106" s="81"/>
      <c r="BA106" s="81"/>
      <c r="BB106" s="81"/>
      <c r="BC106" s="81"/>
      <c r="BD106" s="81"/>
      <c r="BE106" s="81"/>
    </row>
    <row r="107" spans="1:57" s="80" customFormat="1" ht="12.75">
      <c r="A107" s="80" t="s">
        <v>192</v>
      </c>
      <c r="B107" s="80" t="s">
        <v>218</v>
      </c>
      <c r="C107" s="80" t="s">
        <v>51</v>
      </c>
      <c r="D107" s="80" t="s">
        <v>17</v>
      </c>
      <c r="G107" s="81">
        <v>99.999905</v>
      </c>
      <c r="H107" s="81"/>
      <c r="I107" s="81">
        <v>99.999505</v>
      </c>
      <c r="J107" s="81"/>
      <c r="K107" s="81">
        <v>99.999789</v>
      </c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  <c r="AE107" s="81"/>
      <c r="AF107" s="81"/>
      <c r="AG107" s="81"/>
      <c r="AH107" s="81"/>
      <c r="AI107" s="81"/>
      <c r="AJ107" s="81"/>
      <c r="AK107" s="81"/>
      <c r="AL107" s="81"/>
      <c r="AM107" s="81"/>
      <c r="AN107" s="81"/>
      <c r="AO107" s="81"/>
      <c r="AP107" s="81"/>
      <c r="AQ107" s="81"/>
      <c r="AR107" s="81"/>
      <c r="AS107" s="81"/>
      <c r="AT107" s="81"/>
      <c r="AU107" s="81"/>
      <c r="AV107" s="81"/>
      <c r="AW107" s="81"/>
      <c r="AX107" s="81"/>
      <c r="AY107" s="81"/>
      <c r="AZ107" s="81"/>
      <c r="BA107" s="81"/>
      <c r="BB107" s="81"/>
      <c r="BC107" s="81"/>
      <c r="BD107" s="81"/>
      <c r="BE107" s="81"/>
    </row>
    <row r="108" spans="1:57" s="80" customFormat="1" ht="12.75">
      <c r="A108" s="80" t="s">
        <v>192</v>
      </c>
      <c r="B108" s="80" t="s">
        <v>148</v>
      </c>
      <c r="C108" s="80" t="s">
        <v>51</v>
      </c>
      <c r="D108" s="80" t="s">
        <v>17</v>
      </c>
      <c r="G108" s="81">
        <v>99.999963</v>
      </c>
      <c r="H108" s="81"/>
      <c r="I108" s="81">
        <v>99.999982</v>
      </c>
      <c r="J108" s="81"/>
      <c r="K108" s="81">
        <v>99.999961</v>
      </c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  <c r="AM108" s="81"/>
      <c r="AN108" s="81"/>
      <c r="AO108" s="81"/>
      <c r="AP108" s="81"/>
      <c r="AQ108" s="81"/>
      <c r="AR108" s="81"/>
      <c r="AS108" s="81"/>
      <c r="AT108" s="81"/>
      <c r="AU108" s="81"/>
      <c r="AV108" s="81"/>
      <c r="AW108" s="81"/>
      <c r="AX108" s="81"/>
      <c r="AY108" s="81"/>
      <c r="AZ108" s="81"/>
      <c r="BA108" s="81"/>
      <c r="BB108" s="81"/>
      <c r="BC108" s="81"/>
      <c r="BD108" s="81"/>
      <c r="BE108" s="81"/>
    </row>
    <row r="109" spans="1:57" s="80" customFormat="1" ht="12.75">
      <c r="A109" s="80" t="s">
        <v>192</v>
      </c>
      <c r="B109" s="80" t="s">
        <v>219</v>
      </c>
      <c r="C109" s="80" t="s">
        <v>51</v>
      </c>
      <c r="D109" s="80" t="s">
        <v>17</v>
      </c>
      <c r="G109" s="81">
        <v>99.999943</v>
      </c>
      <c r="H109" s="81"/>
      <c r="I109" s="81">
        <v>99.99995</v>
      </c>
      <c r="J109" s="81"/>
      <c r="K109" s="81">
        <v>99.999937</v>
      </c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1"/>
      <c r="AE109" s="81"/>
      <c r="AF109" s="81"/>
      <c r="AG109" s="81"/>
      <c r="AH109" s="81"/>
      <c r="AI109" s="81"/>
      <c r="AJ109" s="81"/>
      <c r="AK109" s="81"/>
      <c r="AL109" s="81"/>
      <c r="AM109" s="81"/>
      <c r="AN109" s="81"/>
      <c r="AO109" s="81"/>
      <c r="AP109" s="81"/>
      <c r="AQ109" s="81"/>
      <c r="AR109" s="81"/>
      <c r="AS109" s="81"/>
      <c r="AT109" s="81"/>
      <c r="AU109" s="81"/>
      <c r="AV109" s="81"/>
      <c r="AW109" s="81"/>
      <c r="AX109" s="81"/>
      <c r="AY109" s="81"/>
      <c r="AZ109" s="81"/>
      <c r="BA109" s="81"/>
      <c r="BB109" s="81"/>
      <c r="BC109" s="81"/>
      <c r="BD109" s="81"/>
      <c r="BE109" s="81"/>
    </row>
    <row r="110" spans="6:23" s="76" customFormat="1" ht="12.75">
      <c r="F110" s="77"/>
      <c r="G110" s="79"/>
      <c r="H110" s="79"/>
      <c r="I110" s="79"/>
      <c r="J110" s="79"/>
      <c r="K110" s="79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</row>
    <row r="111" spans="2:23" s="76" customFormat="1" ht="12.75">
      <c r="B111" s="76" t="s">
        <v>84</v>
      </c>
      <c r="C111" s="76" t="s">
        <v>214</v>
      </c>
      <c r="D111" s="80" t="s">
        <v>324</v>
      </c>
      <c r="F111" s="77"/>
      <c r="G111" s="79"/>
      <c r="H111" s="79"/>
      <c r="I111" s="79"/>
      <c r="J111" s="79"/>
      <c r="K111" s="79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</row>
    <row r="112" spans="2:63" s="76" customFormat="1" ht="12.75">
      <c r="B112" s="5" t="s">
        <v>77</v>
      </c>
      <c r="C112" s="5"/>
      <c r="D112" s="5" t="s">
        <v>16</v>
      </c>
      <c r="G112" s="79">
        <v>43341</v>
      </c>
      <c r="H112" s="79"/>
      <c r="I112" s="79">
        <v>40901</v>
      </c>
      <c r="J112" s="79"/>
      <c r="K112" s="79">
        <v>42093</v>
      </c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  <c r="AG112" s="79"/>
      <c r="AH112" s="79"/>
      <c r="AI112" s="79"/>
      <c r="AJ112" s="79"/>
      <c r="AK112" s="79"/>
      <c r="AL112" s="79"/>
      <c r="AM112" s="79"/>
      <c r="AN112" s="79"/>
      <c r="AO112" s="79"/>
      <c r="AP112" s="79"/>
      <c r="AQ112" s="79"/>
      <c r="AR112" s="79"/>
      <c r="AS112" s="79"/>
      <c r="AT112" s="79"/>
      <c r="AU112" s="79"/>
      <c r="AV112" s="79"/>
      <c r="AW112" s="79"/>
      <c r="AX112" s="79"/>
      <c r="AY112" s="79"/>
      <c r="AZ112" s="79"/>
      <c r="BA112" s="79"/>
      <c r="BB112" s="79"/>
      <c r="BC112" s="79"/>
      <c r="BD112" s="79"/>
      <c r="BE112" s="79"/>
      <c r="BF112" s="79"/>
      <c r="BG112" s="79"/>
      <c r="BH112" s="79"/>
      <c r="BI112" s="79"/>
      <c r="BJ112" s="79"/>
      <c r="BK112" s="79"/>
    </row>
    <row r="113" spans="2:63" s="76" customFormat="1" ht="12.75">
      <c r="B113" s="5" t="s">
        <v>81</v>
      </c>
      <c r="C113" s="5"/>
      <c r="D113" s="5" t="s">
        <v>17</v>
      </c>
      <c r="G113" s="79">
        <v>6.6</v>
      </c>
      <c r="H113" s="79"/>
      <c r="I113" s="79">
        <v>6.8</v>
      </c>
      <c r="J113" s="79"/>
      <c r="K113" s="79">
        <v>7.6</v>
      </c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  <c r="AD113" s="79"/>
      <c r="AE113" s="79"/>
      <c r="AF113" s="79"/>
      <c r="AG113" s="79"/>
      <c r="AH113" s="79"/>
      <c r="AI113" s="79"/>
      <c r="AJ113" s="79"/>
      <c r="AK113" s="79"/>
      <c r="AL113" s="79"/>
      <c r="AM113" s="79"/>
      <c r="AN113" s="79"/>
      <c r="AO113" s="79"/>
      <c r="AP113" s="79"/>
      <c r="AQ113" s="79"/>
      <c r="AR113" s="79"/>
      <c r="AS113" s="79"/>
      <c r="AT113" s="79"/>
      <c r="AU113" s="79"/>
      <c r="AV113" s="79"/>
      <c r="AW113" s="79"/>
      <c r="AX113" s="79"/>
      <c r="AY113" s="79"/>
      <c r="AZ113" s="79"/>
      <c r="BA113" s="79"/>
      <c r="BB113" s="79"/>
      <c r="BC113" s="79"/>
      <c r="BD113" s="79"/>
      <c r="BE113" s="79"/>
      <c r="BF113" s="79"/>
      <c r="BG113" s="79"/>
      <c r="BH113" s="79"/>
      <c r="BI113" s="79"/>
      <c r="BJ113" s="79"/>
      <c r="BK113" s="79"/>
    </row>
    <row r="114" spans="1:63" s="76" customFormat="1" ht="12.75">
      <c r="A114" s="76" t="s">
        <v>192</v>
      </c>
      <c r="B114" s="5" t="s">
        <v>82</v>
      </c>
      <c r="C114" s="5"/>
      <c r="D114" s="5" t="s">
        <v>17</v>
      </c>
      <c r="G114" s="79">
        <v>21.5</v>
      </c>
      <c r="H114" s="79"/>
      <c r="I114" s="79">
        <v>19.6</v>
      </c>
      <c r="J114" s="79"/>
      <c r="K114" s="79">
        <v>17.2</v>
      </c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79"/>
      <c r="AD114" s="79"/>
      <c r="AE114" s="79"/>
      <c r="AF114" s="79"/>
      <c r="AG114" s="79"/>
      <c r="AH114" s="79"/>
      <c r="AI114" s="79"/>
      <c r="AJ114" s="79"/>
      <c r="AK114" s="79"/>
      <c r="AL114" s="79"/>
      <c r="AM114" s="79"/>
      <c r="AN114" s="79"/>
      <c r="AO114" s="79"/>
      <c r="AP114" s="79"/>
      <c r="AQ114" s="79"/>
      <c r="AR114" s="79"/>
      <c r="AS114" s="79"/>
      <c r="AT114" s="79"/>
      <c r="AU114" s="79"/>
      <c r="AV114" s="79"/>
      <c r="AW114" s="79"/>
      <c r="AX114" s="79"/>
      <c r="AY114" s="79"/>
      <c r="AZ114" s="79"/>
      <c r="BA114" s="79"/>
      <c r="BB114" s="79"/>
      <c r="BC114" s="79"/>
      <c r="BD114" s="79"/>
      <c r="BE114" s="79"/>
      <c r="BF114" s="79"/>
      <c r="BG114" s="79"/>
      <c r="BH114" s="79"/>
      <c r="BI114" s="79"/>
      <c r="BJ114" s="79"/>
      <c r="BK114" s="79"/>
    </row>
    <row r="115" spans="2:63" s="76" customFormat="1" ht="12.75">
      <c r="B115" s="5" t="s">
        <v>76</v>
      </c>
      <c r="C115" s="5"/>
      <c r="D115" s="5" t="s">
        <v>18</v>
      </c>
      <c r="G115" s="79">
        <v>142</v>
      </c>
      <c r="H115" s="79"/>
      <c r="I115" s="79">
        <v>138</v>
      </c>
      <c r="J115" s="79"/>
      <c r="K115" s="79">
        <v>133</v>
      </c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79"/>
      <c r="AL115" s="79"/>
      <c r="AM115" s="79"/>
      <c r="AN115" s="79"/>
      <c r="AO115" s="79"/>
      <c r="AP115" s="79"/>
      <c r="AQ115" s="79"/>
      <c r="AR115" s="79"/>
      <c r="AS115" s="79"/>
      <c r="AT115" s="79"/>
      <c r="AU115" s="79"/>
      <c r="AV115" s="79"/>
      <c r="AW115" s="79"/>
      <c r="AX115" s="79"/>
      <c r="AY115" s="79"/>
      <c r="AZ115" s="79"/>
      <c r="BA115" s="79"/>
      <c r="BB115" s="79"/>
      <c r="BC115" s="79"/>
      <c r="BD115" s="79"/>
      <c r="BE115" s="79"/>
      <c r="BF115" s="79"/>
      <c r="BG115" s="79"/>
      <c r="BH115" s="79"/>
      <c r="BI115" s="79"/>
      <c r="BJ115" s="79"/>
      <c r="BK115" s="79"/>
    </row>
    <row r="116" spans="7:63" s="76" customFormat="1" ht="12.75"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  <c r="AB116" s="79"/>
      <c r="AC116" s="79"/>
      <c r="AD116" s="79"/>
      <c r="AE116" s="79"/>
      <c r="AF116" s="79"/>
      <c r="AG116" s="79"/>
      <c r="AH116" s="79"/>
      <c r="AI116" s="79"/>
      <c r="AJ116" s="79"/>
      <c r="AK116" s="79"/>
      <c r="AL116" s="79"/>
      <c r="AM116" s="79"/>
      <c r="AN116" s="79"/>
      <c r="AO116" s="79"/>
      <c r="AP116" s="79"/>
      <c r="AQ116" s="79"/>
      <c r="AR116" s="79"/>
      <c r="AS116" s="79"/>
      <c r="AT116" s="79"/>
      <c r="AU116" s="79"/>
      <c r="AV116" s="79"/>
      <c r="AW116" s="79"/>
      <c r="AX116" s="79"/>
      <c r="AY116" s="79"/>
      <c r="AZ116" s="79"/>
      <c r="BA116" s="79"/>
      <c r="BB116" s="79"/>
      <c r="BC116" s="79"/>
      <c r="BD116" s="79"/>
      <c r="BE116" s="79"/>
      <c r="BF116" s="79"/>
      <c r="BG116" s="79"/>
      <c r="BH116" s="79"/>
      <c r="BI116" s="79"/>
      <c r="BJ116" s="79"/>
      <c r="BK116" s="79"/>
    </row>
    <row r="117" spans="2:63" s="76" customFormat="1" ht="12.75">
      <c r="B117" s="76" t="s">
        <v>84</v>
      </c>
      <c r="C117" s="76" t="s">
        <v>215</v>
      </c>
      <c r="D117" s="76" t="s">
        <v>325</v>
      </c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  <c r="AC117" s="79"/>
      <c r="AD117" s="79"/>
      <c r="AE117" s="79"/>
      <c r="AF117" s="79"/>
      <c r="AG117" s="79"/>
      <c r="AH117" s="79"/>
      <c r="AI117" s="79"/>
      <c r="AJ117" s="79"/>
      <c r="AK117" s="79"/>
      <c r="AL117" s="79"/>
      <c r="AM117" s="79"/>
      <c r="AN117" s="79"/>
      <c r="AO117" s="79"/>
      <c r="AP117" s="79"/>
      <c r="AQ117" s="79"/>
      <c r="AR117" s="79"/>
      <c r="AS117" s="79"/>
      <c r="AT117" s="79"/>
      <c r="AU117" s="79"/>
      <c r="AV117" s="79"/>
      <c r="AW117" s="79"/>
      <c r="AX117" s="79"/>
      <c r="AY117" s="79"/>
      <c r="AZ117" s="79"/>
      <c r="BA117" s="79"/>
      <c r="BB117" s="79"/>
      <c r="BC117" s="79"/>
      <c r="BD117" s="79"/>
      <c r="BE117" s="79"/>
      <c r="BF117" s="79"/>
      <c r="BG117" s="79"/>
      <c r="BH117" s="79"/>
      <c r="BI117" s="79"/>
      <c r="BJ117" s="79"/>
      <c r="BK117" s="79"/>
    </row>
    <row r="118" spans="2:63" s="76" customFormat="1" ht="12.75">
      <c r="B118" s="5" t="s">
        <v>77</v>
      </c>
      <c r="C118" s="5"/>
      <c r="D118" s="5" t="s">
        <v>16</v>
      </c>
      <c r="G118" s="79">
        <v>43694</v>
      </c>
      <c r="H118" s="79"/>
      <c r="I118" s="79">
        <v>39636</v>
      </c>
      <c r="J118" s="79"/>
      <c r="K118" s="79">
        <v>44874</v>
      </c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79"/>
      <c r="AD118" s="79"/>
      <c r="AE118" s="79"/>
      <c r="AF118" s="79"/>
      <c r="AG118" s="79"/>
      <c r="AH118" s="79"/>
      <c r="AI118" s="79"/>
      <c r="AJ118" s="79"/>
      <c r="AK118" s="79"/>
      <c r="AL118" s="79"/>
      <c r="AM118" s="79"/>
      <c r="AN118" s="79"/>
      <c r="AO118" s="79"/>
      <c r="AP118" s="79"/>
      <c r="AQ118" s="79"/>
      <c r="AR118" s="79"/>
      <c r="AS118" s="79"/>
      <c r="AT118" s="79"/>
      <c r="AU118" s="79"/>
      <c r="AV118" s="79"/>
      <c r="AW118" s="79"/>
      <c r="AX118" s="79"/>
      <c r="AY118" s="79"/>
      <c r="AZ118" s="79"/>
      <c r="BA118" s="79"/>
      <c r="BB118" s="79"/>
      <c r="BC118" s="79"/>
      <c r="BD118" s="79"/>
      <c r="BE118" s="79"/>
      <c r="BF118" s="79"/>
      <c r="BG118" s="79"/>
      <c r="BH118" s="79"/>
      <c r="BI118" s="79"/>
      <c r="BJ118" s="79"/>
      <c r="BK118" s="79"/>
    </row>
    <row r="119" spans="2:63" s="76" customFormat="1" ht="12.75">
      <c r="B119" s="5" t="s">
        <v>81</v>
      </c>
      <c r="C119" s="5"/>
      <c r="D119" s="5" t="s">
        <v>17</v>
      </c>
      <c r="G119" s="79">
        <v>6.6</v>
      </c>
      <c r="H119" s="79"/>
      <c r="I119" s="79">
        <v>6.8</v>
      </c>
      <c r="J119" s="79"/>
      <c r="K119" s="79">
        <v>7.6</v>
      </c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79"/>
      <c r="AD119" s="79"/>
      <c r="AE119" s="79"/>
      <c r="AF119" s="79"/>
      <c r="AG119" s="79"/>
      <c r="AH119" s="79"/>
      <c r="AI119" s="79"/>
      <c r="AJ119" s="79"/>
      <c r="AK119" s="79"/>
      <c r="AL119" s="79"/>
      <c r="AM119" s="79"/>
      <c r="AN119" s="79"/>
      <c r="AO119" s="79"/>
      <c r="AP119" s="79"/>
      <c r="AQ119" s="79"/>
      <c r="AR119" s="79"/>
      <c r="AS119" s="79"/>
      <c r="AT119" s="79"/>
      <c r="AU119" s="79"/>
      <c r="AV119" s="79"/>
      <c r="AW119" s="79"/>
      <c r="AX119" s="79"/>
      <c r="AY119" s="79"/>
      <c r="AZ119" s="79"/>
      <c r="BA119" s="79"/>
      <c r="BB119" s="79"/>
      <c r="BC119" s="79"/>
      <c r="BD119" s="79"/>
      <c r="BE119" s="79"/>
      <c r="BF119" s="79"/>
      <c r="BG119" s="79"/>
      <c r="BH119" s="79"/>
      <c r="BI119" s="79"/>
      <c r="BJ119" s="79"/>
      <c r="BK119" s="79"/>
    </row>
    <row r="120" spans="2:63" s="76" customFormat="1" ht="12.75">
      <c r="B120" s="5" t="s">
        <v>82</v>
      </c>
      <c r="C120" s="5"/>
      <c r="D120" s="5" t="s">
        <v>17</v>
      </c>
      <c r="G120" s="79">
        <v>22.2</v>
      </c>
      <c r="H120" s="79"/>
      <c r="I120" s="79">
        <v>0</v>
      </c>
      <c r="J120" s="79"/>
      <c r="K120" s="79">
        <v>17.7</v>
      </c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79"/>
      <c r="AD120" s="79"/>
      <c r="AE120" s="79"/>
      <c r="AF120" s="79"/>
      <c r="AG120" s="79"/>
      <c r="AH120" s="79"/>
      <c r="AI120" s="79"/>
      <c r="AJ120" s="79"/>
      <c r="AK120" s="79"/>
      <c r="AL120" s="79"/>
      <c r="AM120" s="79"/>
      <c r="AN120" s="79"/>
      <c r="AO120" s="79"/>
      <c r="AP120" s="79"/>
      <c r="AQ120" s="79"/>
      <c r="AR120" s="79"/>
      <c r="AS120" s="79"/>
      <c r="AT120" s="79"/>
      <c r="AU120" s="79"/>
      <c r="AV120" s="79"/>
      <c r="AW120" s="79"/>
      <c r="AX120" s="79"/>
      <c r="AY120" s="79"/>
      <c r="AZ120" s="79"/>
      <c r="BA120" s="79"/>
      <c r="BB120" s="79"/>
      <c r="BC120" s="79"/>
      <c r="BD120" s="79"/>
      <c r="BE120" s="79"/>
      <c r="BF120" s="79"/>
      <c r="BG120" s="79"/>
      <c r="BH120" s="79"/>
      <c r="BI120" s="79"/>
      <c r="BJ120" s="79"/>
      <c r="BK120" s="79"/>
    </row>
    <row r="121" spans="2:63" s="76" customFormat="1" ht="12.75">
      <c r="B121" s="5" t="s">
        <v>76</v>
      </c>
      <c r="C121" s="5"/>
      <c r="D121" s="5" t="s">
        <v>18</v>
      </c>
      <c r="G121" s="79">
        <v>140</v>
      </c>
      <c r="H121" s="79"/>
      <c r="I121" s="79">
        <v>135</v>
      </c>
      <c r="J121" s="79"/>
      <c r="K121" s="79">
        <v>131</v>
      </c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79"/>
      <c r="AC121" s="79"/>
      <c r="AD121" s="79"/>
      <c r="AE121" s="79"/>
      <c r="AF121" s="79"/>
      <c r="AG121" s="79"/>
      <c r="AH121" s="79"/>
      <c r="AI121" s="79"/>
      <c r="AJ121" s="79"/>
      <c r="AK121" s="79"/>
      <c r="AL121" s="79"/>
      <c r="AM121" s="79"/>
      <c r="AN121" s="79"/>
      <c r="AO121" s="79"/>
      <c r="AP121" s="79"/>
      <c r="AQ121" s="79"/>
      <c r="AR121" s="79"/>
      <c r="AS121" s="79"/>
      <c r="AT121" s="79"/>
      <c r="AU121" s="79"/>
      <c r="AV121" s="79"/>
      <c r="AW121" s="79"/>
      <c r="AX121" s="79"/>
      <c r="AY121" s="79"/>
      <c r="AZ121" s="79"/>
      <c r="BA121" s="79"/>
      <c r="BB121" s="79"/>
      <c r="BC121" s="79"/>
      <c r="BD121" s="79"/>
      <c r="BE121" s="79"/>
      <c r="BF121" s="79"/>
      <c r="BG121" s="79"/>
      <c r="BH121" s="79"/>
      <c r="BI121" s="79"/>
      <c r="BJ121" s="79"/>
      <c r="BK121" s="79"/>
    </row>
    <row r="122" spans="7:63" s="76" customFormat="1" ht="12.75"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79"/>
      <c r="AD122" s="79"/>
      <c r="AE122" s="79"/>
      <c r="AF122" s="79"/>
      <c r="AG122" s="79"/>
      <c r="AH122" s="79"/>
      <c r="AI122" s="79"/>
      <c r="AJ122" s="79"/>
      <c r="AK122" s="79"/>
      <c r="AL122" s="79"/>
      <c r="AM122" s="79"/>
      <c r="AN122" s="79"/>
      <c r="AO122" s="79"/>
      <c r="AP122" s="79"/>
      <c r="AQ122" s="79"/>
      <c r="AR122" s="79"/>
      <c r="AS122" s="79"/>
      <c r="AT122" s="79"/>
      <c r="AU122" s="79"/>
      <c r="AV122" s="79"/>
      <c r="AW122" s="79"/>
      <c r="AX122" s="79"/>
      <c r="AY122" s="79"/>
      <c r="AZ122" s="79"/>
      <c r="BA122" s="79"/>
      <c r="BB122" s="79"/>
      <c r="BC122" s="79"/>
      <c r="BD122" s="79"/>
      <c r="BE122" s="79"/>
      <c r="BF122" s="79"/>
      <c r="BG122" s="79"/>
      <c r="BH122" s="79"/>
      <c r="BI122" s="79"/>
      <c r="BJ122" s="79"/>
      <c r="BK122" s="79"/>
    </row>
    <row r="123" spans="2:63" s="76" customFormat="1" ht="12.75">
      <c r="B123" s="37" t="s">
        <v>194</v>
      </c>
      <c r="G123" s="46" t="s">
        <v>209</v>
      </c>
      <c r="H123" s="46"/>
      <c r="I123" s="46" t="s">
        <v>210</v>
      </c>
      <c r="J123" s="46"/>
      <c r="K123" s="46" t="s">
        <v>211</v>
      </c>
      <c r="L123" s="46"/>
      <c r="M123" s="46" t="s">
        <v>232</v>
      </c>
      <c r="N123" s="46"/>
      <c r="O123" s="46" t="s">
        <v>286</v>
      </c>
      <c r="P123" s="46"/>
      <c r="Q123" s="46" t="s">
        <v>287</v>
      </c>
      <c r="R123" s="79"/>
      <c r="S123" s="46" t="s">
        <v>46</v>
      </c>
      <c r="T123" s="79"/>
      <c r="U123" s="79"/>
      <c r="V123" s="79"/>
      <c r="W123" s="79"/>
      <c r="X123" s="79"/>
      <c r="Y123" s="79"/>
      <c r="Z123" s="79"/>
      <c r="AA123" s="79"/>
      <c r="AB123" s="79"/>
      <c r="AC123" s="79"/>
      <c r="AD123" s="79"/>
      <c r="AE123" s="79"/>
      <c r="AF123" s="79"/>
      <c r="AG123" s="79"/>
      <c r="AH123" s="79"/>
      <c r="AI123" s="79"/>
      <c r="AJ123" s="79"/>
      <c r="AK123" s="79"/>
      <c r="AL123" s="79"/>
      <c r="AM123" s="79"/>
      <c r="AN123" s="79"/>
      <c r="AO123" s="79"/>
      <c r="AP123" s="79"/>
      <c r="AQ123" s="79"/>
      <c r="AR123" s="79"/>
      <c r="AS123" s="79"/>
      <c r="AT123" s="79"/>
      <c r="AU123" s="79"/>
      <c r="AV123" s="79"/>
      <c r="AW123" s="79"/>
      <c r="AX123" s="79"/>
      <c r="AY123" s="79"/>
      <c r="AZ123" s="79"/>
      <c r="BA123" s="79"/>
      <c r="BB123" s="79"/>
      <c r="BC123" s="79"/>
      <c r="BD123" s="79"/>
      <c r="BE123" s="79"/>
      <c r="BF123" s="79"/>
      <c r="BG123" s="79"/>
      <c r="BH123" s="79"/>
      <c r="BI123" s="79"/>
      <c r="BJ123" s="79"/>
      <c r="BK123" s="79"/>
    </row>
    <row r="124" spans="7:63" s="76" customFormat="1" ht="12.75">
      <c r="G124" s="79"/>
      <c r="H124" s="79"/>
      <c r="I124" s="79"/>
      <c r="J124" s="79"/>
      <c r="K124" s="79"/>
      <c r="L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  <c r="AC124" s="79"/>
      <c r="AD124" s="79"/>
      <c r="AE124" s="79"/>
      <c r="AF124" s="79"/>
      <c r="AG124" s="79"/>
      <c r="AH124" s="79"/>
      <c r="AI124" s="79"/>
      <c r="AJ124" s="79"/>
      <c r="AK124" s="79"/>
      <c r="AL124" s="79"/>
      <c r="AM124" s="79"/>
      <c r="AN124" s="79"/>
      <c r="AO124" s="79"/>
      <c r="AP124" s="79"/>
      <c r="AQ124" s="79"/>
      <c r="AR124" s="79"/>
      <c r="AS124" s="79"/>
      <c r="AT124" s="79"/>
      <c r="AU124" s="79"/>
      <c r="AV124" s="79"/>
      <c r="AW124" s="79"/>
      <c r="AX124" s="79"/>
      <c r="AY124" s="79"/>
      <c r="AZ124" s="79"/>
      <c r="BA124" s="79"/>
      <c r="BB124" s="79"/>
      <c r="BC124" s="79"/>
      <c r="BD124" s="79"/>
      <c r="BE124" s="79"/>
      <c r="BF124" s="79"/>
      <c r="BG124" s="79"/>
      <c r="BH124" s="79"/>
      <c r="BI124" s="79"/>
      <c r="BJ124" s="79"/>
      <c r="BK124" s="79"/>
    </row>
    <row r="125" spans="1:24" s="76" customFormat="1" ht="12.75">
      <c r="A125" s="76" t="s">
        <v>194</v>
      </c>
      <c r="B125" s="76" t="s">
        <v>12</v>
      </c>
      <c r="C125" s="76" t="s">
        <v>325</v>
      </c>
      <c r="D125" s="76" t="s">
        <v>13</v>
      </c>
      <c r="E125" s="76" t="s">
        <v>14</v>
      </c>
      <c r="F125" s="77" t="s">
        <v>212</v>
      </c>
      <c r="G125" s="78">
        <v>0.002524615207868853</v>
      </c>
      <c r="H125" s="78" t="s">
        <v>212</v>
      </c>
      <c r="I125" s="78">
        <v>0.002825716104220183</v>
      </c>
      <c r="J125" s="78" t="s">
        <v>212</v>
      </c>
      <c r="K125" s="78">
        <v>0.0014330850822047243</v>
      </c>
      <c r="L125" s="78" t="s">
        <v>212</v>
      </c>
      <c r="N125" s="78" t="s">
        <v>212</v>
      </c>
      <c r="O125" s="78"/>
      <c r="P125" s="78" t="s">
        <v>212</v>
      </c>
      <c r="Q125" s="78"/>
      <c r="R125" s="78" t="s">
        <v>212</v>
      </c>
      <c r="S125" s="78">
        <f>AVERAGE(G125,I125,K125)</f>
        <v>0.00226113879809792</v>
      </c>
      <c r="T125" s="78" t="s">
        <v>212</v>
      </c>
      <c r="U125" s="78"/>
      <c r="V125" s="77" t="s">
        <v>212</v>
      </c>
      <c r="W125" s="77"/>
      <c r="X125" s="76">
        <v>0.00226113879809792</v>
      </c>
    </row>
    <row r="126" spans="1:24" s="76" customFormat="1" ht="12.75">
      <c r="A126" s="76" t="s">
        <v>194</v>
      </c>
      <c r="B126" s="76" t="s">
        <v>113</v>
      </c>
      <c r="C126" s="76" t="s">
        <v>325</v>
      </c>
      <c r="D126" s="76" t="s">
        <v>15</v>
      </c>
      <c r="E126" s="76" t="s">
        <v>14</v>
      </c>
      <c r="F126" s="77" t="s">
        <v>212</v>
      </c>
      <c r="G126" s="79">
        <v>3</v>
      </c>
      <c r="H126" s="79" t="s">
        <v>212</v>
      </c>
      <c r="I126" s="79">
        <v>2.8</v>
      </c>
      <c r="J126" s="79" t="s">
        <v>212</v>
      </c>
      <c r="K126" s="79">
        <v>2.5</v>
      </c>
      <c r="L126" s="77" t="s">
        <v>212</v>
      </c>
      <c r="N126" s="77" t="s">
        <v>212</v>
      </c>
      <c r="O126" s="77"/>
      <c r="P126" s="77" t="s">
        <v>212</v>
      </c>
      <c r="Q126" s="77"/>
      <c r="R126" s="77" t="s">
        <v>212</v>
      </c>
      <c r="S126" s="79">
        <f>AVERAGE(G126,I126,K126)</f>
        <v>2.766666666666667</v>
      </c>
      <c r="T126" s="77" t="s">
        <v>212</v>
      </c>
      <c r="U126" s="77"/>
      <c r="V126" s="77" t="s">
        <v>212</v>
      </c>
      <c r="W126" s="77"/>
      <c r="X126" s="76">
        <v>2.766666666666667</v>
      </c>
    </row>
    <row r="127" spans="1:24" s="76" customFormat="1" ht="12.75">
      <c r="A127" s="76" t="s">
        <v>194</v>
      </c>
      <c r="B127" s="76" t="s">
        <v>356</v>
      </c>
      <c r="C127" s="76" t="s">
        <v>325</v>
      </c>
      <c r="D127" s="76" t="s">
        <v>15</v>
      </c>
      <c r="E127" s="76" t="s">
        <v>14</v>
      </c>
      <c r="F127" s="77" t="s">
        <v>212</v>
      </c>
      <c r="G127" s="79">
        <v>1.8360655737705</v>
      </c>
      <c r="H127" s="79" t="s">
        <v>212</v>
      </c>
      <c r="I127" s="79">
        <v>0.6422018348623852</v>
      </c>
      <c r="J127" s="79" t="s">
        <v>97</v>
      </c>
      <c r="K127" s="79">
        <v>0.11023622047244</v>
      </c>
      <c r="L127" s="77" t="s">
        <v>212</v>
      </c>
      <c r="N127" s="77" t="s">
        <v>212</v>
      </c>
      <c r="O127" s="77"/>
      <c r="P127" s="77" t="s">
        <v>212</v>
      </c>
      <c r="Q127" s="77"/>
      <c r="R127" s="77" t="s">
        <v>212</v>
      </c>
      <c r="S127" s="79">
        <f>AVERAGE(G127,I127,K127)</f>
        <v>0.8628345430351084</v>
      </c>
      <c r="T127" s="77" t="s">
        <v>212</v>
      </c>
      <c r="U127" s="77"/>
      <c r="V127" s="77" t="s">
        <v>212</v>
      </c>
      <c r="W127" s="77"/>
      <c r="X127" s="76">
        <v>0.8628345430351084</v>
      </c>
    </row>
    <row r="128" spans="1:24" s="76" customFormat="1" ht="12.75">
      <c r="A128" s="76" t="s">
        <v>194</v>
      </c>
      <c r="B128" s="76" t="s">
        <v>49</v>
      </c>
      <c r="C128" s="80" t="s">
        <v>325</v>
      </c>
      <c r="D128" s="76" t="s">
        <v>15</v>
      </c>
      <c r="E128" s="76" t="s">
        <v>14</v>
      </c>
      <c r="F128" s="77" t="s">
        <v>97</v>
      </c>
      <c r="G128" s="79">
        <v>0.006699799995487459</v>
      </c>
      <c r="H128" s="79" t="s">
        <v>97</v>
      </c>
      <c r="I128" s="79">
        <v>0.009298584801076537</v>
      </c>
      <c r="J128" s="79" t="s">
        <v>97</v>
      </c>
      <c r="K128" s="79">
        <v>0.0069509106094915556</v>
      </c>
      <c r="L128" s="77" t="s">
        <v>212</v>
      </c>
      <c r="N128" s="77" t="s">
        <v>212</v>
      </c>
      <c r="O128" s="77"/>
      <c r="P128" s="77" t="s">
        <v>212</v>
      </c>
      <c r="Q128" s="77"/>
      <c r="R128" s="77" t="s">
        <v>212</v>
      </c>
      <c r="S128" s="79">
        <f>AVERAGE(G128,I128,K128)</f>
        <v>0.007649765135351851</v>
      </c>
      <c r="T128" s="77" t="s">
        <v>212</v>
      </c>
      <c r="U128" s="77"/>
      <c r="V128" s="77" t="s">
        <v>212</v>
      </c>
      <c r="W128" s="77"/>
      <c r="X128" s="76">
        <v>0.007649765135351851</v>
      </c>
    </row>
    <row r="129" spans="6:23" s="76" customFormat="1" ht="12.75">
      <c r="F129" s="77"/>
      <c r="G129" s="79"/>
      <c r="H129" s="79"/>
      <c r="I129" s="79"/>
      <c r="J129" s="79"/>
      <c r="K129" s="79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</row>
    <row r="130" spans="1:57" s="80" customFormat="1" ht="12.75">
      <c r="A130" s="80" t="s">
        <v>194</v>
      </c>
      <c r="B130" s="80" t="s">
        <v>217</v>
      </c>
      <c r="C130" s="80" t="s">
        <v>51</v>
      </c>
      <c r="D130" s="80" t="s">
        <v>17</v>
      </c>
      <c r="G130" s="81">
        <v>99.999976</v>
      </c>
      <c r="H130" s="81"/>
      <c r="I130" s="81">
        <v>99.999972</v>
      </c>
      <c r="J130" s="81"/>
      <c r="K130" s="81">
        <v>99.999946</v>
      </c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1"/>
      <c r="AI130" s="81"/>
      <c r="AJ130" s="81"/>
      <c r="AK130" s="81"/>
      <c r="AL130" s="81"/>
      <c r="AM130" s="81"/>
      <c r="AN130" s="81"/>
      <c r="AO130" s="81"/>
      <c r="AP130" s="81"/>
      <c r="AQ130" s="81"/>
      <c r="AR130" s="81"/>
      <c r="AS130" s="81"/>
      <c r="AT130" s="81"/>
      <c r="AU130" s="81"/>
      <c r="AV130" s="81"/>
      <c r="AW130" s="81"/>
      <c r="AX130" s="81"/>
      <c r="AY130" s="81"/>
      <c r="AZ130" s="81"/>
      <c r="BA130" s="81"/>
      <c r="BB130" s="81"/>
      <c r="BC130" s="81"/>
      <c r="BD130" s="81"/>
      <c r="BE130" s="81"/>
    </row>
    <row r="131" spans="1:57" s="80" customFormat="1" ht="12.75">
      <c r="A131" s="80" t="s">
        <v>194</v>
      </c>
      <c r="B131" s="80" t="s">
        <v>218</v>
      </c>
      <c r="C131" s="80" t="s">
        <v>51</v>
      </c>
      <c r="D131" s="80" t="s">
        <v>17</v>
      </c>
      <c r="G131" s="81">
        <v>99.999741</v>
      </c>
      <c r="H131" s="81"/>
      <c r="I131" s="81">
        <v>99.999745</v>
      </c>
      <c r="J131" s="81"/>
      <c r="K131" s="81">
        <v>99.999621</v>
      </c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81"/>
      <c r="AD131" s="81"/>
      <c r="AE131" s="81"/>
      <c r="AF131" s="81"/>
      <c r="AG131" s="81"/>
      <c r="AH131" s="81"/>
      <c r="AI131" s="81"/>
      <c r="AJ131" s="81"/>
      <c r="AK131" s="81"/>
      <c r="AL131" s="81"/>
      <c r="AM131" s="81"/>
      <c r="AN131" s="81"/>
      <c r="AO131" s="81"/>
      <c r="AP131" s="81"/>
      <c r="AQ131" s="81"/>
      <c r="AR131" s="81"/>
      <c r="AS131" s="81"/>
      <c r="AT131" s="81"/>
      <c r="AU131" s="81"/>
      <c r="AV131" s="81"/>
      <c r="AW131" s="81"/>
      <c r="AX131" s="81"/>
      <c r="AY131" s="81"/>
      <c r="AZ131" s="81"/>
      <c r="BA131" s="81"/>
      <c r="BB131" s="81"/>
      <c r="BC131" s="81"/>
      <c r="BD131" s="81"/>
      <c r="BE131" s="81"/>
    </row>
    <row r="132" spans="1:57" s="80" customFormat="1" ht="12.75">
      <c r="A132" s="80" t="s">
        <v>194</v>
      </c>
      <c r="B132" s="80" t="s">
        <v>148</v>
      </c>
      <c r="C132" s="80" t="s">
        <v>51</v>
      </c>
      <c r="D132" s="80" t="s">
        <v>17</v>
      </c>
      <c r="G132" s="81">
        <v>99.99998</v>
      </c>
      <c r="H132" s="81"/>
      <c r="I132" s="81">
        <v>99.999993</v>
      </c>
      <c r="J132" s="81"/>
      <c r="K132" s="81">
        <v>99.99999</v>
      </c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1"/>
      <c r="AL132" s="81"/>
      <c r="AM132" s="81"/>
      <c r="AN132" s="81"/>
      <c r="AO132" s="81"/>
      <c r="AP132" s="81"/>
      <c r="AQ132" s="81"/>
      <c r="AR132" s="81"/>
      <c r="AS132" s="81"/>
      <c r="AT132" s="81"/>
      <c r="AU132" s="81"/>
      <c r="AV132" s="81"/>
      <c r="AW132" s="81"/>
      <c r="AX132" s="81"/>
      <c r="AY132" s="81"/>
      <c r="AZ132" s="81"/>
      <c r="BA132" s="81"/>
      <c r="BB132" s="81"/>
      <c r="BC132" s="81"/>
      <c r="BD132" s="81"/>
      <c r="BE132" s="81"/>
    </row>
    <row r="133" spans="1:57" s="80" customFormat="1" ht="12.75">
      <c r="A133" s="80" t="s">
        <v>194</v>
      </c>
      <c r="B133" s="80" t="s">
        <v>219</v>
      </c>
      <c r="C133" s="80" t="s">
        <v>51</v>
      </c>
      <c r="D133" s="80" t="s">
        <v>17</v>
      </c>
      <c r="G133" s="81">
        <v>99.999961</v>
      </c>
      <c r="H133" s="81"/>
      <c r="I133" s="81">
        <v>99.999985</v>
      </c>
      <c r="J133" s="81"/>
      <c r="K133" s="81">
        <v>99.999955</v>
      </c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  <c r="AC133" s="81"/>
      <c r="AD133" s="81"/>
      <c r="AE133" s="81"/>
      <c r="AF133" s="81"/>
      <c r="AG133" s="81"/>
      <c r="AH133" s="81"/>
      <c r="AI133" s="81"/>
      <c r="AJ133" s="81"/>
      <c r="AK133" s="81"/>
      <c r="AL133" s="81"/>
      <c r="AM133" s="81"/>
      <c r="AN133" s="81"/>
      <c r="AO133" s="81"/>
      <c r="AP133" s="81"/>
      <c r="AQ133" s="81"/>
      <c r="AR133" s="81"/>
      <c r="AS133" s="81"/>
      <c r="AT133" s="81"/>
      <c r="AU133" s="81"/>
      <c r="AV133" s="81"/>
      <c r="AW133" s="81"/>
      <c r="AX133" s="81"/>
      <c r="AY133" s="81"/>
      <c r="AZ133" s="81"/>
      <c r="BA133" s="81"/>
      <c r="BB133" s="81"/>
      <c r="BC133" s="81"/>
      <c r="BD133" s="81"/>
      <c r="BE133" s="81"/>
    </row>
    <row r="134" spans="7:57" s="80" customFormat="1" ht="12.75"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  <c r="AC134" s="81"/>
      <c r="AD134" s="81"/>
      <c r="AE134" s="81"/>
      <c r="AF134" s="81"/>
      <c r="AG134" s="81"/>
      <c r="AH134" s="81"/>
      <c r="AI134" s="81"/>
      <c r="AJ134" s="81"/>
      <c r="AK134" s="81"/>
      <c r="AL134" s="81"/>
      <c r="AM134" s="81"/>
      <c r="AN134" s="81"/>
      <c r="AO134" s="81"/>
      <c r="AP134" s="81"/>
      <c r="AQ134" s="81"/>
      <c r="AR134" s="81"/>
      <c r="AS134" s="81"/>
      <c r="AT134" s="81"/>
      <c r="AU134" s="81"/>
      <c r="AV134" s="81"/>
      <c r="AW134" s="81"/>
      <c r="AX134" s="81"/>
      <c r="AY134" s="81"/>
      <c r="AZ134" s="81"/>
      <c r="BA134" s="81"/>
      <c r="BB134" s="81"/>
      <c r="BC134" s="81"/>
      <c r="BD134" s="81"/>
      <c r="BE134" s="81"/>
    </row>
    <row r="135" spans="2:23" s="76" customFormat="1" ht="12.75">
      <c r="B135" s="76" t="s">
        <v>84</v>
      </c>
      <c r="C135" s="76" t="s">
        <v>214</v>
      </c>
      <c r="D135" s="80" t="s">
        <v>324</v>
      </c>
      <c r="F135" s="77"/>
      <c r="G135" s="79"/>
      <c r="H135" s="79"/>
      <c r="I135" s="79"/>
      <c r="J135" s="79"/>
      <c r="K135" s="79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</row>
    <row r="136" spans="2:63" s="76" customFormat="1" ht="12.75">
      <c r="B136" s="5" t="s">
        <v>77</v>
      </c>
      <c r="C136" s="5"/>
      <c r="D136" s="5" t="s">
        <v>16</v>
      </c>
      <c r="G136" s="79">
        <v>34518</v>
      </c>
      <c r="H136" s="79"/>
      <c r="I136" s="79">
        <v>34345</v>
      </c>
      <c r="J136" s="79"/>
      <c r="K136" s="79">
        <v>33657</v>
      </c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  <c r="AA136" s="79"/>
      <c r="AB136" s="79"/>
      <c r="AC136" s="79"/>
      <c r="AD136" s="79"/>
      <c r="AE136" s="79"/>
      <c r="AF136" s="79"/>
      <c r="AG136" s="79"/>
      <c r="AH136" s="79"/>
      <c r="AI136" s="79"/>
      <c r="AJ136" s="79"/>
      <c r="AK136" s="79"/>
      <c r="AL136" s="79"/>
      <c r="AM136" s="79"/>
      <c r="AN136" s="79"/>
      <c r="AO136" s="79"/>
      <c r="AP136" s="79"/>
      <c r="AQ136" s="79"/>
      <c r="AR136" s="79"/>
      <c r="AS136" s="79"/>
      <c r="AT136" s="79"/>
      <c r="AU136" s="79"/>
      <c r="AV136" s="79"/>
      <c r="AW136" s="79"/>
      <c r="AX136" s="79"/>
      <c r="AY136" s="79"/>
      <c r="AZ136" s="79"/>
      <c r="BA136" s="79"/>
      <c r="BB136" s="79"/>
      <c r="BC136" s="79"/>
      <c r="BD136" s="79"/>
      <c r="BE136" s="79"/>
      <c r="BF136" s="79"/>
      <c r="BG136" s="79"/>
      <c r="BH136" s="79"/>
      <c r="BI136" s="79"/>
      <c r="BJ136" s="79"/>
      <c r="BK136" s="79"/>
    </row>
    <row r="137" spans="2:63" s="76" customFormat="1" ht="12.75">
      <c r="B137" s="5" t="s">
        <v>81</v>
      </c>
      <c r="C137" s="5"/>
      <c r="D137" s="5" t="s">
        <v>17</v>
      </c>
      <c r="G137" s="79">
        <v>8.8</v>
      </c>
      <c r="H137" s="79"/>
      <c r="I137" s="79">
        <v>10.1</v>
      </c>
      <c r="J137" s="79"/>
      <c r="K137" s="79">
        <v>8.3</v>
      </c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79"/>
      <c r="AD137" s="79"/>
      <c r="AE137" s="79"/>
      <c r="AF137" s="79"/>
      <c r="AG137" s="79"/>
      <c r="AH137" s="79"/>
      <c r="AI137" s="79"/>
      <c r="AJ137" s="79"/>
      <c r="AK137" s="79"/>
      <c r="AL137" s="79"/>
      <c r="AM137" s="79"/>
      <c r="AN137" s="79"/>
      <c r="AO137" s="79"/>
      <c r="AP137" s="79"/>
      <c r="AQ137" s="79"/>
      <c r="AR137" s="79"/>
      <c r="AS137" s="79"/>
      <c r="AT137" s="79"/>
      <c r="AU137" s="79"/>
      <c r="AV137" s="79"/>
      <c r="AW137" s="79"/>
      <c r="AX137" s="79"/>
      <c r="AY137" s="79"/>
      <c r="AZ137" s="79"/>
      <c r="BA137" s="79"/>
      <c r="BB137" s="79"/>
      <c r="BC137" s="79"/>
      <c r="BD137" s="79"/>
      <c r="BE137" s="79"/>
      <c r="BF137" s="79"/>
      <c r="BG137" s="79"/>
      <c r="BH137" s="79"/>
      <c r="BI137" s="79"/>
      <c r="BJ137" s="79"/>
      <c r="BK137" s="79"/>
    </row>
    <row r="138" spans="1:63" s="76" customFormat="1" ht="12.75">
      <c r="A138" s="76" t="s">
        <v>194</v>
      </c>
      <c r="B138" s="5" t="s">
        <v>82</v>
      </c>
      <c r="C138" s="5"/>
      <c r="D138" s="5" t="s">
        <v>17</v>
      </c>
      <c r="G138" s="79">
        <v>9.3</v>
      </c>
      <c r="H138" s="79"/>
      <c r="I138" s="79">
        <v>9.2</v>
      </c>
      <c r="J138" s="79"/>
      <c r="K138" s="79">
        <v>9.2</v>
      </c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79"/>
      <c r="AC138" s="79"/>
      <c r="AD138" s="79"/>
      <c r="AE138" s="79"/>
      <c r="AF138" s="79"/>
      <c r="AG138" s="79"/>
      <c r="AH138" s="79"/>
      <c r="AI138" s="79"/>
      <c r="AJ138" s="79"/>
      <c r="AK138" s="79"/>
      <c r="AL138" s="79"/>
      <c r="AM138" s="79"/>
      <c r="AN138" s="79"/>
      <c r="AO138" s="79"/>
      <c r="AP138" s="79"/>
      <c r="AQ138" s="79"/>
      <c r="AR138" s="79"/>
      <c r="AS138" s="79"/>
      <c r="AT138" s="79"/>
      <c r="AU138" s="79"/>
      <c r="AV138" s="79"/>
      <c r="AW138" s="79"/>
      <c r="AX138" s="79"/>
      <c r="AY138" s="79"/>
      <c r="AZ138" s="79"/>
      <c r="BA138" s="79"/>
      <c r="BB138" s="79"/>
      <c r="BC138" s="79"/>
      <c r="BD138" s="79"/>
      <c r="BE138" s="79"/>
      <c r="BF138" s="79"/>
      <c r="BG138" s="79"/>
      <c r="BH138" s="79"/>
      <c r="BI138" s="79"/>
      <c r="BJ138" s="79"/>
      <c r="BK138" s="79"/>
    </row>
    <row r="139" spans="2:63" s="76" customFormat="1" ht="12.75">
      <c r="B139" s="5" t="s">
        <v>76</v>
      </c>
      <c r="C139" s="5"/>
      <c r="D139" s="5" t="s">
        <v>18</v>
      </c>
      <c r="G139" s="79">
        <v>117</v>
      </c>
      <c r="H139" s="79"/>
      <c r="I139" s="79">
        <v>117</v>
      </c>
      <c r="J139" s="79"/>
      <c r="K139" s="79">
        <v>118</v>
      </c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9"/>
      <c r="AB139" s="79"/>
      <c r="AC139" s="79"/>
      <c r="AD139" s="79"/>
      <c r="AE139" s="79"/>
      <c r="AF139" s="79"/>
      <c r="AG139" s="79"/>
      <c r="AH139" s="79"/>
      <c r="AI139" s="79"/>
      <c r="AJ139" s="79"/>
      <c r="AK139" s="79"/>
      <c r="AL139" s="79"/>
      <c r="AM139" s="79"/>
      <c r="AN139" s="79"/>
      <c r="AO139" s="79"/>
      <c r="AP139" s="79"/>
      <c r="AQ139" s="79"/>
      <c r="AR139" s="79"/>
      <c r="AS139" s="79"/>
      <c r="AT139" s="79"/>
      <c r="AU139" s="79"/>
      <c r="AV139" s="79"/>
      <c r="AW139" s="79"/>
      <c r="AX139" s="79"/>
      <c r="AY139" s="79"/>
      <c r="AZ139" s="79"/>
      <c r="BA139" s="79"/>
      <c r="BB139" s="79"/>
      <c r="BC139" s="79"/>
      <c r="BD139" s="79"/>
      <c r="BE139" s="79"/>
      <c r="BF139" s="79"/>
      <c r="BG139" s="79"/>
      <c r="BH139" s="79"/>
      <c r="BI139" s="79"/>
      <c r="BJ139" s="79"/>
      <c r="BK139" s="79"/>
    </row>
    <row r="140" spans="7:63" s="76" customFormat="1" ht="12.75"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  <c r="AC140" s="79"/>
      <c r="AD140" s="79"/>
      <c r="AE140" s="79"/>
      <c r="AF140" s="79"/>
      <c r="AG140" s="79"/>
      <c r="AH140" s="79"/>
      <c r="AI140" s="79"/>
      <c r="AJ140" s="79"/>
      <c r="AK140" s="79"/>
      <c r="AL140" s="79"/>
      <c r="AM140" s="79"/>
      <c r="AN140" s="79"/>
      <c r="AO140" s="79"/>
      <c r="AP140" s="79"/>
      <c r="AQ140" s="79"/>
      <c r="AR140" s="79"/>
      <c r="AS140" s="79"/>
      <c r="AT140" s="79"/>
      <c r="AU140" s="79"/>
      <c r="AV140" s="79"/>
      <c r="AW140" s="79"/>
      <c r="AX140" s="79"/>
      <c r="AY140" s="79"/>
      <c r="AZ140" s="79"/>
      <c r="BA140" s="79"/>
      <c r="BB140" s="79"/>
      <c r="BC140" s="79"/>
      <c r="BD140" s="79"/>
      <c r="BE140" s="79"/>
      <c r="BF140" s="79"/>
      <c r="BG140" s="79"/>
      <c r="BH140" s="79"/>
      <c r="BI140" s="79"/>
      <c r="BJ140" s="79"/>
      <c r="BK140" s="79"/>
    </row>
    <row r="141" spans="2:63" s="76" customFormat="1" ht="12.75">
      <c r="B141" s="76" t="s">
        <v>84</v>
      </c>
      <c r="C141" s="76" t="s">
        <v>215</v>
      </c>
      <c r="D141" s="76" t="s">
        <v>325</v>
      </c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  <c r="AA141" s="79"/>
      <c r="AB141" s="79"/>
      <c r="AC141" s="79"/>
      <c r="AD141" s="79"/>
      <c r="AE141" s="79"/>
      <c r="AF141" s="79"/>
      <c r="AG141" s="79"/>
      <c r="AH141" s="79"/>
      <c r="AI141" s="79"/>
      <c r="AJ141" s="79"/>
      <c r="AK141" s="79"/>
      <c r="AL141" s="79"/>
      <c r="AM141" s="79"/>
      <c r="AN141" s="79"/>
      <c r="AO141" s="79"/>
      <c r="AP141" s="79"/>
      <c r="AQ141" s="79"/>
      <c r="AR141" s="79"/>
      <c r="AS141" s="79"/>
      <c r="AT141" s="79"/>
      <c r="AU141" s="79"/>
      <c r="AV141" s="79"/>
      <c r="AW141" s="79"/>
      <c r="AX141" s="79"/>
      <c r="AY141" s="79"/>
      <c r="AZ141" s="79"/>
      <c r="BA141" s="79"/>
      <c r="BB141" s="79"/>
      <c r="BC141" s="79"/>
      <c r="BD141" s="79"/>
      <c r="BE141" s="79"/>
      <c r="BF141" s="79"/>
      <c r="BG141" s="79"/>
      <c r="BH141" s="79"/>
      <c r="BI141" s="79"/>
      <c r="BJ141" s="79"/>
      <c r="BK141" s="79"/>
    </row>
    <row r="142" spans="2:63" s="76" customFormat="1" ht="12.75">
      <c r="B142" s="5" t="s">
        <v>77</v>
      </c>
      <c r="C142" s="5"/>
      <c r="D142" s="5" t="s">
        <v>16</v>
      </c>
      <c r="G142" s="79">
        <v>33708</v>
      </c>
      <c r="H142" s="79"/>
      <c r="I142" s="79">
        <v>32836</v>
      </c>
      <c r="J142" s="79"/>
      <c r="K142" s="79">
        <v>33667</v>
      </c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  <c r="AA142" s="79"/>
      <c r="AB142" s="79"/>
      <c r="AC142" s="79"/>
      <c r="AD142" s="79"/>
      <c r="AE142" s="79"/>
      <c r="AF142" s="79"/>
      <c r="AG142" s="79"/>
      <c r="AH142" s="79"/>
      <c r="AI142" s="79"/>
      <c r="AJ142" s="79"/>
      <c r="AK142" s="79"/>
      <c r="AL142" s="79"/>
      <c r="AM142" s="79"/>
      <c r="AN142" s="79"/>
      <c r="AO142" s="79"/>
      <c r="AP142" s="79"/>
      <c r="AQ142" s="79"/>
      <c r="AR142" s="79"/>
      <c r="AS142" s="79"/>
      <c r="AT142" s="79"/>
      <c r="AU142" s="79"/>
      <c r="AV142" s="79"/>
      <c r="AW142" s="79"/>
      <c r="AX142" s="79"/>
      <c r="AY142" s="79"/>
      <c r="AZ142" s="79"/>
      <c r="BA142" s="79"/>
      <c r="BB142" s="79"/>
      <c r="BC142" s="79"/>
      <c r="BD142" s="79"/>
      <c r="BE142" s="79"/>
      <c r="BF142" s="79"/>
      <c r="BG142" s="79"/>
      <c r="BH142" s="79"/>
      <c r="BI142" s="79"/>
      <c r="BJ142" s="79"/>
      <c r="BK142" s="79"/>
    </row>
    <row r="143" spans="2:63" s="76" customFormat="1" ht="12.75">
      <c r="B143" s="5" t="s">
        <v>81</v>
      </c>
      <c r="C143" s="5"/>
      <c r="D143" s="5" t="s">
        <v>17</v>
      </c>
      <c r="G143" s="79">
        <v>8.8</v>
      </c>
      <c r="H143" s="79"/>
      <c r="I143" s="79">
        <v>10.1</v>
      </c>
      <c r="J143" s="79"/>
      <c r="K143" s="79">
        <v>8.3</v>
      </c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  <c r="AA143" s="79"/>
      <c r="AB143" s="79"/>
      <c r="AC143" s="79"/>
      <c r="AD143" s="79"/>
      <c r="AE143" s="79"/>
      <c r="AF143" s="79"/>
      <c r="AG143" s="79"/>
      <c r="AH143" s="79"/>
      <c r="AI143" s="79"/>
      <c r="AJ143" s="79"/>
      <c r="AK143" s="79"/>
      <c r="AL143" s="79"/>
      <c r="AM143" s="79"/>
      <c r="AN143" s="79"/>
      <c r="AO143" s="79"/>
      <c r="AP143" s="79"/>
      <c r="AQ143" s="79"/>
      <c r="AR143" s="79"/>
      <c r="AS143" s="79"/>
      <c r="AT143" s="79"/>
      <c r="AU143" s="79"/>
      <c r="AV143" s="79"/>
      <c r="AW143" s="79"/>
      <c r="AX143" s="79"/>
      <c r="AY143" s="79"/>
      <c r="AZ143" s="79"/>
      <c r="BA143" s="79"/>
      <c r="BB143" s="79"/>
      <c r="BC143" s="79"/>
      <c r="BD143" s="79"/>
      <c r="BE143" s="79"/>
      <c r="BF143" s="79"/>
      <c r="BG143" s="79"/>
      <c r="BH143" s="79"/>
      <c r="BI143" s="79"/>
      <c r="BJ143" s="79"/>
      <c r="BK143" s="79"/>
    </row>
    <row r="144" spans="2:63" s="76" customFormat="1" ht="12.75">
      <c r="B144" s="5" t="s">
        <v>82</v>
      </c>
      <c r="C144" s="5"/>
      <c r="D144" s="5" t="s">
        <v>17</v>
      </c>
      <c r="G144" s="79">
        <v>9.9</v>
      </c>
      <c r="H144" s="79"/>
      <c r="I144" s="79">
        <v>9.7</v>
      </c>
      <c r="J144" s="79"/>
      <c r="K144" s="79">
        <v>9.6</v>
      </c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  <c r="AA144" s="79"/>
      <c r="AB144" s="79"/>
      <c r="AC144" s="79"/>
      <c r="AD144" s="79"/>
      <c r="AE144" s="79"/>
      <c r="AF144" s="79"/>
      <c r="AG144" s="79"/>
      <c r="AH144" s="79"/>
      <c r="AI144" s="79"/>
      <c r="AJ144" s="79"/>
      <c r="AK144" s="79"/>
      <c r="AL144" s="79"/>
      <c r="AM144" s="79"/>
      <c r="AN144" s="79"/>
      <c r="AO144" s="79"/>
      <c r="AP144" s="79"/>
      <c r="AQ144" s="79"/>
      <c r="AR144" s="79"/>
      <c r="AS144" s="79"/>
      <c r="AT144" s="79"/>
      <c r="AU144" s="79"/>
      <c r="AV144" s="79"/>
      <c r="AW144" s="79"/>
      <c r="AX144" s="79"/>
      <c r="AY144" s="79"/>
      <c r="AZ144" s="79"/>
      <c r="BA144" s="79"/>
      <c r="BB144" s="79"/>
      <c r="BC144" s="79"/>
      <c r="BD144" s="79"/>
      <c r="BE144" s="79"/>
      <c r="BF144" s="79"/>
      <c r="BG144" s="79"/>
      <c r="BH144" s="79"/>
      <c r="BI144" s="79"/>
      <c r="BJ144" s="79"/>
      <c r="BK144" s="79"/>
    </row>
    <row r="145" spans="2:63" s="76" customFormat="1" ht="12.75">
      <c r="B145" s="5" t="s">
        <v>76</v>
      </c>
      <c r="C145" s="5"/>
      <c r="D145" s="5" t="s">
        <v>18</v>
      </c>
      <c r="G145" s="79">
        <v>113</v>
      </c>
      <c r="H145" s="79"/>
      <c r="I145" s="79">
        <v>113</v>
      </c>
      <c r="J145" s="79"/>
      <c r="K145" s="79">
        <v>114</v>
      </c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  <c r="AA145" s="79"/>
      <c r="AB145" s="79"/>
      <c r="AC145" s="79"/>
      <c r="AD145" s="79"/>
      <c r="AE145" s="79"/>
      <c r="AF145" s="79"/>
      <c r="AG145" s="79"/>
      <c r="AH145" s="79"/>
      <c r="AI145" s="79"/>
      <c r="AJ145" s="79"/>
      <c r="AK145" s="79"/>
      <c r="AL145" s="79"/>
      <c r="AM145" s="79"/>
      <c r="AN145" s="79"/>
      <c r="AO145" s="79"/>
      <c r="AP145" s="79"/>
      <c r="AQ145" s="79"/>
      <c r="AR145" s="79"/>
      <c r="AS145" s="79"/>
      <c r="AT145" s="79"/>
      <c r="AU145" s="79"/>
      <c r="AV145" s="79"/>
      <c r="AW145" s="79"/>
      <c r="AX145" s="79"/>
      <c r="AY145" s="79"/>
      <c r="AZ145" s="79"/>
      <c r="BA145" s="79"/>
      <c r="BB145" s="79"/>
      <c r="BC145" s="79"/>
      <c r="BD145" s="79"/>
      <c r="BE145" s="79"/>
      <c r="BF145" s="79"/>
      <c r="BG145" s="79"/>
      <c r="BH145" s="79"/>
      <c r="BI145" s="79"/>
      <c r="BJ145" s="79"/>
      <c r="BK145" s="79"/>
    </row>
    <row r="146" spans="6:23" s="76" customFormat="1" ht="12.75">
      <c r="F146" s="77"/>
      <c r="G146" s="79"/>
      <c r="H146" s="79"/>
      <c r="I146" s="79"/>
      <c r="J146" s="79"/>
      <c r="K146" s="79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</row>
    <row r="147" spans="2:23" s="76" customFormat="1" ht="12.75">
      <c r="B147" s="37" t="s">
        <v>196</v>
      </c>
      <c r="F147" s="77"/>
      <c r="G147" s="46" t="s">
        <v>209</v>
      </c>
      <c r="H147" s="46"/>
      <c r="I147" s="46" t="s">
        <v>210</v>
      </c>
      <c r="J147" s="46"/>
      <c r="K147" s="46" t="s">
        <v>211</v>
      </c>
      <c r="L147" s="46"/>
      <c r="M147" s="46" t="s">
        <v>232</v>
      </c>
      <c r="N147" s="46"/>
      <c r="O147" s="46" t="s">
        <v>286</v>
      </c>
      <c r="P147" s="46"/>
      <c r="Q147" s="46" t="s">
        <v>287</v>
      </c>
      <c r="R147" s="77"/>
      <c r="S147" s="46" t="s">
        <v>46</v>
      </c>
      <c r="T147" s="77"/>
      <c r="U147" s="77"/>
      <c r="V147" s="77"/>
      <c r="W147" s="77"/>
    </row>
    <row r="148" spans="6:23" s="76" customFormat="1" ht="12.75">
      <c r="F148" s="77"/>
      <c r="G148" s="79"/>
      <c r="H148" s="79"/>
      <c r="I148" s="79"/>
      <c r="J148" s="79"/>
      <c r="K148" s="79"/>
      <c r="L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</row>
    <row r="149" spans="1:24" s="76" customFormat="1" ht="12.75">
      <c r="A149" s="76" t="s">
        <v>196</v>
      </c>
      <c r="B149" s="76" t="s">
        <v>12</v>
      </c>
      <c r="C149" s="76" t="s">
        <v>325</v>
      </c>
      <c r="D149" s="76" t="s">
        <v>13</v>
      </c>
      <c r="E149" s="76" t="s">
        <v>14</v>
      </c>
      <c r="F149" s="77" t="s">
        <v>212</v>
      </c>
      <c r="G149" s="78">
        <v>0.0049710638052174</v>
      </c>
      <c r="H149" s="78" t="s">
        <v>212</v>
      </c>
      <c r="I149" s="78">
        <v>0.0016470751623529414</v>
      </c>
      <c r="J149" s="78" t="s">
        <v>212</v>
      </c>
      <c r="K149" s="78">
        <v>0.0009130525356521738</v>
      </c>
      <c r="L149" s="78" t="s">
        <v>212</v>
      </c>
      <c r="N149" s="78" t="s">
        <v>212</v>
      </c>
      <c r="O149" s="78"/>
      <c r="P149" s="78" t="s">
        <v>212</v>
      </c>
      <c r="Q149" s="78"/>
      <c r="R149" s="78" t="s">
        <v>212</v>
      </c>
      <c r="S149" s="78">
        <f>AVERAGE(G149,I149,K149)</f>
        <v>0.0025103971677408383</v>
      </c>
      <c r="T149" s="78" t="s">
        <v>212</v>
      </c>
      <c r="U149" s="78"/>
      <c r="V149" s="77" t="s">
        <v>212</v>
      </c>
      <c r="W149" s="77"/>
      <c r="X149" s="76">
        <v>0.0025103971677408383</v>
      </c>
    </row>
    <row r="150" spans="1:24" s="76" customFormat="1" ht="12.75">
      <c r="A150" s="76" t="s">
        <v>196</v>
      </c>
      <c r="B150" s="76" t="s">
        <v>113</v>
      </c>
      <c r="C150" s="76" t="s">
        <v>325</v>
      </c>
      <c r="D150" s="76" t="s">
        <v>15</v>
      </c>
      <c r="E150" s="76" t="s">
        <v>14</v>
      </c>
      <c r="F150" s="77" t="s">
        <v>212</v>
      </c>
      <c r="G150" s="79">
        <v>23.33333333333333</v>
      </c>
      <c r="H150" s="79" t="s">
        <v>212</v>
      </c>
      <c r="I150" s="79">
        <v>1.0294117647058825</v>
      </c>
      <c r="J150" s="79" t="s">
        <v>212</v>
      </c>
      <c r="K150" s="79"/>
      <c r="L150" s="77" t="s">
        <v>212</v>
      </c>
      <c r="N150" s="77" t="s">
        <v>212</v>
      </c>
      <c r="O150" s="77"/>
      <c r="P150" s="77" t="s">
        <v>212</v>
      </c>
      <c r="Q150" s="77"/>
      <c r="R150" s="77" t="s">
        <v>212</v>
      </c>
      <c r="S150" s="79">
        <f>AVERAGE(G150,I150,K150)</f>
        <v>12.181372549019606</v>
      </c>
      <c r="T150" s="77" t="s">
        <v>212</v>
      </c>
      <c r="U150" s="77"/>
      <c r="V150" s="77" t="s">
        <v>212</v>
      </c>
      <c r="W150" s="77"/>
      <c r="X150" s="76">
        <v>12.181372549019606</v>
      </c>
    </row>
    <row r="151" spans="1:24" s="76" customFormat="1" ht="12.75">
      <c r="A151" s="76" t="s">
        <v>196</v>
      </c>
      <c r="B151" s="76" t="s">
        <v>356</v>
      </c>
      <c r="C151" s="76" t="s">
        <v>325</v>
      </c>
      <c r="D151" s="76" t="s">
        <v>15</v>
      </c>
      <c r="E151" s="76" t="s">
        <v>14</v>
      </c>
      <c r="F151" s="77" t="s">
        <v>212</v>
      </c>
      <c r="G151" s="79">
        <v>0</v>
      </c>
      <c r="H151" s="79" t="s">
        <v>212</v>
      </c>
      <c r="I151" s="79">
        <v>0</v>
      </c>
      <c r="J151" s="79" t="s">
        <v>212</v>
      </c>
      <c r="K151" s="79">
        <v>0.30434782608695654</v>
      </c>
      <c r="L151" s="77" t="s">
        <v>212</v>
      </c>
      <c r="N151" s="77" t="s">
        <v>212</v>
      </c>
      <c r="O151" s="77"/>
      <c r="P151" s="77" t="s">
        <v>212</v>
      </c>
      <c r="Q151" s="77"/>
      <c r="R151" s="77" t="s">
        <v>212</v>
      </c>
      <c r="S151" s="79">
        <f>AVERAGE(G151,I151,K151)</f>
        <v>0.10144927536231885</v>
      </c>
      <c r="T151" s="77" t="s">
        <v>212</v>
      </c>
      <c r="U151" s="77"/>
      <c r="V151" s="77" t="s">
        <v>212</v>
      </c>
      <c r="W151" s="77"/>
      <c r="X151" s="76">
        <v>0.10144927536231885</v>
      </c>
    </row>
    <row r="152" spans="1:24" s="76" customFormat="1" ht="12.75">
      <c r="A152" s="76" t="s">
        <v>196</v>
      </c>
      <c r="B152" s="76" t="s">
        <v>49</v>
      </c>
      <c r="C152" s="80" t="s">
        <v>325</v>
      </c>
      <c r="D152" s="76" t="s">
        <v>15</v>
      </c>
      <c r="E152" s="76" t="s">
        <v>14</v>
      </c>
      <c r="F152" s="77" t="s">
        <v>97</v>
      </c>
      <c r="G152" s="79">
        <v>0.26061250996939617</v>
      </c>
      <c r="H152" s="79" t="s">
        <v>97</v>
      </c>
      <c r="I152" s="79">
        <v>0.2404045880733736</v>
      </c>
      <c r="J152" s="79" t="s">
        <v>97</v>
      </c>
      <c r="K152" s="79">
        <v>0.23692046360854202</v>
      </c>
      <c r="L152" s="77" t="s">
        <v>212</v>
      </c>
      <c r="N152" s="77" t="s">
        <v>212</v>
      </c>
      <c r="O152" s="77"/>
      <c r="P152" s="77" t="s">
        <v>212</v>
      </c>
      <c r="Q152" s="77"/>
      <c r="R152" s="77" t="s">
        <v>212</v>
      </c>
      <c r="S152" s="79">
        <f>AVERAGE(G152,I152,K152)</f>
        <v>0.2459791872171039</v>
      </c>
      <c r="T152" s="77" t="s">
        <v>212</v>
      </c>
      <c r="U152" s="77"/>
      <c r="V152" s="77" t="s">
        <v>212</v>
      </c>
      <c r="W152" s="77"/>
      <c r="X152" s="76">
        <v>0.2459791872171039</v>
      </c>
    </row>
    <row r="153" spans="6:23" s="76" customFormat="1" ht="12.75">
      <c r="F153" s="77"/>
      <c r="G153" s="79"/>
      <c r="H153" s="79"/>
      <c r="I153" s="79"/>
      <c r="J153" s="79"/>
      <c r="K153" s="79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</row>
    <row r="154" spans="1:57" s="80" customFormat="1" ht="12.75">
      <c r="A154" s="80" t="s">
        <v>196</v>
      </c>
      <c r="B154" s="80" t="s">
        <v>217</v>
      </c>
      <c r="C154" s="80" t="s">
        <v>51</v>
      </c>
      <c r="D154" s="80" t="s">
        <v>17</v>
      </c>
      <c r="G154" s="81">
        <v>99.99994</v>
      </c>
      <c r="H154" s="81"/>
      <c r="I154" s="81">
        <v>99.99994</v>
      </c>
      <c r="J154" s="81"/>
      <c r="K154" s="81">
        <v>99.99993</v>
      </c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  <c r="AB154" s="81"/>
      <c r="AC154" s="81"/>
      <c r="AD154" s="81"/>
      <c r="AE154" s="81"/>
      <c r="AF154" s="81"/>
      <c r="AG154" s="81"/>
      <c r="AH154" s="81"/>
      <c r="AI154" s="81"/>
      <c r="AJ154" s="81"/>
      <c r="AK154" s="81"/>
      <c r="AL154" s="81"/>
      <c r="AM154" s="81"/>
      <c r="AN154" s="81"/>
      <c r="AO154" s="81"/>
      <c r="AP154" s="81"/>
      <c r="AQ154" s="81"/>
      <c r="AR154" s="81"/>
      <c r="AS154" s="81"/>
      <c r="AT154" s="81"/>
      <c r="AU154" s="81"/>
      <c r="AV154" s="81"/>
      <c r="AW154" s="81"/>
      <c r="AX154" s="81"/>
      <c r="AY154" s="81"/>
      <c r="AZ154" s="81"/>
      <c r="BA154" s="81"/>
      <c r="BB154" s="81"/>
      <c r="BC154" s="81"/>
      <c r="BD154" s="81"/>
      <c r="BE154" s="81"/>
    </row>
    <row r="155" spans="1:57" s="80" customFormat="1" ht="12.75">
      <c r="A155" s="80" t="s">
        <v>196</v>
      </c>
      <c r="B155" s="80" t="s">
        <v>218</v>
      </c>
      <c r="C155" s="80" t="s">
        <v>51</v>
      </c>
      <c r="D155" s="80" t="s">
        <v>17</v>
      </c>
      <c r="G155" s="81">
        <v>99.99984</v>
      </c>
      <c r="H155" s="81"/>
      <c r="I155" s="81">
        <v>99.99976</v>
      </c>
      <c r="J155" s="81"/>
      <c r="K155" s="81">
        <v>99.99983</v>
      </c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  <c r="AB155" s="81"/>
      <c r="AC155" s="81"/>
      <c r="AD155" s="81"/>
      <c r="AE155" s="81"/>
      <c r="AF155" s="81"/>
      <c r="AG155" s="81"/>
      <c r="AH155" s="81"/>
      <c r="AI155" s="81"/>
      <c r="AJ155" s="81"/>
      <c r="AK155" s="81"/>
      <c r="AL155" s="81"/>
      <c r="AM155" s="81"/>
      <c r="AN155" s="81"/>
      <c r="AO155" s="81"/>
      <c r="AP155" s="81"/>
      <c r="AQ155" s="81"/>
      <c r="AR155" s="81"/>
      <c r="AS155" s="81"/>
      <c r="AT155" s="81"/>
      <c r="AU155" s="81"/>
      <c r="AV155" s="81"/>
      <c r="AW155" s="81"/>
      <c r="AX155" s="81"/>
      <c r="AY155" s="81"/>
      <c r="AZ155" s="81"/>
      <c r="BA155" s="81"/>
      <c r="BB155" s="81"/>
      <c r="BC155" s="81"/>
      <c r="BD155" s="81"/>
      <c r="BE155" s="81"/>
    </row>
    <row r="156" spans="1:57" s="80" customFormat="1" ht="12.75">
      <c r="A156" s="80" t="s">
        <v>196</v>
      </c>
      <c r="B156" s="80" t="s">
        <v>148</v>
      </c>
      <c r="C156" s="80" t="s">
        <v>51</v>
      </c>
      <c r="D156" s="80" t="s">
        <v>17</v>
      </c>
      <c r="G156" s="81">
        <v>99.99998</v>
      </c>
      <c r="H156" s="81"/>
      <c r="I156" s="81">
        <v>99.99998</v>
      </c>
      <c r="J156" s="81"/>
      <c r="K156" s="81">
        <v>99.99999</v>
      </c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1"/>
      <c r="AI156" s="81"/>
      <c r="AJ156" s="81"/>
      <c r="AK156" s="81"/>
      <c r="AL156" s="81"/>
      <c r="AM156" s="81"/>
      <c r="AN156" s="81"/>
      <c r="AO156" s="81"/>
      <c r="AP156" s="81"/>
      <c r="AQ156" s="81"/>
      <c r="AR156" s="81"/>
      <c r="AS156" s="81"/>
      <c r="AT156" s="81"/>
      <c r="AU156" s="81"/>
      <c r="AV156" s="81"/>
      <c r="AW156" s="81"/>
      <c r="AX156" s="81"/>
      <c r="AY156" s="81"/>
      <c r="AZ156" s="81"/>
      <c r="BA156" s="81"/>
      <c r="BB156" s="81"/>
      <c r="BC156" s="81"/>
      <c r="BD156" s="81"/>
      <c r="BE156" s="81"/>
    </row>
    <row r="157" spans="1:57" s="80" customFormat="1" ht="12.75">
      <c r="A157" s="80" t="s">
        <v>196</v>
      </c>
      <c r="B157" s="80" t="s">
        <v>151</v>
      </c>
      <c r="C157" s="80" t="s">
        <v>51</v>
      </c>
      <c r="D157" s="80" t="s">
        <v>17</v>
      </c>
      <c r="G157" s="81">
        <v>99.99999</v>
      </c>
      <c r="H157" s="81"/>
      <c r="I157" s="81">
        <v>99.999979</v>
      </c>
      <c r="J157" s="81"/>
      <c r="K157" s="81">
        <v>99.999996</v>
      </c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1"/>
      <c r="AC157" s="81"/>
      <c r="AD157" s="81"/>
      <c r="AE157" s="81"/>
      <c r="AF157" s="81"/>
      <c r="AG157" s="81"/>
      <c r="AH157" s="81"/>
      <c r="AI157" s="81"/>
      <c r="AJ157" s="81"/>
      <c r="AK157" s="81"/>
      <c r="AL157" s="81"/>
      <c r="AM157" s="81"/>
      <c r="AN157" s="81"/>
      <c r="AO157" s="81"/>
      <c r="AP157" s="81"/>
      <c r="AQ157" s="81"/>
      <c r="AR157" s="81"/>
      <c r="AS157" s="81"/>
      <c r="AT157" s="81"/>
      <c r="AU157" s="81"/>
      <c r="AV157" s="81"/>
      <c r="AW157" s="81"/>
      <c r="AX157" s="81"/>
      <c r="AY157" s="81"/>
      <c r="AZ157" s="81"/>
      <c r="BA157" s="81"/>
      <c r="BB157" s="81"/>
      <c r="BC157" s="81"/>
      <c r="BD157" s="81"/>
      <c r="BE157" s="81"/>
    </row>
    <row r="158" spans="6:23" s="76" customFormat="1" ht="12.75">
      <c r="F158" s="77"/>
      <c r="G158" s="79"/>
      <c r="H158" s="79"/>
      <c r="I158" s="79"/>
      <c r="J158" s="79"/>
      <c r="K158" s="79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</row>
    <row r="159" spans="2:23" s="76" customFormat="1" ht="12.75">
      <c r="B159" s="76" t="s">
        <v>84</v>
      </c>
      <c r="C159" s="76" t="s">
        <v>214</v>
      </c>
      <c r="D159" s="80" t="s">
        <v>324</v>
      </c>
      <c r="F159" s="77"/>
      <c r="G159" s="79"/>
      <c r="H159" s="79"/>
      <c r="I159" s="79"/>
      <c r="J159" s="79"/>
      <c r="K159" s="79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</row>
    <row r="160" spans="2:63" s="76" customFormat="1" ht="12.75">
      <c r="B160" s="5" t="s">
        <v>77</v>
      </c>
      <c r="C160" s="5"/>
      <c r="D160" s="5" t="s">
        <v>16</v>
      </c>
      <c r="G160" s="79">
        <v>33800</v>
      </c>
      <c r="H160" s="79"/>
      <c r="I160" s="79">
        <v>33800</v>
      </c>
      <c r="J160" s="79"/>
      <c r="K160" s="79">
        <v>33500</v>
      </c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  <c r="AA160" s="79"/>
      <c r="AB160" s="79"/>
      <c r="AC160" s="79"/>
      <c r="AD160" s="79"/>
      <c r="AE160" s="79"/>
      <c r="AF160" s="79"/>
      <c r="AG160" s="79"/>
      <c r="AH160" s="79"/>
      <c r="AI160" s="79"/>
      <c r="AJ160" s="79"/>
      <c r="AK160" s="79"/>
      <c r="AL160" s="79"/>
      <c r="AM160" s="79"/>
      <c r="AN160" s="79"/>
      <c r="AO160" s="79"/>
      <c r="AP160" s="79"/>
      <c r="AQ160" s="79"/>
      <c r="AR160" s="79"/>
      <c r="AS160" s="79"/>
      <c r="AT160" s="79"/>
      <c r="AU160" s="79"/>
      <c r="AV160" s="79"/>
      <c r="AW160" s="79"/>
      <c r="AX160" s="79"/>
      <c r="AY160" s="79"/>
      <c r="AZ160" s="79"/>
      <c r="BA160" s="79"/>
      <c r="BB160" s="79"/>
      <c r="BC160" s="79"/>
      <c r="BD160" s="79"/>
      <c r="BE160" s="79"/>
      <c r="BF160" s="79"/>
      <c r="BG160" s="79"/>
      <c r="BH160" s="79"/>
      <c r="BI160" s="79"/>
      <c r="BJ160" s="79"/>
      <c r="BK160" s="79"/>
    </row>
    <row r="161" spans="2:63" s="76" customFormat="1" ht="12.75">
      <c r="B161" s="5" t="s">
        <v>81</v>
      </c>
      <c r="C161" s="5"/>
      <c r="D161" s="5" t="s">
        <v>17</v>
      </c>
      <c r="G161" s="79">
        <v>7.2</v>
      </c>
      <c r="H161" s="79"/>
      <c r="I161" s="79">
        <v>7.4</v>
      </c>
      <c r="J161" s="79"/>
      <c r="K161" s="79">
        <v>7.2</v>
      </c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  <c r="AA161" s="79"/>
      <c r="AB161" s="79"/>
      <c r="AC161" s="79"/>
      <c r="AD161" s="79"/>
      <c r="AE161" s="79"/>
      <c r="AF161" s="79"/>
      <c r="AG161" s="79"/>
      <c r="AH161" s="79"/>
      <c r="AI161" s="79"/>
      <c r="AJ161" s="79"/>
      <c r="AK161" s="79"/>
      <c r="AL161" s="79"/>
      <c r="AM161" s="79"/>
      <c r="AN161" s="79"/>
      <c r="AO161" s="79"/>
      <c r="AP161" s="79"/>
      <c r="AQ161" s="79"/>
      <c r="AR161" s="79"/>
      <c r="AS161" s="79"/>
      <c r="AT161" s="79"/>
      <c r="AU161" s="79"/>
      <c r="AV161" s="79"/>
      <c r="AW161" s="79"/>
      <c r="AX161" s="79"/>
      <c r="AY161" s="79"/>
      <c r="AZ161" s="79"/>
      <c r="BA161" s="79"/>
      <c r="BB161" s="79"/>
      <c r="BC161" s="79"/>
      <c r="BD161" s="79"/>
      <c r="BE161" s="79"/>
      <c r="BF161" s="79"/>
      <c r="BG161" s="79"/>
      <c r="BH161" s="79"/>
      <c r="BI161" s="79"/>
      <c r="BJ161" s="79"/>
      <c r="BK161" s="79"/>
    </row>
    <row r="162" spans="1:63" s="76" customFormat="1" ht="12.75">
      <c r="A162" s="76" t="s">
        <v>196</v>
      </c>
      <c r="B162" s="5" t="s">
        <v>82</v>
      </c>
      <c r="C162" s="5"/>
      <c r="D162" s="5" t="s">
        <v>17</v>
      </c>
      <c r="G162" s="79">
        <v>11.7</v>
      </c>
      <c r="H162" s="79"/>
      <c r="I162" s="79">
        <v>17.9</v>
      </c>
      <c r="J162" s="79"/>
      <c r="K162" s="79">
        <v>12.8</v>
      </c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  <c r="AA162" s="79"/>
      <c r="AB162" s="79"/>
      <c r="AC162" s="79"/>
      <c r="AD162" s="79"/>
      <c r="AE162" s="79"/>
      <c r="AF162" s="79"/>
      <c r="AG162" s="79"/>
      <c r="AH162" s="79"/>
      <c r="AI162" s="79"/>
      <c r="AJ162" s="79"/>
      <c r="AK162" s="79"/>
      <c r="AL162" s="79"/>
      <c r="AM162" s="79"/>
      <c r="AN162" s="79"/>
      <c r="AO162" s="79"/>
      <c r="AP162" s="79"/>
      <c r="AQ162" s="79"/>
      <c r="AR162" s="79"/>
      <c r="AS162" s="79"/>
      <c r="AT162" s="79"/>
      <c r="AU162" s="79"/>
      <c r="AV162" s="79"/>
      <c r="AW162" s="79"/>
      <c r="AX162" s="79"/>
      <c r="AY162" s="79"/>
      <c r="AZ162" s="79"/>
      <c r="BA162" s="79"/>
      <c r="BB162" s="79"/>
      <c r="BC162" s="79"/>
      <c r="BD162" s="79"/>
      <c r="BE162" s="79"/>
      <c r="BF162" s="79"/>
      <c r="BG162" s="79"/>
      <c r="BH162" s="79"/>
      <c r="BI162" s="79"/>
      <c r="BJ162" s="79"/>
      <c r="BK162" s="79"/>
    </row>
    <row r="163" spans="2:63" s="76" customFormat="1" ht="12.75">
      <c r="B163" s="5" t="s">
        <v>76</v>
      </c>
      <c r="C163" s="5"/>
      <c r="D163" s="5" t="s">
        <v>18</v>
      </c>
      <c r="G163" s="79">
        <v>119</v>
      </c>
      <c r="H163" s="79"/>
      <c r="I163" s="79">
        <v>136</v>
      </c>
      <c r="J163" s="79"/>
      <c r="K163" s="79">
        <v>124</v>
      </c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  <c r="AB163" s="79"/>
      <c r="AC163" s="79"/>
      <c r="AD163" s="79"/>
      <c r="AE163" s="79"/>
      <c r="AF163" s="79"/>
      <c r="AG163" s="79"/>
      <c r="AH163" s="79"/>
      <c r="AI163" s="79"/>
      <c r="AJ163" s="79"/>
      <c r="AK163" s="79"/>
      <c r="AL163" s="79"/>
      <c r="AM163" s="79"/>
      <c r="AN163" s="79"/>
      <c r="AO163" s="79"/>
      <c r="AP163" s="79"/>
      <c r="AQ163" s="79"/>
      <c r="AR163" s="79"/>
      <c r="AS163" s="79"/>
      <c r="AT163" s="79"/>
      <c r="AU163" s="79"/>
      <c r="AV163" s="79"/>
      <c r="AW163" s="79"/>
      <c r="AX163" s="79"/>
      <c r="AY163" s="79"/>
      <c r="AZ163" s="79"/>
      <c r="BA163" s="79"/>
      <c r="BB163" s="79"/>
      <c r="BC163" s="79"/>
      <c r="BD163" s="79"/>
      <c r="BE163" s="79"/>
      <c r="BF163" s="79"/>
      <c r="BG163" s="79"/>
      <c r="BH163" s="79"/>
      <c r="BI163" s="79"/>
      <c r="BJ163" s="79"/>
      <c r="BK163" s="79"/>
    </row>
    <row r="164" spans="7:63" s="76" customFormat="1" ht="12.75"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  <c r="AA164" s="79"/>
      <c r="AB164" s="79"/>
      <c r="AC164" s="79"/>
      <c r="AD164" s="79"/>
      <c r="AE164" s="79"/>
      <c r="AF164" s="79"/>
      <c r="AG164" s="79"/>
      <c r="AH164" s="79"/>
      <c r="AI164" s="79"/>
      <c r="AJ164" s="79"/>
      <c r="AK164" s="79"/>
      <c r="AL164" s="79"/>
      <c r="AM164" s="79"/>
      <c r="AN164" s="79"/>
      <c r="AO164" s="79"/>
      <c r="AP164" s="79"/>
      <c r="AQ164" s="79"/>
      <c r="AR164" s="79"/>
      <c r="AS164" s="79"/>
      <c r="AT164" s="79"/>
      <c r="AU164" s="79"/>
      <c r="AV164" s="79"/>
      <c r="AW164" s="79"/>
      <c r="AX164" s="79"/>
      <c r="AY164" s="79"/>
      <c r="AZ164" s="79"/>
      <c r="BA164" s="79"/>
      <c r="BB164" s="79"/>
      <c r="BC164" s="79"/>
      <c r="BD164" s="79"/>
      <c r="BE164" s="79"/>
      <c r="BF164" s="79"/>
      <c r="BG164" s="79"/>
      <c r="BH164" s="79"/>
      <c r="BI164" s="79"/>
      <c r="BJ164" s="79"/>
      <c r="BK164" s="79"/>
    </row>
    <row r="165" spans="2:63" s="76" customFormat="1" ht="12.75">
      <c r="B165" s="76" t="s">
        <v>84</v>
      </c>
      <c r="C165" s="76" t="s">
        <v>215</v>
      </c>
      <c r="D165" s="76" t="s">
        <v>325</v>
      </c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79"/>
      <c r="AB165" s="79"/>
      <c r="AC165" s="79"/>
      <c r="AD165" s="79"/>
      <c r="AE165" s="79"/>
      <c r="AF165" s="79"/>
      <c r="AG165" s="79"/>
      <c r="AH165" s="79"/>
      <c r="AI165" s="79"/>
      <c r="AJ165" s="79"/>
      <c r="AK165" s="79"/>
      <c r="AL165" s="79"/>
      <c r="AM165" s="79"/>
      <c r="AN165" s="79"/>
      <c r="AO165" s="79"/>
      <c r="AP165" s="79"/>
      <c r="AQ165" s="79"/>
      <c r="AR165" s="79"/>
      <c r="AS165" s="79"/>
      <c r="AT165" s="79"/>
      <c r="AU165" s="79"/>
      <c r="AV165" s="79"/>
      <c r="AW165" s="79"/>
      <c r="AX165" s="79"/>
      <c r="AY165" s="79"/>
      <c r="AZ165" s="79"/>
      <c r="BA165" s="79"/>
      <c r="BB165" s="79"/>
      <c r="BC165" s="79"/>
      <c r="BD165" s="79"/>
      <c r="BE165" s="79"/>
      <c r="BF165" s="79"/>
      <c r="BG165" s="79"/>
      <c r="BH165" s="79"/>
      <c r="BI165" s="79"/>
      <c r="BJ165" s="79"/>
      <c r="BK165" s="79"/>
    </row>
    <row r="166" spans="2:63" s="76" customFormat="1" ht="12.75">
      <c r="B166" s="5" t="s">
        <v>77</v>
      </c>
      <c r="C166" s="5"/>
      <c r="D166" s="5" t="s">
        <v>16</v>
      </c>
      <c r="G166" s="79">
        <v>34400</v>
      </c>
      <c r="H166" s="79"/>
      <c r="I166" s="79">
        <v>35500</v>
      </c>
      <c r="J166" s="79"/>
      <c r="K166" s="79">
        <v>39200</v>
      </c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  <c r="AA166" s="79"/>
      <c r="AB166" s="79"/>
      <c r="AC166" s="79"/>
      <c r="AD166" s="79"/>
      <c r="AE166" s="79"/>
      <c r="AF166" s="79"/>
      <c r="AG166" s="79"/>
      <c r="AH166" s="79"/>
      <c r="AI166" s="79"/>
      <c r="AJ166" s="79"/>
      <c r="AK166" s="79"/>
      <c r="AL166" s="79"/>
      <c r="AM166" s="79"/>
      <c r="AN166" s="79"/>
      <c r="AO166" s="79"/>
      <c r="AP166" s="79"/>
      <c r="AQ166" s="79"/>
      <c r="AR166" s="79"/>
      <c r="AS166" s="79"/>
      <c r="AT166" s="79"/>
      <c r="AU166" s="79"/>
      <c r="AV166" s="79"/>
      <c r="AW166" s="79"/>
      <c r="AX166" s="79"/>
      <c r="AY166" s="79"/>
      <c r="AZ166" s="79"/>
      <c r="BA166" s="79"/>
      <c r="BB166" s="79"/>
      <c r="BC166" s="79"/>
      <c r="BD166" s="79"/>
      <c r="BE166" s="79"/>
      <c r="BF166" s="79"/>
      <c r="BG166" s="79"/>
      <c r="BH166" s="79"/>
      <c r="BI166" s="79"/>
      <c r="BJ166" s="79"/>
      <c r="BK166" s="79"/>
    </row>
    <row r="167" spans="2:63" s="76" customFormat="1" ht="12.75">
      <c r="B167" s="5" t="s">
        <v>81</v>
      </c>
      <c r="C167" s="5"/>
      <c r="D167" s="5" t="s">
        <v>17</v>
      </c>
      <c r="G167" s="79">
        <v>7.2</v>
      </c>
      <c r="H167" s="79"/>
      <c r="I167" s="79">
        <v>7.4</v>
      </c>
      <c r="J167" s="79"/>
      <c r="K167" s="79">
        <v>7.2</v>
      </c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  <c r="AB167" s="79"/>
      <c r="AC167" s="79"/>
      <c r="AD167" s="79"/>
      <c r="AE167" s="79"/>
      <c r="AF167" s="79"/>
      <c r="AG167" s="79"/>
      <c r="AH167" s="79"/>
      <c r="AI167" s="79"/>
      <c r="AJ167" s="79"/>
      <c r="AK167" s="79"/>
      <c r="AL167" s="79"/>
      <c r="AM167" s="79"/>
      <c r="AN167" s="79"/>
      <c r="AO167" s="79"/>
      <c r="AP167" s="79"/>
      <c r="AQ167" s="79"/>
      <c r="AR167" s="79"/>
      <c r="AS167" s="79"/>
      <c r="AT167" s="79"/>
      <c r="AU167" s="79"/>
      <c r="AV167" s="79"/>
      <c r="AW167" s="79"/>
      <c r="AX167" s="79"/>
      <c r="AY167" s="79"/>
      <c r="AZ167" s="79"/>
      <c r="BA167" s="79"/>
      <c r="BB167" s="79"/>
      <c r="BC167" s="79"/>
      <c r="BD167" s="79"/>
      <c r="BE167" s="79"/>
      <c r="BF167" s="79"/>
      <c r="BG167" s="79"/>
      <c r="BH167" s="79"/>
      <c r="BI167" s="79"/>
      <c r="BJ167" s="79"/>
      <c r="BK167" s="79"/>
    </row>
    <row r="168" spans="2:63" s="76" customFormat="1" ht="12.75">
      <c r="B168" s="5" t="s">
        <v>82</v>
      </c>
      <c r="C168" s="5"/>
      <c r="D168" s="5" t="s">
        <v>17</v>
      </c>
      <c r="G168" s="79">
        <v>11.5</v>
      </c>
      <c r="H168" s="79"/>
      <c r="I168" s="79">
        <v>18.8</v>
      </c>
      <c r="J168" s="79"/>
      <c r="K168" s="79">
        <v>6</v>
      </c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79"/>
      <c r="AB168" s="79"/>
      <c r="AC168" s="79"/>
      <c r="AD168" s="79"/>
      <c r="AE168" s="79"/>
      <c r="AF168" s="79"/>
      <c r="AG168" s="79"/>
      <c r="AH168" s="79"/>
      <c r="AI168" s="79"/>
      <c r="AJ168" s="79"/>
      <c r="AK168" s="79"/>
      <c r="AL168" s="79"/>
      <c r="AM168" s="79"/>
      <c r="AN168" s="79"/>
      <c r="AO168" s="79"/>
      <c r="AP168" s="79"/>
      <c r="AQ168" s="79"/>
      <c r="AR168" s="79"/>
      <c r="AS168" s="79"/>
      <c r="AT168" s="79"/>
      <c r="AU168" s="79"/>
      <c r="AV168" s="79"/>
      <c r="AW168" s="79"/>
      <c r="AX168" s="79"/>
      <c r="AY168" s="79"/>
      <c r="AZ168" s="79"/>
      <c r="BA168" s="79"/>
      <c r="BB168" s="79"/>
      <c r="BC168" s="79"/>
      <c r="BD168" s="79"/>
      <c r="BE168" s="79"/>
      <c r="BF168" s="79"/>
      <c r="BG168" s="79"/>
      <c r="BH168" s="79"/>
      <c r="BI168" s="79"/>
      <c r="BJ168" s="79"/>
      <c r="BK168" s="79"/>
    </row>
    <row r="169" spans="2:63" s="76" customFormat="1" ht="12.75">
      <c r="B169" s="5" t="s">
        <v>76</v>
      </c>
      <c r="C169" s="5"/>
      <c r="D169" s="5" t="s">
        <v>18</v>
      </c>
      <c r="G169" s="79">
        <v>119</v>
      </c>
      <c r="H169" s="79"/>
      <c r="I169" s="79">
        <v>137</v>
      </c>
      <c r="J169" s="79"/>
      <c r="K169" s="79">
        <v>124</v>
      </c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  <c r="AA169" s="79"/>
      <c r="AB169" s="79"/>
      <c r="AC169" s="79"/>
      <c r="AD169" s="79"/>
      <c r="AE169" s="79"/>
      <c r="AF169" s="79"/>
      <c r="AG169" s="79"/>
      <c r="AH169" s="79"/>
      <c r="AI169" s="79"/>
      <c r="AJ169" s="79"/>
      <c r="AK169" s="79"/>
      <c r="AL169" s="79"/>
      <c r="AM169" s="79"/>
      <c r="AN169" s="79"/>
      <c r="AO169" s="79"/>
      <c r="AP169" s="79"/>
      <c r="AQ169" s="79"/>
      <c r="AR169" s="79"/>
      <c r="AS169" s="79"/>
      <c r="AT169" s="79"/>
      <c r="AU169" s="79"/>
      <c r="AV169" s="79"/>
      <c r="AW169" s="79"/>
      <c r="AX169" s="79"/>
      <c r="AY169" s="79"/>
      <c r="AZ169" s="79"/>
      <c r="BA169" s="79"/>
      <c r="BB169" s="79"/>
      <c r="BC169" s="79"/>
      <c r="BD169" s="79"/>
      <c r="BE169" s="79"/>
      <c r="BF169" s="79"/>
      <c r="BG169" s="79"/>
      <c r="BH169" s="79"/>
      <c r="BI169" s="79"/>
      <c r="BJ169" s="79"/>
      <c r="BK169" s="79"/>
    </row>
    <row r="170" spans="6:23" s="76" customFormat="1" ht="12.75">
      <c r="F170" s="77"/>
      <c r="G170" s="79"/>
      <c r="H170" s="79"/>
      <c r="I170" s="79"/>
      <c r="J170" s="79"/>
      <c r="K170" s="79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</row>
    <row r="171" spans="2:23" s="76" customFormat="1" ht="12.75">
      <c r="B171" s="37" t="s">
        <v>198</v>
      </c>
      <c r="F171" s="77"/>
      <c r="G171" s="46" t="s">
        <v>209</v>
      </c>
      <c r="H171" s="46"/>
      <c r="I171" s="46" t="s">
        <v>210</v>
      </c>
      <c r="J171" s="46"/>
      <c r="K171" s="46" t="s">
        <v>211</v>
      </c>
      <c r="L171" s="46"/>
      <c r="M171" s="46" t="s">
        <v>232</v>
      </c>
      <c r="N171" s="46"/>
      <c r="O171" s="46" t="s">
        <v>286</v>
      </c>
      <c r="P171" s="46"/>
      <c r="Q171" s="46" t="s">
        <v>287</v>
      </c>
      <c r="R171" s="77"/>
      <c r="S171" s="46" t="s">
        <v>46</v>
      </c>
      <c r="T171" s="77"/>
      <c r="U171" s="77"/>
      <c r="V171" s="77"/>
      <c r="W171" s="77"/>
    </row>
    <row r="172" spans="6:23" s="76" customFormat="1" ht="12.75">
      <c r="F172" s="77"/>
      <c r="G172" s="79"/>
      <c r="H172" s="79"/>
      <c r="I172" s="79"/>
      <c r="J172" s="79"/>
      <c r="K172" s="79"/>
      <c r="L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</row>
    <row r="173" spans="1:24" s="76" customFormat="1" ht="12.75">
      <c r="A173" s="76" t="s">
        <v>198</v>
      </c>
      <c r="B173" s="76" t="s">
        <v>12</v>
      </c>
      <c r="C173" s="76" t="s">
        <v>324</v>
      </c>
      <c r="D173" s="76" t="s">
        <v>13</v>
      </c>
      <c r="E173" s="76" t="s">
        <v>14</v>
      </c>
      <c r="F173" s="77" t="s">
        <v>212</v>
      </c>
      <c r="G173" s="78">
        <v>0.001866685184</v>
      </c>
      <c r="H173" s="78" t="s">
        <v>212</v>
      </c>
      <c r="I173" s="78">
        <v>0.000753853632</v>
      </c>
      <c r="J173" s="78" t="s">
        <v>212</v>
      </c>
      <c r="K173" s="78">
        <v>0.0011938102920930232</v>
      </c>
      <c r="L173" s="78" t="s">
        <v>212</v>
      </c>
      <c r="N173" s="78" t="s">
        <v>212</v>
      </c>
      <c r="O173" s="78"/>
      <c r="P173" s="78" t="s">
        <v>212</v>
      </c>
      <c r="Q173" s="78"/>
      <c r="R173" s="78" t="s">
        <v>212</v>
      </c>
      <c r="S173" s="78">
        <v>0.0014444587733333332</v>
      </c>
      <c r="T173" s="78" t="s">
        <v>212</v>
      </c>
      <c r="U173" s="78"/>
      <c r="V173" s="77" t="s">
        <v>212</v>
      </c>
      <c r="W173" s="77"/>
      <c r="X173" s="76">
        <v>0.001314701970356589</v>
      </c>
    </row>
    <row r="174" spans="1:24" s="76" customFormat="1" ht="12.75">
      <c r="A174" s="76" t="s">
        <v>198</v>
      </c>
      <c r="B174" s="76" t="s">
        <v>113</v>
      </c>
      <c r="C174" s="76" t="s">
        <v>324</v>
      </c>
      <c r="D174" s="76" t="s">
        <v>15</v>
      </c>
      <c r="E174" s="76" t="s">
        <v>14</v>
      </c>
      <c r="F174" s="77" t="s">
        <v>212</v>
      </c>
      <c r="G174" s="79"/>
      <c r="H174" s="79" t="s">
        <v>212</v>
      </c>
      <c r="I174" s="79">
        <v>1.0769230769230769</v>
      </c>
      <c r="J174" s="79" t="s">
        <v>212</v>
      </c>
      <c r="K174" s="79">
        <v>1.0852713178294573</v>
      </c>
      <c r="L174" s="77" t="s">
        <v>212</v>
      </c>
      <c r="N174" s="77" t="s">
        <v>212</v>
      </c>
      <c r="O174" s="77"/>
      <c r="P174" s="77" t="s">
        <v>212</v>
      </c>
      <c r="Q174" s="77"/>
      <c r="R174" s="77" t="s">
        <v>212</v>
      </c>
      <c r="S174" s="79">
        <v>1.1111111111111112</v>
      </c>
      <c r="T174" s="77" t="s">
        <v>212</v>
      </c>
      <c r="U174" s="77"/>
      <c r="V174" s="77" t="s">
        <v>212</v>
      </c>
      <c r="W174" s="77"/>
      <c r="X174" s="76">
        <v>1.0911018352878816</v>
      </c>
    </row>
    <row r="175" spans="1:24" s="76" customFormat="1" ht="12.75">
      <c r="A175" s="76" t="s">
        <v>198</v>
      </c>
      <c r="B175" s="76" t="s">
        <v>356</v>
      </c>
      <c r="C175" s="76" t="s">
        <v>324</v>
      </c>
      <c r="D175" s="76" t="s">
        <v>15</v>
      </c>
      <c r="E175" s="76" t="s">
        <v>14</v>
      </c>
      <c r="F175" s="77" t="s">
        <v>212</v>
      </c>
      <c r="G175" s="79">
        <v>4.562962962962963</v>
      </c>
      <c r="H175" s="79" t="s">
        <v>212</v>
      </c>
      <c r="I175" s="79">
        <v>0</v>
      </c>
      <c r="J175" s="79" t="s">
        <v>212</v>
      </c>
      <c r="K175" s="79">
        <v>0</v>
      </c>
      <c r="L175" s="77" t="s">
        <v>212</v>
      </c>
      <c r="N175" s="77" t="s">
        <v>212</v>
      </c>
      <c r="O175" s="77"/>
      <c r="P175" s="77" t="s">
        <v>212</v>
      </c>
      <c r="Q175" s="77"/>
      <c r="R175" s="77" t="s">
        <v>212</v>
      </c>
      <c r="S175" s="79">
        <v>0</v>
      </c>
      <c r="T175" s="77" t="s">
        <v>212</v>
      </c>
      <c r="U175" s="77"/>
      <c r="V175" s="77" t="s">
        <v>212</v>
      </c>
      <c r="W175" s="77"/>
      <c r="X175" s="76">
        <v>1.1407407407407408</v>
      </c>
    </row>
    <row r="176" spans="1:24" s="76" customFormat="1" ht="12.75">
      <c r="A176" s="76" t="s">
        <v>198</v>
      </c>
      <c r="B176" s="76" t="s">
        <v>49</v>
      </c>
      <c r="C176" s="76" t="s">
        <v>324</v>
      </c>
      <c r="D176" s="76" t="s">
        <v>15</v>
      </c>
      <c r="E176" s="76" t="s">
        <v>14</v>
      </c>
      <c r="F176" s="77" t="s">
        <v>212</v>
      </c>
      <c r="G176" s="79">
        <v>0.3148409716397958</v>
      </c>
      <c r="H176" s="79" t="s">
        <v>212</v>
      </c>
      <c r="I176" s="79">
        <v>0.27665020289059</v>
      </c>
      <c r="J176" s="79" t="s">
        <v>212</v>
      </c>
      <c r="K176" s="79">
        <v>0.43086465707414</v>
      </c>
      <c r="L176" s="77" t="s">
        <v>212</v>
      </c>
      <c r="N176" s="77" t="s">
        <v>212</v>
      </c>
      <c r="O176" s="77"/>
      <c r="P176" s="77" t="s">
        <v>212</v>
      </c>
      <c r="Q176" s="77"/>
      <c r="R176" s="77" t="s">
        <v>212</v>
      </c>
      <c r="S176" s="79">
        <v>0.46707177111398285</v>
      </c>
      <c r="T176" s="77" t="s">
        <v>212</v>
      </c>
      <c r="U176" s="77"/>
      <c r="V176" s="77" t="s">
        <v>212</v>
      </c>
      <c r="W176" s="77"/>
      <c r="X176" s="76">
        <v>0.3723569006796271</v>
      </c>
    </row>
    <row r="177" spans="6:23" s="76" customFormat="1" ht="12.75">
      <c r="F177" s="77"/>
      <c r="G177" s="79"/>
      <c r="H177" s="79"/>
      <c r="I177" s="79"/>
      <c r="J177" s="79"/>
      <c r="K177" s="79"/>
      <c r="L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</row>
    <row r="178" spans="2:23" s="76" customFormat="1" ht="12.75">
      <c r="B178" s="76" t="s">
        <v>84</v>
      </c>
      <c r="C178" s="76" t="s">
        <v>215</v>
      </c>
      <c r="D178" s="80" t="s">
        <v>324</v>
      </c>
      <c r="F178" s="77"/>
      <c r="G178" s="79"/>
      <c r="H178" s="79"/>
      <c r="I178" s="79"/>
      <c r="J178" s="79"/>
      <c r="K178" s="79"/>
      <c r="L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</row>
    <row r="179" spans="2:63" s="76" customFormat="1" ht="12.75">
      <c r="B179" s="5" t="s">
        <v>77</v>
      </c>
      <c r="C179" s="5"/>
      <c r="D179" s="5" t="s">
        <v>16</v>
      </c>
      <c r="G179" s="79">
        <v>45000</v>
      </c>
      <c r="H179" s="79"/>
      <c r="I179" s="79">
        <v>43000</v>
      </c>
      <c r="J179" s="79"/>
      <c r="K179" s="79">
        <v>40300</v>
      </c>
      <c r="L179" s="79"/>
      <c r="N179" s="79"/>
      <c r="O179" s="79"/>
      <c r="P179" s="79"/>
      <c r="Q179" s="79"/>
      <c r="R179" s="79"/>
      <c r="S179" s="79">
        <v>40100</v>
      </c>
      <c r="T179" s="79"/>
      <c r="U179" s="79"/>
      <c r="V179" s="79"/>
      <c r="W179" s="79"/>
      <c r="X179" s="79"/>
      <c r="Y179" s="79"/>
      <c r="Z179" s="79"/>
      <c r="AA179" s="79"/>
      <c r="AB179" s="79"/>
      <c r="AC179" s="79"/>
      <c r="AD179" s="79"/>
      <c r="AE179" s="79"/>
      <c r="AF179" s="79"/>
      <c r="AG179" s="79"/>
      <c r="AH179" s="79"/>
      <c r="AI179" s="79"/>
      <c r="AJ179" s="79"/>
      <c r="AK179" s="79"/>
      <c r="AL179" s="79"/>
      <c r="AM179" s="79"/>
      <c r="AN179" s="79"/>
      <c r="AO179" s="79"/>
      <c r="AP179" s="79"/>
      <c r="AQ179" s="79"/>
      <c r="AR179" s="79"/>
      <c r="AS179" s="79"/>
      <c r="AT179" s="79"/>
      <c r="AU179" s="79"/>
      <c r="AV179" s="79"/>
      <c r="AW179" s="79"/>
      <c r="AX179" s="79"/>
      <c r="AY179" s="79"/>
      <c r="AZ179" s="79"/>
      <c r="BA179" s="79"/>
      <c r="BB179" s="79"/>
      <c r="BC179" s="79"/>
      <c r="BD179" s="79"/>
      <c r="BE179" s="79"/>
      <c r="BF179" s="79"/>
      <c r="BG179" s="79"/>
      <c r="BH179" s="79"/>
      <c r="BI179" s="79"/>
      <c r="BJ179" s="79"/>
      <c r="BK179" s="79"/>
    </row>
    <row r="180" spans="2:63" s="76" customFormat="1" ht="12.75">
      <c r="B180" s="5" t="s">
        <v>81</v>
      </c>
      <c r="C180" s="5"/>
      <c r="D180" s="5" t="s">
        <v>17</v>
      </c>
      <c r="G180" s="79">
        <v>7.5</v>
      </c>
      <c r="H180" s="79"/>
      <c r="I180" s="79">
        <v>8</v>
      </c>
      <c r="J180" s="79"/>
      <c r="K180" s="79">
        <v>8.1</v>
      </c>
      <c r="L180" s="79"/>
      <c r="N180" s="79"/>
      <c r="O180" s="79"/>
      <c r="P180" s="79"/>
      <c r="Q180" s="79"/>
      <c r="R180" s="79"/>
      <c r="S180" s="79">
        <v>8.4</v>
      </c>
      <c r="T180" s="79"/>
      <c r="U180" s="79"/>
      <c r="V180" s="79"/>
      <c r="W180" s="79"/>
      <c r="X180" s="79"/>
      <c r="Y180" s="79"/>
      <c r="Z180" s="79"/>
      <c r="AA180" s="79"/>
      <c r="AB180" s="79"/>
      <c r="AC180" s="79"/>
      <c r="AD180" s="79"/>
      <c r="AE180" s="79"/>
      <c r="AF180" s="79"/>
      <c r="AG180" s="79"/>
      <c r="AH180" s="79"/>
      <c r="AI180" s="79"/>
      <c r="AJ180" s="79"/>
      <c r="AK180" s="79"/>
      <c r="AL180" s="79"/>
      <c r="AM180" s="79"/>
      <c r="AN180" s="79"/>
      <c r="AO180" s="79"/>
      <c r="AP180" s="79"/>
      <c r="AQ180" s="79"/>
      <c r="AR180" s="79"/>
      <c r="AS180" s="79"/>
      <c r="AT180" s="79"/>
      <c r="AU180" s="79"/>
      <c r="AV180" s="79"/>
      <c r="AW180" s="79"/>
      <c r="AX180" s="79"/>
      <c r="AY180" s="79"/>
      <c r="AZ180" s="79"/>
      <c r="BA180" s="79"/>
      <c r="BB180" s="79"/>
      <c r="BC180" s="79"/>
      <c r="BD180" s="79"/>
      <c r="BE180" s="79"/>
      <c r="BF180" s="79"/>
      <c r="BG180" s="79"/>
      <c r="BH180" s="79"/>
      <c r="BI180" s="79"/>
      <c r="BJ180" s="79"/>
      <c r="BK180" s="79"/>
    </row>
    <row r="181" spans="1:63" s="76" customFormat="1" ht="12.75">
      <c r="A181" s="76" t="s">
        <v>198</v>
      </c>
      <c r="B181" s="5" t="s">
        <v>82</v>
      </c>
      <c r="C181" s="5"/>
      <c r="D181" s="5" t="s">
        <v>17</v>
      </c>
      <c r="G181" s="79">
        <v>13.2</v>
      </c>
      <c r="H181" s="79"/>
      <c r="I181" s="79">
        <v>15.5</v>
      </c>
      <c r="J181" s="79"/>
      <c r="K181" s="79">
        <v>10.5</v>
      </c>
      <c r="L181" s="79"/>
      <c r="N181" s="79"/>
      <c r="O181" s="79"/>
      <c r="P181" s="79"/>
      <c r="Q181" s="79"/>
      <c r="R181" s="79"/>
      <c r="S181" s="79">
        <v>10.9</v>
      </c>
      <c r="T181" s="79"/>
      <c r="U181" s="79"/>
      <c r="V181" s="79"/>
      <c r="W181" s="79"/>
      <c r="X181" s="79"/>
      <c r="Y181" s="79"/>
      <c r="Z181" s="79"/>
      <c r="AA181" s="79"/>
      <c r="AB181" s="79"/>
      <c r="AC181" s="79"/>
      <c r="AD181" s="79"/>
      <c r="AE181" s="79"/>
      <c r="AF181" s="79"/>
      <c r="AG181" s="79"/>
      <c r="AH181" s="79"/>
      <c r="AI181" s="79"/>
      <c r="AJ181" s="79"/>
      <c r="AK181" s="79"/>
      <c r="AL181" s="79"/>
      <c r="AM181" s="79"/>
      <c r="AN181" s="79"/>
      <c r="AO181" s="79"/>
      <c r="AP181" s="79"/>
      <c r="AQ181" s="79"/>
      <c r="AR181" s="79"/>
      <c r="AS181" s="79"/>
      <c r="AT181" s="79"/>
      <c r="AU181" s="79"/>
      <c r="AV181" s="79"/>
      <c r="AW181" s="79"/>
      <c r="AX181" s="79"/>
      <c r="AY181" s="79"/>
      <c r="AZ181" s="79"/>
      <c r="BA181" s="79"/>
      <c r="BB181" s="79"/>
      <c r="BC181" s="79"/>
      <c r="BD181" s="79"/>
      <c r="BE181" s="79"/>
      <c r="BF181" s="79"/>
      <c r="BG181" s="79"/>
      <c r="BH181" s="79"/>
      <c r="BI181" s="79"/>
      <c r="BJ181" s="79"/>
      <c r="BK181" s="79"/>
    </row>
    <row r="182" spans="2:63" s="76" customFormat="1" ht="12.75">
      <c r="B182" s="5" t="s">
        <v>76</v>
      </c>
      <c r="C182" s="5"/>
      <c r="D182" s="5" t="s">
        <v>18</v>
      </c>
      <c r="G182" s="79">
        <v>128</v>
      </c>
      <c r="H182" s="79"/>
      <c r="I182" s="79">
        <v>129</v>
      </c>
      <c r="J182" s="79"/>
      <c r="K182" s="79">
        <v>116</v>
      </c>
      <c r="L182" s="79"/>
      <c r="N182" s="79"/>
      <c r="O182" s="79"/>
      <c r="P182" s="79"/>
      <c r="Q182" s="79"/>
      <c r="R182" s="79"/>
      <c r="S182" s="79">
        <v>118</v>
      </c>
      <c r="T182" s="79"/>
      <c r="U182" s="79"/>
      <c r="V182" s="79"/>
      <c r="W182" s="79"/>
      <c r="X182" s="79"/>
      <c r="Y182" s="79"/>
      <c r="Z182" s="79"/>
      <c r="AA182" s="79"/>
      <c r="AB182" s="79"/>
      <c r="AC182" s="79"/>
      <c r="AD182" s="79"/>
      <c r="AE182" s="79"/>
      <c r="AF182" s="79"/>
      <c r="AG182" s="79"/>
      <c r="AH182" s="79"/>
      <c r="AI182" s="79"/>
      <c r="AJ182" s="79"/>
      <c r="AK182" s="79"/>
      <c r="AL182" s="79"/>
      <c r="AM182" s="79"/>
      <c r="AN182" s="79"/>
      <c r="AO182" s="79"/>
      <c r="AP182" s="79"/>
      <c r="AQ182" s="79"/>
      <c r="AR182" s="79"/>
      <c r="AS182" s="79"/>
      <c r="AT182" s="79"/>
      <c r="AU182" s="79"/>
      <c r="AV182" s="79"/>
      <c r="AW182" s="79"/>
      <c r="AX182" s="79"/>
      <c r="AY182" s="79"/>
      <c r="AZ182" s="79"/>
      <c r="BA182" s="79"/>
      <c r="BB182" s="79"/>
      <c r="BC182" s="79"/>
      <c r="BD182" s="79"/>
      <c r="BE182" s="79"/>
      <c r="BF182" s="79"/>
      <c r="BG182" s="79"/>
      <c r="BH182" s="79"/>
      <c r="BI182" s="79"/>
      <c r="BJ182" s="79"/>
      <c r="BK182" s="79"/>
    </row>
    <row r="183" spans="7:63" s="76" customFormat="1" ht="12.75">
      <c r="G183" s="79"/>
      <c r="H183" s="79"/>
      <c r="I183" s="79"/>
      <c r="J183" s="79"/>
      <c r="K183" s="79"/>
      <c r="L183" s="79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79"/>
      <c r="Y183" s="79"/>
      <c r="Z183" s="79"/>
      <c r="AA183" s="79"/>
      <c r="AB183" s="79"/>
      <c r="AC183" s="79"/>
      <c r="AD183" s="79"/>
      <c r="AE183" s="79"/>
      <c r="AF183" s="79"/>
      <c r="AG183" s="79"/>
      <c r="AH183" s="79"/>
      <c r="AI183" s="79"/>
      <c r="AJ183" s="79"/>
      <c r="AK183" s="79"/>
      <c r="AL183" s="79"/>
      <c r="AM183" s="79"/>
      <c r="AN183" s="79"/>
      <c r="AO183" s="79"/>
      <c r="AP183" s="79"/>
      <c r="AQ183" s="79"/>
      <c r="AR183" s="79"/>
      <c r="AS183" s="79"/>
      <c r="AT183" s="79"/>
      <c r="AU183" s="79"/>
      <c r="AV183" s="79"/>
      <c r="AW183" s="79"/>
      <c r="AX183" s="79"/>
      <c r="AY183" s="79"/>
      <c r="AZ183" s="79"/>
      <c r="BA183" s="79"/>
      <c r="BB183" s="79"/>
      <c r="BC183" s="79"/>
      <c r="BD183" s="79"/>
      <c r="BE183" s="79"/>
      <c r="BF183" s="79"/>
      <c r="BG183" s="79"/>
      <c r="BH183" s="79"/>
      <c r="BI183" s="79"/>
      <c r="BJ183" s="79"/>
      <c r="BK183" s="79"/>
    </row>
    <row r="184" spans="1:57" s="80" customFormat="1" ht="12.75">
      <c r="A184" s="80" t="s">
        <v>198</v>
      </c>
      <c r="B184" s="80" t="s">
        <v>217</v>
      </c>
      <c r="C184" s="80" t="s">
        <v>51</v>
      </c>
      <c r="D184" s="80" t="s">
        <v>17</v>
      </c>
      <c r="G184" s="81">
        <v>99.99991</v>
      </c>
      <c r="H184" s="81"/>
      <c r="I184" s="81">
        <v>99.99993</v>
      </c>
      <c r="J184" s="81"/>
      <c r="K184" s="81">
        <v>99.99994</v>
      </c>
      <c r="L184" s="81"/>
      <c r="N184" s="81"/>
      <c r="O184" s="81"/>
      <c r="P184" s="81"/>
      <c r="Q184" s="81"/>
      <c r="R184" s="81"/>
      <c r="S184" s="81">
        <v>99.99997</v>
      </c>
      <c r="T184" s="81"/>
      <c r="U184" s="81"/>
      <c r="V184" s="81"/>
      <c r="W184" s="81"/>
      <c r="X184" s="81"/>
      <c r="Y184" s="81"/>
      <c r="Z184" s="81"/>
      <c r="AA184" s="81"/>
      <c r="AB184" s="81"/>
      <c r="AC184" s="81"/>
      <c r="AD184" s="81"/>
      <c r="AE184" s="81"/>
      <c r="AF184" s="81"/>
      <c r="AG184" s="81"/>
      <c r="AH184" s="81"/>
      <c r="AI184" s="81"/>
      <c r="AJ184" s="81"/>
      <c r="AK184" s="81"/>
      <c r="AL184" s="81"/>
      <c r="AM184" s="81"/>
      <c r="AN184" s="81"/>
      <c r="AO184" s="81"/>
      <c r="AP184" s="81"/>
      <c r="AQ184" s="81"/>
      <c r="AR184" s="81"/>
      <c r="AS184" s="81"/>
      <c r="AT184" s="81"/>
      <c r="AU184" s="81"/>
      <c r="AV184" s="81"/>
      <c r="AW184" s="81"/>
      <c r="AX184" s="81"/>
      <c r="AY184" s="81"/>
      <c r="AZ184" s="81"/>
      <c r="BA184" s="81"/>
      <c r="BB184" s="81"/>
      <c r="BC184" s="81"/>
      <c r="BD184" s="81"/>
      <c r="BE184" s="81"/>
    </row>
    <row r="185" spans="1:57" s="80" customFormat="1" ht="12.75">
      <c r="A185" s="80" t="s">
        <v>198</v>
      </c>
      <c r="B185" s="80" t="s">
        <v>218</v>
      </c>
      <c r="C185" s="80" t="s">
        <v>51</v>
      </c>
      <c r="D185" s="80" t="s">
        <v>17</v>
      </c>
      <c r="G185" s="81">
        <v>99.99979</v>
      </c>
      <c r="H185" s="81"/>
      <c r="I185" s="81">
        <v>99.99964</v>
      </c>
      <c r="J185" s="81"/>
      <c r="K185" s="81">
        <v>99.99979</v>
      </c>
      <c r="L185" s="81"/>
      <c r="N185" s="81"/>
      <c r="O185" s="81"/>
      <c r="P185" s="81"/>
      <c r="Q185" s="81"/>
      <c r="R185" s="81"/>
      <c r="S185" s="81">
        <v>99.99986</v>
      </c>
      <c r="T185" s="81"/>
      <c r="U185" s="81"/>
      <c r="V185" s="81"/>
      <c r="W185" s="81"/>
      <c r="X185" s="81"/>
      <c r="Y185" s="81"/>
      <c r="Z185" s="81"/>
      <c r="AA185" s="81"/>
      <c r="AB185" s="81"/>
      <c r="AC185" s="81"/>
      <c r="AD185" s="81"/>
      <c r="AE185" s="81"/>
      <c r="AF185" s="81"/>
      <c r="AG185" s="81"/>
      <c r="AH185" s="81"/>
      <c r="AI185" s="81"/>
      <c r="AJ185" s="81"/>
      <c r="AK185" s="81"/>
      <c r="AL185" s="81"/>
      <c r="AM185" s="81"/>
      <c r="AN185" s="81"/>
      <c r="AO185" s="81"/>
      <c r="AP185" s="81"/>
      <c r="AQ185" s="81"/>
      <c r="AR185" s="81"/>
      <c r="AS185" s="81"/>
      <c r="AT185" s="81"/>
      <c r="AU185" s="81"/>
      <c r="AV185" s="81"/>
      <c r="AW185" s="81"/>
      <c r="AX185" s="81"/>
      <c r="AY185" s="81"/>
      <c r="AZ185" s="81"/>
      <c r="BA185" s="81"/>
      <c r="BB185" s="81"/>
      <c r="BC185" s="81"/>
      <c r="BD185" s="81"/>
      <c r="BE185" s="81"/>
    </row>
    <row r="186" spans="1:57" s="80" customFormat="1" ht="12.75">
      <c r="A186" s="80" t="s">
        <v>198</v>
      </c>
      <c r="B186" s="80" t="s">
        <v>148</v>
      </c>
      <c r="C186" s="80" t="s">
        <v>51</v>
      </c>
      <c r="D186" s="80" t="s">
        <v>17</v>
      </c>
      <c r="G186" s="81">
        <v>99.99998</v>
      </c>
      <c r="H186" s="81"/>
      <c r="I186" s="81">
        <v>99.99997</v>
      </c>
      <c r="J186" s="81"/>
      <c r="K186" s="81">
        <v>99.99998</v>
      </c>
      <c r="L186" s="81"/>
      <c r="N186" s="81"/>
      <c r="O186" s="81"/>
      <c r="P186" s="81"/>
      <c r="Q186" s="81"/>
      <c r="R186" s="81"/>
      <c r="S186" s="81">
        <v>99.99996</v>
      </c>
      <c r="T186" s="81"/>
      <c r="U186" s="81"/>
      <c r="V186" s="81"/>
      <c r="W186" s="81"/>
      <c r="X186" s="81"/>
      <c r="Y186" s="81"/>
      <c r="Z186" s="81"/>
      <c r="AA186" s="81"/>
      <c r="AB186" s="81"/>
      <c r="AC186" s="81"/>
      <c r="AD186" s="81"/>
      <c r="AE186" s="81"/>
      <c r="AF186" s="81"/>
      <c r="AG186" s="81"/>
      <c r="AH186" s="81"/>
      <c r="AI186" s="81"/>
      <c r="AJ186" s="81"/>
      <c r="AK186" s="81"/>
      <c r="AL186" s="81"/>
      <c r="AM186" s="81"/>
      <c r="AN186" s="81"/>
      <c r="AO186" s="81"/>
      <c r="AP186" s="81"/>
      <c r="AQ186" s="81"/>
      <c r="AR186" s="81"/>
      <c r="AS186" s="81"/>
      <c r="AT186" s="81"/>
      <c r="AU186" s="81"/>
      <c r="AV186" s="81"/>
      <c r="AW186" s="81"/>
      <c r="AX186" s="81"/>
      <c r="AY186" s="81"/>
      <c r="AZ186" s="81"/>
      <c r="BA186" s="81"/>
      <c r="BB186" s="81"/>
      <c r="BC186" s="81"/>
      <c r="BD186" s="81"/>
      <c r="BE186" s="81"/>
    </row>
    <row r="187" spans="1:57" s="80" customFormat="1" ht="12.75">
      <c r="A187" s="80" t="s">
        <v>198</v>
      </c>
      <c r="B187" s="80" t="s">
        <v>151</v>
      </c>
      <c r="C187" s="80" t="s">
        <v>51</v>
      </c>
      <c r="D187" s="80" t="s">
        <v>17</v>
      </c>
      <c r="G187" s="81">
        <v>99.999995</v>
      </c>
      <c r="H187" s="81"/>
      <c r="I187" s="81">
        <v>99.999965</v>
      </c>
      <c r="J187" s="81"/>
      <c r="K187" s="81">
        <v>99.999981</v>
      </c>
      <c r="L187" s="81"/>
      <c r="N187" s="81"/>
      <c r="O187" s="81"/>
      <c r="P187" s="81"/>
      <c r="Q187" s="81"/>
      <c r="R187" s="81"/>
      <c r="S187" s="81">
        <v>99.99997</v>
      </c>
      <c r="T187" s="81"/>
      <c r="U187" s="81"/>
      <c r="V187" s="81"/>
      <c r="W187" s="81"/>
      <c r="X187" s="81"/>
      <c r="Y187" s="81"/>
      <c r="Z187" s="81"/>
      <c r="AA187" s="81"/>
      <c r="AB187" s="81"/>
      <c r="AC187" s="81"/>
      <c r="AD187" s="81"/>
      <c r="AE187" s="81"/>
      <c r="AF187" s="81"/>
      <c r="AG187" s="81"/>
      <c r="AH187" s="81"/>
      <c r="AI187" s="81"/>
      <c r="AJ187" s="81"/>
      <c r="AK187" s="81"/>
      <c r="AL187" s="81"/>
      <c r="AM187" s="81"/>
      <c r="AN187" s="81"/>
      <c r="AO187" s="81"/>
      <c r="AP187" s="81"/>
      <c r="AQ187" s="81"/>
      <c r="AR187" s="81"/>
      <c r="AS187" s="81"/>
      <c r="AT187" s="81"/>
      <c r="AU187" s="81"/>
      <c r="AV187" s="81"/>
      <c r="AW187" s="81"/>
      <c r="AX187" s="81"/>
      <c r="AY187" s="81"/>
      <c r="AZ187" s="81"/>
      <c r="BA187" s="81"/>
      <c r="BB187" s="81"/>
      <c r="BC187" s="81"/>
      <c r="BD187" s="81"/>
      <c r="BE187" s="81"/>
    </row>
    <row r="188" spans="7:63" s="76" customFormat="1" ht="12.75"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  <c r="AA188" s="79"/>
      <c r="AB188" s="79"/>
      <c r="AC188" s="79"/>
      <c r="AD188" s="79"/>
      <c r="AE188" s="79"/>
      <c r="AF188" s="79"/>
      <c r="AG188" s="79"/>
      <c r="AH188" s="79"/>
      <c r="AI188" s="79"/>
      <c r="AJ188" s="79"/>
      <c r="AK188" s="79"/>
      <c r="AL188" s="79"/>
      <c r="AM188" s="79"/>
      <c r="AN188" s="79"/>
      <c r="AO188" s="79"/>
      <c r="AP188" s="79"/>
      <c r="AQ188" s="79"/>
      <c r="AR188" s="79"/>
      <c r="AS188" s="79"/>
      <c r="AT188" s="79"/>
      <c r="AU188" s="79"/>
      <c r="AV188" s="79"/>
      <c r="AW188" s="79"/>
      <c r="AX188" s="79"/>
      <c r="AY188" s="79"/>
      <c r="AZ188" s="79"/>
      <c r="BA188" s="79"/>
      <c r="BB188" s="79"/>
      <c r="BC188" s="79"/>
      <c r="BD188" s="79"/>
      <c r="BE188" s="79"/>
      <c r="BF188" s="79"/>
      <c r="BG188" s="79"/>
      <c r="BH188" s="79"/>
      <c r="BI188" s="79"/>
      <c r="BJ188" s="79"/>
      <c r="BK188" s="79"/>
    </row>
    <row r="189" spans="2:63" s="76" customFormat="1" ht="12.75">
      <c r="B189" s="37" t="s">
        <v>199</v>
      </c>
      <c r="G189" s="46" t="s">
        <v>209</v>
      </c>
      <c r="H189" s="46"/>
      <c r="I189" s="46" t="s">
        <v>210</v>
      </c>
      <c r="J189" s="46"/>
      <c r="K189" s="46" t="s">
        <v>211</v>
      </c>
      <c r="L189" s="46"/>
      <c r="M189" s="46" t="s">
        <v>232</v>
      </c>
      <c r="N189" s="46"/>
      <c r="O189" s="46" t="s">
        <v>286</v>
      </c>
      <c r="P189" s="46"/>
      <c r="Q189" s="46" t="s">
        <v>287</v>
      </c>
      <c r="R189" s="79"/>
      <c r="S189" s="46" t="s">
        <v>46</v>
      </c>
      <c r="T189" s="79"/>
      <c r="U189" s="79"/>
      <c r="V189" s="79"/>
      <c r="W189" s="79"/>
      <c r="X189" s="79"/>
      <c r="Y189" s="79"/>
      <c r="Z189" s="79"/>
      <c r="AA189" s="79"/>
      <c r="AB189" s="79"/>
      <c r="AC189" s="79"/>
      <c r="AD189" s="79"/>
      <c r="AE189" s="79"/>
      <c r="AF189" s="79"/>
      <c r="AG189" s="79"/>
      <c r="AH189" s="79"/>
      <c r="AI189" s="79"/>
      <c r="AJ189" s="79"/>
      <c r="AK189" s="79"/>
      <c r="AL189" s="79"/>
      <c r="AM189" s="79"/>
      <c r="AN189" s="79"/>
      <c r="AO189" s="79"/>
      <c r="AP189" s="79"/>
      <c r="AQ189" s="79"/>
      <c r="AR189" s="79"/>
      <c r="AS189" s="79"/>
      <c r="AT189" s="79"/>
      <c r="AU189" s="79"/>
      <c r="AV189" s="79"/>
      <c r="AW189" s="79"/>
      <c r="AX189" s="79"/>
      <c r="AY189" s="79"/>
      <c r="AZ189" s="79"/>
      <c r="BA189" s="79"/>
      <c r="BB189" s="79"/>
      <c r="BC189" s="79"/>
      <c r="BD189" s="79"/>
      <c r="BE189" s="79"/>
      <c r="BF189" s="79"/>
      <c r="BG189" s="79"/>
      <c r="BH189" s="79"/>
      <c r="BI189" s="79"/>
      <c r="BJ189" s="79"/>
      <c r="BK189" s="79"/>
    </row>
    <row r="190" spans="6:23" s="76" customFormat="1" ht="12.75">
      <c r="F190" s="77"/>
      <c r="G190" s="79"/>
      <c r="H190" s="79"/>
      <c r="I190" s="79"/>
      <c r="J190" s="79"/>
      <c r="K190" s="79"/>
      <c r="L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</row>
    <row r="191" spans="1:24" s="76" customFormat="1" ht="12.75">
      <c r="A191" s="76" t="s">
        <v>199</v>
      </c>
      <c r="B191" s="76" t="s">
        <v>12</v>
      </c>
      <c r="C191" s="76" t="s">
        <v>325</v>
      </c>
      <c r="D191" s="76" t="s">
        <v>13</v>
      </c>
      <c r="E191" s="76" t="s">
        <v>14</v>
      </c>
      <c r="F191" s="77" t="s">
        <v>212</v>
      </c>
      <c r="G191" s="78">
        <v>0.0016643521745454543</v>
      </c>
      <c r="H191" s="78" t="s">
        <v>212</v>
      </c>
      <c r="I191" s="78">
        <v>0.001700016864</v>
      </c>
      <c r="J191" s="78" t="s">
        <v>212</v>
      </c>
      <c r="K191" s="78">
        <v>0.002177799381333333</v>
      </c>
      <c r="L191" s="78" t="s">
        <v>212</v>
      </c>
      <c r="N191" s="78" t="s">
        <v>212</v>
      </c>
      <c r="O191" s="78"/>
      <c r="P191" s="78" t="s">
        <v>212</v>
      </c>
      <c r="Q191" s="78"/>
      <c r="R191" s="78" t="s">
        <v>212</v>
      </c>
      <c r="S191" s="78">
        <f aca="true" t="shared" si="1" ref="S191:S204">AVERAGE(G191,I191,K191)</f>
        <v>0.001847389473292929</v>
      </c>
      <c r="T191" s="78" t="s">
        <v>212</v>
      </c>
      <c r="U191" s="78"/>
      <c r="V191" s="77" t="s">
        <v>212</v>
      </c>
      <c r="W191" s="77"/>
      <c r="X191" s="76">
        <v>0.001847389473292929</v>
      </c>
    </row>
    <row r="192" spans="1:24" s="76" customFormat="1" ht="12.75">
      <c r="A192" s="76" t="s">
        <v>199</v>
      </c>
      <c r="B192" s="76" t="s">
        <v>113</v>
      </c>
      <c r="C192" s="76" t="s">
        <v>325</v>
      </c>
      <c r="D192" s="76" t="s">
        <v>15</v>
      </c>
      <c r="E192" s="76" t="s">
        <v>14</v>
      </c>
      <c r="F192" s="77" t="s">
        <v>212</v>
      </c>
      <c r="G192" s="79">
        <v>0</v>
      </c>
      <c r="H192" s="79" t="s">
        <v>212</v>
      </c>
      <c r="I192" s="79">
        <v>1</v>
      </c>
      <c r="J192" s="79" t="s">
        <v>212</v>
      </c>
      <c r="K192" s="79">
        <v>10.88888888888889</v>
      </c>
      <c r="L192" s="77" t="s">
        <v>212</v>
      </c>
      <c r="N192" s="77" t="s">
        <v>212</v>
      </c>
      <c r="O192" s="77"/>
      <c r="P192" s="77" t="s">
        <v>212</v>
      </c>
      <c r="Q192" s="77"/>
      <c r="R192" s="77" t="s">
        <v>212</v>
      </c>
      <c r="S192" s="79">
        <f t="shared" si="1"/>
        <v>3.9629629629629632</v>
      </c>
      <c r="T192" s="77" t="s">
        <v>212</v>
      </c>
      <c r="U192" s="77"/>
      <c r="V192" s="77" t="s">
        <v>212</v>
      </c>
      <c r="W192" s="77"/>
      <c r="X192" s="76">
        <v>3.9629629629629632</v>
      </c>
    </row>
    <row r="193" spans="1:24" s="76" customFormat="1" ht="12.75">
      <c r="A193" s="76" t="s">
        <v>199</v>
      </c>
      <c r="B193" s="76" t="s">
        <v>356</v>
      </c>
      <c r="C193" s="76" t="s">
        <v>325</v>
      </c>
      <c r="D193" s="76" t="s">
        <v>15</v>
      </c>
      <c r="E193" s="76" t="s">
        <v>14</v>
      </c>
      <c r="F193" s="77" t="s">
        <v>212</v>
      </c>
      <c r="G193" s="79">
        <v>0.979020979020979</v>
      </c>
      <c r="H193" s="79" t="s">
        <v>212</v>
      </c>
      <c r="I193" s="79">
        <v>1.1</v>
      </c>
      <c r="J193" s="79" t="s">
        <v>212</v>
      </c>
      <c r="K193" s="79">
        <v>1.5555555555555556</v>
      </c>
      <c r="L193" s="77" t="s">
        <v>212</v>
      </c>
      <c r="N193" s="77" t="s">
        <v>212</v>
      </c>
      <c r="O193" s="77"/>
      <c r="P193" s="77" t="s">
        <v>212</v>
      </c>
      <c r="Q193" s="77"/>
      <c r="R193" s="77" t="s">
        <v>212</v>
      </c>
      <c r="S193" s="79">
        <f t="shared" si="1"/>
        <v>1.2115255115255115</v>
      </c>
      <c r="T193" s="77" t="s">
        <v>212</v>
      </c>
      <c r="U193" s="77"/>
      <c r="V193" s="77" t="s">
        <v>212</v>
      </c>
      <c r="W193" s="77"/>
      <c r="X193" s="76">
        <v>1.2115255115255117</v>
      </c>
    </row>
    <row r="194" spans="1:24" s="76" customFormat="1" ht="12.75">
      <c r="A194" s="76" t="s">
        <v>199</v>
      </c>
      <c r="B194" s="76" t="s">
        <v>49</v>
      </c>
      <c r="C194" s="80" t="s">
        <v>325</v>
      </c>
      <c r="D194" s="76" t="s">
        <v>15</v>
      </c>
      <c r="E194" s="76" t="s">
        <v>14</v>
      </c>
      <c r="F194" s="77" t="s">
        <v>212</v>
      </c>
      <c r="G194" s="79">
        <v>0.11431826565726853</v>
      </c>
      <c r="H194" s="79" t="s">
        <v>97</v>
      </c>
      <c r="I194" s="79">
        <v>0.37365741689118626</v>
      </c>
      <c r="J194" s="79" t="s">
        <v>97</v>
      </c>
      <c r="K194" s="79">
        <v>0.3632780441997645</v>
      </c>
      <c r="L194" s="77" t="s">
        <v>212</v>
      </c>
      <c r="N194" s="77" t="s">
        <v>212</v>
      </c>
      <c r="O194" s="77"/>
      <c r="P194" s="77" t="s">
        <v>212</v>
      </c>
      <c r="Q194" s="77"/>
      <c r="R194" s="77" t="s">
        <v>212</v>
      </c>
      <c r="S194" s="79">
        <f t="shared" si="1"/>
        <v>0.28375124224940645</v>
      </c>
      <c r="T194" s="77" t="s">
        <v>212</v>
      </c>
      <c r="U194" s="77"/>
      <c r="V194" s="77" t="s">
        <v>212</v>
      </c>
      <c r="W194" s="77"/>
      <c r="X194" s="76">
        <v>0.28375124224940645</v>
      </c>
    </row>
    <row r="195" spans="1:24" s="76" customFormat="1" ht="12.75">
      <c r="A195" s="76" t="s">
        <v>199</v>
      </c>
      <c r="B195" s="76" t="s">
        <v>103</v>
      </c>
      <c r="C195" s="80" t="s">
        <v>324</v>
      </c>
      <c r="D195" s="76" t="s">
        <v>54</v>
      </c>
      <c r="E195" s="76" t="s">
        <v>14</v>
      </c>
      <c r="F195" s="77" t="s">
        <v>212</v>
      </c>
      <c r="G195" s="79">
        <v>3.3522657342657336</v>
      </c>
      <c r="H195" s="79" t="s">
        <v>212</v>
      </c>
      <c r="I195" s="79">
        <v>3.7771</v>
      </c>
      <c r="J195" s="79" t="s">
        <v>212</v>
      </c>
      <c r="K195" s="79">
        <v>6.699155555555555</v>
      </c>
      <c r="L195" s="77" t="s">
        <v>212</v>
      </c>
      <c r="N195" s="77" t="s">
        <v>212</v>
      </c>
      <c r="O195" s="77"/>
      <c r="P195" s="77" t="s">
        <v>212</v>
      </c>
      <c r="Q195" s="77"/>
      <c r="R195" s="77" t="s">
        <v>212</v>
      </c>
      <c r="S195" s="79">
        <f t="shared" si="1"/>
        <v>4.609507096607096</v>
      </c>
      <c r="T195" s="77" t="s">
        <v>212</v>
      </c>
      <c r="U195" s="77"/>
      <c r="V195" s="77" t="s">
        <v>212</v>
      </c>
      <c r="W195" s="77"/>
      <c r="X195" s="76">
        <v>4.6095070966070955</v>
      </c>
    </row>
    <row r="196" spans="1:24" s="76" customFormat="1" ht="12.75">
      <c r="A196" s="76" t="s">
        <v>199</v>
      </c>
      <c r="B196" s="76" t="s">
        <v>79</v>
      </c>
      <c r="C196" s="80" t="s">
        <v>324</v>
      </c>
      <c r="D196" s="76" t="s">
        <v>54</v>
      </c>
      <c r="E196" s="76" t="s">
        <v>14</v>
      </c>
      <c r="F196" s="77" t="s">
        <v>97</v>
      </c>
      <c r="G196" s="79">
        <v>0.24191608391608388</v>
      </c>
      <c r="H196" s="79" t="s">
        <v>97</v>
      </c>
      <c r="I196" s="79">
        <v>0.2118</v>
      </c>
      <c r="J196" s="79" t="s">
        <v>97</v>
      </c>
      <c r="K196" s="79">
        <v>0.38437777777777776</v>
      </c>
      <c r="L196" s="77" t="s">
        <v>212</v>
      </c>
      <c r="N196" s="77" t="s">
        <v>212</v>
      </c>
      <c r="O196" s="77"/>
      <c r="P196" s="77" t="s">
        <v>212</v>
      </c>
      <c r="Q196" s="77"/>
      <c r="R196" s="77" t="s">
        <v>212</v>
      </c>
      <c r="S196" s="79">
        <f t="shared" si="1"/>
        <v>0.2793646205646205</v>
      </c>
      <c r="T196" s="77" t="s">
        <v>212</v>
      </c>
      <c r="U196" s="77"/>
      <c r="V196" s="77" t="s">
        <v>212</v>
      </c>
      <c r="W196" s="77"/>
      <c r="X196" s="76">
        <v>0.2793646205646205</v>
      </c>
    </row>
    <row r="197" spans="1:24" s="76" customFormat="1" ht="12.75">
      <c r="A197" s="76" t="s">
        <v>199</v>
      </c>
      <c r="B197" s="76" t="s">
        <v>104</v>
      </c>
      <c r="C197" s="80" t="s">
        <v>324</v>
      </c>
      <c r="D197" s="76" t="s">
        <v>54</v>
      </c>
      <c r="E197" s="76" t="s">
        <v>14</v>
      </c>
      <c r="F197" s="77" t="s">
        <v>97</v>
      </c>
      <c r="G197" s="79">
        <v>0.58751048951049</v>
      </c>
      <c r="H197" s="79" t="s">
        <v>97</v>
      </c>
      <c r="I197" s="79">
        <v>0.4942</v>
      </c>
      <c r="J197" s="79" t="s">
        <v>97</v>
      </c>
      <c r="K197" s="79">
        <v>0.8785777777777778</v>
      </c>
      <c r="L197" s="77" t="s">
        <v>212</v>
      </c>
      <c r="N197" s="77" t="s">
        <v>212</v>
      </c>
      <c r="O197" s="77"/>
      <c r="P197" s="77" t="s">
        <v>212</v>
      </c>
      <c r="Q197" s="77"/>
      <c r="R197" s="77" t="s">
        <v>212</v>
      </c>
      <c r="S197" s="79">
        <f t="shared" si="1"/>
        <v>0.6534294224294226</v>
      </c>
      <c r="T197" s="77" t="s">
        <v>212</v>
      </c>
      <c r="U197" s="77"/>
      <c r="V197" s="77" t="s">
        <v>212</v>
      </c>
      <c r="W197" s="77"/>
      <c r="X197" s="76">
        <v>0.6534294224294226</v>
      </c>
    </row>
    <row r="198" spans="1:24" s="76" customFormat="1" ht="12.75">
      <c r="A198" s="76" t="s">
        <v>199</v>
      </c>
      <c r="B198" s="76" t="s">
        <v>83</v>
      </c>
      <c r="C198" s="80" t="s">
        <v>324</v>
      </c>
      <c r="D198" s="76" t="s">
        <v>54</v>
      </c>
      <c r="E198" s="76" t="s">
        <v>14</v>
      </c>
      <c r="F198" s="77" t="s">
        <v>212</v>
      </c>
      <c r="G198" s="79">
        <v>5.736867132867133</v>
      </c>
      <c r="H198" s="79" t="s">
        <v>212</v>
      </c>
      <c r="I198" s="79">
        <v>6.4246</v>
      </c>
      <c r="J198" s="79" t="s">
        <v>212</v>
      </c>
      <c r="K198" s="79">
        <v>10.817488888888889</v>
      </c>
      <c r="L198" s="77" t="s">
        <v>212</v>
      </c>
      <c r="N198" s="77" t="s">
        <v>212</v>
      </c>
      <c r="O198" s="77"/>
      <c r="P198" s="77" t="s">
        <v>212</v>
      </c>
      <c r="Q198" s="77"/>
      <c r="R198" s="77" t="s">
        <v>212</v>
      </c>
      <c r="S198" s="79">
        <f t="shared" si="1"/>
        <v>7.6596520072520065</v>
      </c>
      <c r="T198" s="77" t="s">
        <v>212</v>
      </c>
      <c r="U198" s="77"/>
      <c r="V198" s="77" t="s">
        <v>212</v>
      </c>
      <c r="W198" s="77"/>
      <c r="X198" s="76">
        <v>7.6596520072520065</v>
      </c>
    </row>
    <row r="199" spans="1:24" s="76" customFormat="1" ht="12.75">
      <c r="A199" s="76" t="s">
        <v>199</v>
      </c>
      <c r="B199" s="76" t="s">
        <v>78</v>
      </c>
      <c r="C199" s="80" t="s">
        <v>324</v>
      </c>
      <c r="D199" s="76" t="s">
        <v>54</v>
      </c>
      <c r="E199" s="76" t="s">
        <v>14</v>
      </c>
      <c r="F199" s="77" t="s">
        <v>212</v>
      </c>
      <c r="G199" s="79">
        <v>2.363865734265734</v>
      </c>
      <c r="H199" s="79" t="s">
        <v>212</v>
      </c>
      <c r="I199" s="79">
        <v>2.66515</v>
      </c>
      <c r="J199" s="79" t="s">
        <v>212</v>
      </c>
      <c r="K199" s="79">
        <v>3.9151622222222224</v>
      </c>
      <c r="L199" s="77" t="s">
        <v>212</v>
      </c>
      <c r="N199" s="77" t="s">
        <v>212</v>
      </c>
      <c r="O199" s="77"/>
      <c r="P199" s="77" t="s">
        <v>212</v>
      </c>
      <c r="Q199" s="77"/>
      <c r="R199" s="77" t="s">
        <v>212</v>
      </c>
      <c r="S199" s="79">
        <f t="shared" si="1"/>
        <v>2.981392652162652</v>
      </c>
      <c r="T199" s="77" t="s">
        <v>212</v>
      </c>
      <c r="U199" s="77"/>
      <c r="V199" s="77" t="s">
        <v>212</v>
      </c>
      <c r="W199" s="77"/>
      <c r="X199" s="76">
        <v>2.981392652162652</v>
      </c>
    </row>
    <row r="200" spans="1:24" s="76" customFormat="1" ht="12.75">
      <c r="A200" s="76" t="s">
        <v>199</v>
      </c>
      <c r="B200" s="76" t="s">
        <v>80</v>
      </c>
      <c r="C200" s="80" t="s">
        <v>324</v>
      </c>
      <c r="D200" s="76" t="s">
        <v>54</v>
      </c>
      <c r="E200" s="76" t="s">
        <v>14</v>
      </c>
      <c r="F200" s="77" t="s">
        <v>212</v>
      </c>
      <c r="G200" s="79">
        <v>3.155276923076923</v>
      </c>
      <c r="H200" s="79" t="s">
        <v>212</v>
      </c>
      <c r="I200" s="79">
        <v>3.9889</v>
      </c>
      <c r="J200" s="79" t="s">
        <v>212</v>
      </c>
      <c r="K200" s="79">
        <v>8.675955555555555</v>
      </c>
      <c r="L200" s="77" t="s">
        <v>212</v>
      </c>
      <c r="N200" s="77" t="s">
        <v>212</v>
      </c>
      <c r="O200" s="77"/>
      <c r="P200" s="77" t="s">
        <v>212</v>
      </c>
      <c r="Q200" s="77"/>
      <c r="R200" s="77" t="s">
        <v>212</v>
      </c>
      <c r="S200" s="79">
        <f t="shared" si="1"/>
        <v>5.273377492877493</v>
      </c>
      <c r="T200" s="77" t="s">
        <v>212</v>
      </c>
      <c r="U200" s="77"/>
      <c r="V200" s="77" t="s">
        <v>212</v>
      </c>
      <c r="W200" s="77"/>
      <c r="X200" s="76">
        <v>5.273377492877493</v>
      </c>
    </row>
    <row r="201" spans="1:24" s="76" customFormat="1" ht="12.75">
      <c r="A201" s="76" t="s">
        <v>199</v>
      </c>
      <c r="B201" s="76" t="s">
        <v>105</v>
      </c>
      <c r="C201" s="80" t="s">
        <v>324</v>
      </c>
      <c r="D201" s="76" t="s">
        <v>54</v>
      </c>
      <c r="E201" s="76" t="s">
        <v>14</v>
      </c>
      <c r="F201" s="77" t="s">
        <v>97</v>
      </c>
      <c r="G201" s="79">
        <v>2.4191608391608392</v>
      </c>
      <c r="H201" s="79" t="s">
        <v>97</v>
      </c>
      <c r="I201" s="79">
        <v>2.118</v>
      </c>
      <c r="J201" s="79" t="s">
        <v>97</v>
      </c>
      <c r="K201" s="79">
        <v>3.6241333333333334</v>
      </c>
      <c r="L201" s="77" t="s">
        <v>212</v>
      </c>
      <c r="N201" s="77" t="s">
        <v>212</v>
      </c>
      <c r="O201" s="77"/>
      <c r="P201" s="77" t="s">
        <v>212</v>
      </c>
      <c r="Q201" s="77"/>
      <c r="R201" s="77" t="s">
        <v>212</v>
      </c>
      <c r="S201" s="79">
        <f t="shared" si="1"/>
        <v>2.7204313908313904</v>
      </c>
      <c r="T201" s="77" t="s">
        <v>212</v>
      </c>
      <c r="U201" s="77"/>
      <c r="V201" s="77" t="s">
        <v>212</v>
      </c>
      <c r="W201" s="77"/>
      <c r="X201" s="76">
        <v>2.7204313908313913</v>
      </c>
    </row>
    <row r="202" spans="1:24" s="76" customFormat="1" ht="12.75">
      <c r="A202" s="76" t="s">
        <v>199</v>
      </c>
      <c r="B202" s="76" t="s">
        <v>110</v>
      </c>
      <c r="C202" s="80" t="s">
        <v>324</v>
      </c>
      <c r="D202" s="76" t="s">
        <v>54</v>
      </c>
      <c r="E202" s="76" t="s">
        <v>14</v>
      </c>
      <c r="F202" s="77" t="s">
        <v>97</v>
      </c>
      <c r="G202" s="79">
        <v>1.3823776223776223</v>
      </c>
      <c r="H202" s="79" t="s">
        <v>97</v>
      </c>
      <c r="I202" s="79">
        <v>1.059</v>
      </c>
      <c r="J202" s="79" t="s">
        <v>97</v>
      </c>
      <c r="K202" s="79">
        <v>1.8669777777777776</v>
      </c>
      <c r="L202" s="77" t="s">
        <v>212</v>
      </c>
      <c r="N202" s="77" t="s">
        <v>212</v>
      </c>
      <c r="O202" s="77"/>
      <c r="P202" s="77" t="s">
        <v>212</v>
      </c>
      <c r="Q202" s="77"/>
      <c r="R202" s="77" t="s">
        <v>212</v>
      </c>
      <c r="S202" s="79">
        <f t="shared" si="1"/>
        <v>1.4361184667184668</v>
      </c>
      <c r="T202" s="77" t="s">
        <v>212</v>
      </c>
      <c r="U202" s="77"/>
      <c r="V202" s="77" t="s">
        <v>212</v>
      </c>
      <c r="W202" s="77"/>
      <c r="X202" s="76">
        <v>1.4361184667184668</v>
      </c>
    </row>
    <row r="203" spans="2:23" s="76" customFormat="1" ht="12.75">
      <c r="B203" s="80" t="s">
        <v>55</v>
      </c>
      <c r="C203" s="80" t="s">
        <v>324</v>
      </c>
      <c r="D203" s="80" t="s">
        <v>54</v>
      </c>
      <c r="E203" s="80" t="s">
        <v>14</v>
      </c>
      <c r="F203" s="77"/>
      <c r="G203" s="79">
        <f>G197+G199</f>
        <v>2.951376223776224</v>
      </c>
      <c r="H203" s="79"/>
      <c r="I203" s="79">
        <f>I197+I199</f>
        <v>3.15935</v>
      </c>
      <c r="J203" s="79"/>
      <c r="K203" s="79">
        <f>K197+K199</f>
        <v>4.793740000000001</v>
      </c>
      <c r="L203" s="77"/>
      <c r="N203" s="77"/>
      <c r="O203" s="77"/>
      <c r="P203" s="77"/>
      <c r="Q203" s="77"/>
      <c r="R203" s="77"/>
      <c r="S203" s="79">
        <f t="shared" si="1"/>
        <v>3.634822074592075</v>
      </c>
      <c r="T203" s="77"/>
      <c r="U203" s="77"/>
      <c r="V203" s="77"/>
      <c r="W203" s="77"/>
    </row>
    <row r="204" spans="2:23" s="76" customFormat="1" ht="12.75">
      <c r="B204" s="80" t="s">
        <v>56</v>
      </c>
      <c r="C204" s="80" t="s">
        <v>324</v>
      </c>
      <c r="D204" s="80" t="s">
        <v>54</v>
      </c>
      <c r="E204" s="80" t="s">
        <v>14</v>
      </c>
      <c r="F204" s="77"/>
      <c r="G204" s="79">
        <f>G195+G196+G198</f>
        <v>9.331048951048949</v>
      </c>
      <c r="H204" s="79"/>
      <c r="I204" s="79">
        <f>I195+I196+I198</f>
        <v>10.413499999999999</v>
      </c>
      <c r="J204" s="79"/>
      <c r="K204" s="79">
        <f>K195+K196+K198</f>
        <v>17.90102222222222</v>
      </c>
      <c r="L204" s="77"/>
      <c r="N204" s="77"/>
      <c r="O204" s="77"/>
      <c r="P204" s="77"/>
      <c r="Q204" s="77"/>
      <c r="R204" s="77"/>
      <c r="S204" s="79">
        <f t="shared" si="1"/>
        <v>12.548523724423722</v>
      </c>
      <c r="T204" s="77"/>
      <c r="U204" s="77"/>
      <c r="V204" s="77"/>
      <c r="W204" s="77"/>
    </row>
    <row r="205" spans="6:23" s="76" customFormat="1" ht="12.75">
      <c r="F205" s="77"/>
      <c r="G205" s="79"/>
      <c r="H205" s="79"/>
      <c r="I205" s="79"/>
      <c r="J205" s="79"/>
      <c r="K205" s="79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</row>
    <row r="206" spans="1:57" s="80" customFormat="1" ht="12.75">
      <c r="A206" s="80" t="s">
        <v>199</v>
      </c>
      <c r="B206" s="80" t="s">
        <v>217</v>
      </c>
      <c r="C206" s="80" t="s">
        <v>51</v>
      </c>
      <c r="D206" s="80" t="s">
        <v>17</v>
      </c>
      <c r="G206" s="81">
        <v>99.99989</v>
      </c>
      <c r="H206" s="81"/>
      <c r="I206" s="81">
        <v>99.99989</v>
      </c>
      <c r="J206" s="81"/>
      <c r="K206" s="81">
        <v>99.99991</v>
      </c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  <c r="AA206" s="81"/>
      <c r="AB206" s="81"/>
      <c r="AC206" s="81"/>
      <c r="AD206" s="81"/>
      <c r="AE206" s="81"/>
      <c r="AF206" s="81"/>
      <c r="AG206" s="81"/>
      <c r="AH206" s="81"/>
      <c r="AI206" s="81"/>
      <c r="AJ206" s="81"/>
      <c r="AK206" s="81"/>
      <c r="AL206" s="81"/>
      <c r="AM206" s="81"/>
      <c r="AN206" s="81"/>
      <c r="AO206" s="81"/>
      <c r="AP206" s="81"/>
      <c r="AQ206" s="81"/>
      <c r="AR206" s="81"/>
      <c r="AS206" s="81"/>
      <c r="AT206" s="81"/>
      <c r="AU206" s="81"/>
      <c r="AV206" s="81"/>
      <c r="AW206" s="81"/>
      <c r="AX206" s="81"/>
      <c r="AY206" s="81"/>
      <c r="AZ206" s="81"/>
      <c r="BA206" s="81"/>
      <c r="BB206" s="81"/>
      <c r="BC206" s="81"/>
      <c r="BD206" s="81"/>
      <c r="BE206" s="81"/>
    </row>
    <row r="207" spans="1:57" s="80" customFormat="1" ht="12.75">
      <c r="A207" s="80" t="s">
        <v>199</v>
      </c>
      <c r="B207" s="80" t="s">
        <v>218</v>
      </c>
      <c r="C207" s="80" t="s">
        <v>51</v>
      </c>
      <c r="D207" s="80" t="s">
        <v>17</v>
      </c>
      <c r="G207" s="81">
        <v>99.99984</v>
      </c>
      <c r="H207" s="81"/>
      <c r="I207" s="81">
        <v>99.99993</v>
      </c>
      <c r="J207" s="81"/>
      <c r="K207" s="81">
        <v>99.99988</v>
      </c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  <c r="AA207" s="81"/>
      <c r="AB207" s="81"/>
      <c r="AC207" s="81"/>
      <c r="AD207" s="81"/>
      <c r="AE207" s="81"/>
      <c r="AF207" s="81"/>
      <c r="AG207" s="81"/>
      <c r="AH207" s="81"/>
      <c r="AI207" s="81"/>
      <c r="AJ207" s="81"/>
      <c r="AK207" s="81"/>
      <c r="AL207" s="81"/>
      <c r="AM207" s="81"/>
      <c r="AN207" s="81"/>
      <c r="AO207" s="81"/>
      <c r="AP207" s="81"/>
      <c r="AQ207" s="81"/>
      <c r="AR207" s="81"/>
      <c r="AS207" s="81"/>
      <c r="AT207" s="81"/>
      <c r="AU207" s="81"/>
      <c r="AV207" s="81"/>
      <c r="AW207" s="81"/>
      <c r="AX207" s="81"/>
      <c r="AY207" s="81"/>
      <c r="AZ207" s="81"/>
      <c r="BA207" s="81"/>
      <c r="BB207" s="81"/>
      <c r="BC207" s="81"/>
      <c r="BD207" s="81"/>
      <c r="BE207" s="81"/>
    </row>
    <row r="208" spans="1:57" s="80" customFormat="1" ht="12.75">
      <c r="A208" s="80" t="s">
        <v>199</v>
      </c>
      <c r="B208" s="80" t="s">
        <v>148</v>
      </c>
      <c r="C208" s="80" t="s">
        <v>51</v>
      </c>
      <c r="D208" s="80" t="s">
        <v>17</v>
      </c>
      <c r="G208" s="81">
        <v>99.9999</v>
      </c>
      <c r="H208" s="81"/>
      <c r="I208" s="81">
        <v>99.99997</v>
      </c>
      <c r="J208" s="81"/>
      <c r="K208" s="81">
        <v>99.99997</v>
      </c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  <c r="AA208" s="81"/>
      <c r="AB208" s="81"/>
      <c r="AC208" s="81"/>
      <c r="AD208" s="81"/>
      <c r="AE208" s="81"/>
      <c r="AF208" s="81"/>
      <c r="AG208" s="81"/>
      <c r="AH208" s="81"/>
      <c r="AI208" s="81"/>
      <c r="AJ208" s="81"/>
      <c r="AK208" s="81"/>
      <c r="AL208" s="81"/>
      <c r="AM208" s="81"/>
      <c r="AN208" s="81"/>
      <c r="AO208" s="81"/>
      <c r="AP208" s="81"/>
      <c r="AQ208" s="81"/>
      <c r="AR208" s="81"/>
      <c r="AS208" s="81"/>
      <c r="AT208" s="81"/>
      <c r="AU208" s="81"/>
      <c r="AV208" s="81"/>
      <c r="AW208" s="81"/>
      <c r="AX208" s="81"/>
      <c r="AY208" s="81"/>
      <c r="AZ208" s="81"/>
      <c r="BA208" s="81"/>
      <c r="BB208" s="81"/>
      <c r="BC208" s="81"/>
      <c r="BD208" s="81"/>
      <c r="BE208" s="81"/>
    </row>
    <row r="209" spans="1:57" s="80" customFormat="1" ht="12.75">
      <c r="A209" s="80" t="s">
        <v>199</v>
      </c>
      <c r="B209" s="80" t="s">
        <v>151</v>
      </c>
      <c r="C209" s="80" t="s">
        <v>51</v>
      </c>
      <c r="D209" s="80" t="s">
        <v>17</v>
      </c>
      <c r="G209" s="81">
        <v>99.999938</v>
      </c>
      <c r="H209" s="81"/>
      <c r="I209" s="81">
        <v>99.999988</v>
      </c>
      <c r="J209" s="81"/>
      <c r="K209" s="81">
        <v>99.999967</v>
      </c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  <c r="AA209" s="81"/>
      <c r="AB209" s="81"/>
      <c r="AC209" s="81"/>
      <c r="AD209" s="81"/>
      <c r="AE209" s="81"/>
      <c r="AF209" s="81"/>
      <c r="AG209" s="81"/>
      <c r="AH209" s="81"/>
      <c r="AI209" s="81"/>
      <c r="AJ209" s="81"/>
      <c r="AK209" s="81"/>
      <c r="AL209" s="81"/>
      <c r="AM209" s="81"/>
      <c r="AN209" s="81"/>
      <c r="AO209" s="81"/>
      <c r="AP209" s="81"/>
      <c r="AQ209" s="81"/>
      <c r="AR209" s="81"/>
      <c r="AS209" s="81"/>
      <c r="AT209" s="81"/>
      <c r="AU209" s="81"/>
      <c r="AV209" s="81"/>
      <c r="AW209" s="81"/>
      <c r="AX209" s="81"/>
      <c r="AY209" s="81"/>
      <c r="AZ209" s="81"/>
      <c r="BA209" s="81"/>
      <c r="BB209" s="81"/>
      <c r="BC209" s="81"/>
      <c r="BD209" s="81"/>
      <c r="BE209" s="81"/>
    </row>
    <row r="210" spans="7:57" s="80" customFormat="1" ht="12.75"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  <c r="AA210" s="81"/>
      <c r="AB210" s="81"/>
      <c r="AC210" s="81"/>
      <c r="AD210" s="81"/>
      <c r="AE210" s="81"/>
      <c r="AF210" s="81"/>
      <c r="AG210" s="81"/>
      <c r="AH210" s="81"/>
      <c r="AI210" s="81"/>
      <c r="AJ210" s="81"/>
      <c r="AK210" s="81"/>
      <c r="AL210" s="81"/>
      <c r="AM210" s="81"/>
      <c r="AN210" s="81"/>
      <c r="AO210" s="81"/>
      <c r="AP210" s="81"/>
      <c r="AQ210" s="81"/>
      <c r="AR210" s="81"/>
      <c r="AS210" s="81"/>
      <c r="AT210" s="81"/>
      <c r="AU210" s="81"/>
      <c r="AV210" s="81"/>
      <c r="AW210" s="81"/>
      <c r="AX210" s="81"/>
      <c r="AY210" s="81"/>
      <c r="AZ210" s="81"/>
      <c r="BA210" s="81"/>
      <c r="BB210" s="81"/>
      <c r="BC210" s="81"/>
      <c r="BD210" s="81"/>
      <c r="BE210" s="81"/>
    </row>
    <row r="211" spans="2:23" s="76" customFormat="1" ht="12.75">
      <c r="B211" s="76" t="s">
        <v>84</v>
      </c>
      <c r="C211" s="76" t="s">
        <v>96</v>
      </c>
      <c r="D211" s="80" t="s">
        <v>324</v>
      </c>
      <c r="F211" s="77"/>
      <c r="G211" s="79"/>
      <c r="H211" s="79"/>
      <c r="I211" s="79"/>
      <c r="J211" s="79"/>
      <c r="K211" s="79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</row>
    <row r="212" spans="2:63" s="76" customFormat="1" ht="12.75">
      <c r="B212" s="5" t="s">
        <v>77</v>
      </c>
      <c r="C212" s="5"/>
      <c r="D212" s="5" t="s">
        <v>16</v>
      </c>
      <c r="G212" s="79">
        <v>38600</v>
      </c>
      <c r="H212" s="79"/>
      <c r="I212" s="79">
        <v>35200</v>
      </c>
      <c r="J212" s="79"/>
      <c r="K212" s="79">
        <v>39600</v>
      </c>
      <c r="L212" s="79"/>
      <c r="M212" s="79"/>
      <c r="N212" s="79"/>
      <c r="O212" s="79"/>
      <c r="P212" s="79"/>
      <c r="Q212" s="79"/>
      <c r="R212" s="79"/>
      <c r="S212" s="79"/>
      <c r="T212" s="79"/>
      <c r="U212" s="79"/>
      <c r="V212" s="79"/>
      <c r="W212" s="79"/>
      <c r="X212" s="79"/>
      <c r="Y212" s="79"/>
      <c r="Z212" s="79"/>
      <c r="AA212" s="79"/>
      <c r="AB212" s="79"/>
      <c r="AC212" s="79"/>
      <c r="AD212" s="79"/>
      <c r="AE212" s="79"/>
      <c r="AF212" s="79"/>
      <c r="AG212" s="79"/>
      <c r="AH212" s="79"/>
      <c r="AI212" s="79"/>
      <c r="AJ212" s="79"/>
      <c r="AK212" s="79"/>
      <c r="AL212" s="79"/>
      <c r="AM212" s="79"/>
      <c r="AN212" s="79"/>
      <c r="AO212" s="79"/>
      <c r="AP212" s="79"/>
      <c r="AQ212" s="79"/>
      <c r="AR212" s="79"/>
      <c r="AS212" s="79"/>
      <c r="AT212" s="79"/>
      <c r="AU212" s="79"/>
      <c r="AV212" s="79"/>
      <c r="AW212" s="79"/>
      <c r="AX212" s="79"/>
      <c r="AY212" s="79"/>
      <c r="AZ212" s="79"/>
      <c r="BA212" s="79"/>
      <c r="BB212" s="79"/>
      <c r="BC212" s="79"/>
      <c r="BD212" s="79"/>
      <c r="BE212" s="79"/>
      <c r="BF212" s="79"/>
      <c r="BG212" s="79"/>
      <c r="BH212" s="79"/>
      <c r="BI212" s="79"/>
      <c r="BJ212" s="79"/>
      <c r="BK212" s="79"/>
    </row>
    <row r="213" spans="2:63" s="76" customFormat="1" ht="12.75">
      <c r="B213" s="5" t="s">
        <v>81</v>
      </c>
      <c r="C213" s="5"/>
      <c r="D213" s="5" t="s">
        <v>17</v>
      </c>
      <c r="G213" s="79">
        <v>6.7</v>
      </c>
      <c r="H213" s="79"/>
      <c r="I213" s="79">
        <v>7</v>
      </c>
      <c r="J213" s="79"/>
      <c r="K213" s="79">
        <v>6.9</v>
      </c>
      <c r="L213" s="79"/>
      <c r="M213" s="79"/>
      <c r="N213" s="79"/>
      <c r="O213" s="79"/>
      <c r="P213" s="79"/>
      <c r="Q213" s="79"/>
      <c r="R213" s="79"/>
      <c r="S213" s="79"/>
      <c r="T213" s="79"/>
      <c r="U213" s="79"/>
      <c r="V213" s="79"/>
      <c r="W213" s="79"/>
      <c r="X213" s="79"/>
      <c r="Y213" s="79"/>
      <c r="Z213" s="79"/>
      <c r="AA213" s="79"/>
      <c r="AB213" s="79"/>
      <c r="AC213" s="79"/>
      <c r="AD213" s="79"/>
      <c r="AE213" s="79"/>
      <c r="AF213" s="79"/>
      <c r="AG213" s="79"/>
      <c r="AH213" s="79"/>
      <c r="AI213" s="79"/>
      <c r="AJ213" s="79"/>
      <c r="AK213" s="79"/>
      <c r="AL213" s="79"/>
      <c r="AM213" s="79"/>
      <c r="AN213" s="79"/>
      <c r="AO213" s="79"/>
      <c r="AP213" s="79"/>
      <c r="AQ213" s="79"/>
      <c r="AR213" s="79"/>
      <c r="AS213" s="79"/>
      <c r="AT213" s="79"/>
      <c r="AU213" s="79"/>
      <c r="AV213" s="79"/>
      <c r="AW213" s="79"/>
      <c r="AX213" s="79"/>
      <c r="AY213" s="79"/>
      <c r="AZ213" s="79"/>
      <c r="BA213" s="79"/>
      <c r="BB213" s="79"/>
      <c r="BC213" s="79"/>
      <c r="BD213" s="79"/>
      <c r="BE213" s="79"/>
      <c r="BF213" s="79"/>
      <c r="BG213" s="79"/>
      <c r="BH213" s="79"/>
      <c r="BI213" s="79"/>
      <c r="BJ213" s="79"/>
      <c r="BK213" s="79"/>
    </row>
    <row r="214" spans="1:63" s="76" customFormat="1" ht="12.75">
      <c r="A214" s="76" t="s">
        <v>199</v>
      </c>
      <c r="B214" s="5" t="s">
        <v>82</v>
      </c>
      <c r="C214" s="5"/>
      <c r="D214" s="5" t="s">
        <v>17</v>
      </c>
      <c r="G214" s="79">
        <v>17.8</v>
      </c>
      <c r="H214" s="79"/>
      <c r="I214" s="79">
        <v>19.9</v>
      </c>
      <c r="J214" s="79"/>
      <c r="K214" s="79">
        <v>20.1</v>
      </c>
      <c r="L214" s="79"/>
      <c r="M214" s="79"/>
      <c r="N214" s="79"/>
      <c r="O214" s="79"/>
      <c r="P214" s="79"/>
      <c r="Q214" s="79"/>
      <c r="R214" s="79"/>
      <c r="S214" s="79"/>
      <c r="T214" s="79"/>
      <c r="U214" s="79"/>
      <c r="V214" s="79"/>
      <c r="W214" s="79"/>
      <c r="X214" s="79"/>
      <c r="Y214" s="79"/>
      <c r="Z214" s="79"/>
      <c r="AA214" s="79"/>
      <c r="AB214" s="79"/>
      <c r="AC214" s="79"/>
      <c r="AD214" s="79"/>
      <c r="AE214" s="79"/>
      <c r="AF214" s="79"/>
      <c r="AG214" s="79"/>
      <c r="AH214" s="79"/>
      <c r="AI214" s="79"/>
      <c r="AJ214" s="79"/>
      <c r="AK214" s="79"/>
      <c r="AL214" s="79"/>
      <c r="AM214" s="79"/>
      <c r="AN214" s="79"/>
      <c r="AO214" s="79"/>
      <c r="AP214" s="79"/>
      <c r="AQ214" s="79"/>
      <c r="AR214" s="79"/>
      <c r="AS214" s="79"/>
      <c r="AT214" s="79"/>
      <c r="AU214" s="79"/>
      <c r="AV214" s="79"/>
      <c r="AW214" s="79"/>
      <c r="AX214" s="79"/>
      <c r="AY214" s="79"/>
      <c r="AZ214" s="79"/>
      <c r="BA214" s="79"/>
      <c r="BB214" s="79"/>
      <c r="BC214" s="79"/>
      <c r="BD214" s="79"/>
      <c r="BE214" s="79"/>
      <c r="BF214" s="79"/>
      <c r="BG214" s="79"/>
      <c r="BH214" s="79"/>
      <c r="BI214" s="79"/>
      <c r="BJ214" s="79"/>
      <c r="BK214" s="79"/>
    </row>
    <row r="215" spans="2:63" s="76" customFormat="1" ht="12.75">
      <c r="B215" s="5" t="s">
        <v>76</v>
      </c>
      <c r="C215" s="5"/>
      <c r="D215" s="5" t="s">
        <v>18</v>
      </c>
      <c r="G215" s="79">
        <v>136</v>
      </c>
      <c r="H215" s="79"/>
      <c r="I215" s="79">
        <v>141</v>
      </c>
      <c r="J215" s="79"/>
      <c r="K215" s="79">
        <v>142</v>
      </c>
      <c r="L215" s="79"/>
      <c r="M215" s="79"/>
      <c r="N215" s="79"/>
      <c r="O215" s="79"/>
      <c r="P215" s="79"/>
      <c r="Q215" s="79"/>
      <c r="R215" s="79"/>
      <c r="S215" s="79"/>
      <c r="T215" s="79"/>
      <c r="U215" s="79"/>
      <c r="V215" s="79"/>
      <c r="W215" s="79"/>
      <c r="X215" s="79"/>
      <c r="Y215" s="79"/>
      <c r="Z215" s="79"/>
      <c r="AA215" s="79"/>
      <c r="AB215" s="79"/>
      <c r="AC215" s="79"/>
      <c r="AD215" s="79"/>
      <c r="AE215" s="79"/>
      <c r="AF215" s="79"/>
      <c r="AG215" s="79"/>
      <c r="AH215" s="79"/>
      <c r="AI215" s="79"/>
      <c r="AJ215" s="79"/>
      <c r="AK215" s="79"/>
      <c r="AL215" s="79"/>
      <c r="AM215" s="79"/>
      <c r="AN215" s="79"/>
      <c r="AO215" s="79"/>
      <c r="AP215" s="79"/>
      <c r="AQ215" s="79"/>
      <c r="AR215" s="79"/>
      <c r="AS215" s="79"/>
      <c r="AT215" s="79"/>
      <c r="AU215" s="79"/>
      <c r="AV215" s="79"/>
      <c r="AW215" s="79"/>
      <c r="AX215" s="79"/>
      <c r="AY215" s="79"/>
      <c r="AZ215" s="79"/>
      <c r="BA215" s="79"/>
      <c r="BB215" s="79"/>
      <c r="BC215" s="79"/>
      <c r="BD215" s="79"/>
      <c r="BE215" s="79"/>
      <c r="BF215" s="79"/>
      <c r="BG215" s="79"/>
      <c r="BH215" s="79"/>
      <c r="BI215" s="79"/>
      <c r="BJ215" s="79"/>
      <c r="BK215" s="79"/>
    </row>
    <row r="216" spans="7:63" s="76" customFormat="1" ht="12.75"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79"/>
      <c r="U216" s="79"/>
      <c r="V216" s="79"/>
      <c r="W216" s="79"/>
      <c r="X216" s="79"/>
      <c r="Y216" s="79"/>
      <c r="Z216" s="79"/>
      <c r="AA216" s="79"/>
      <c r="AB216" s="79"/>
      <c r="AC216" s="79"/>
      <c r="AD216" s="79"/>
      <c r="AE216" s="79"/>
      <c r="AF216" s="79"/>
      <c r="AG216" s="79"/>
      <c r="AH216" s="79"/>
      <c r="AI216" s="79"/>
      <c r="AJ216" s="79"/>
      <c r="AK216" s="79"/>
      <c r="AL216" s="79"/>
      <c r="AM216" s="79"/>
      <c r="AN216" s="79"/>
      <c r="AO216" s="79"/>
      <c r="AP216" s="79"/>
      <c r="AQ216" s="79"/>
      <c r="AR216" s="79"/>
      <c r="AS216" s="79"/>
      <c r="AT216" s="79"/>
      <c r="AU216" s="79"/>
      <c r="AV216" s="79"/>
      <c r="AW216" s="79"/>
      <c r="AX216" s="79"/>
      <c r="AY216" s="79"/>
      <c r="AZ216" s="79"/>
      <c r="BA216" s="79"/>
      <c r="BB216" s="79"/>
      <c r="BC216" s="79"/>
      <c r="BD216" s="79"/>
      <c r="BE216" s="79"/>
      <c r="BF216" s="79"/>
      <c r="BG216" s="79"/>
      <c r="BH216" s="79"/>
      <c r="BI216" s="79"/>
      <c r="BJ216" s="79"/>
      <c r="BK216" s="79"/>
    </row>
    <row r="217" spans="2:63" s="76" customFormat="1" ht="12.75">
      <c r="B217" s="76" t="s">
        <v>84</v>
      </c>
      <c r="C217" s="76" t="s">
        <v>215</v>
      </c>
      <c r="D217" s="76" t="s">
        <v>325</v>
      </c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79"/>
      <c r="R217" s="79"/>
      <c r="S217" s="79"/>
      <c r="T217" s="79"/>
      <c r="U217" s="79"/>
      <c r="V217" s="79"/>
      <c r="W217" s="79"/>
      <c r="X217" s="79"/>
      <c r="Y217" s="79"/>
      <c r="Z217" s="79"/>
      <c r="AA217" s="79"/>
      <c r="AB217" s="79"/>
      <c r="AC217" s="79"/>
      <c r="AD217" s="79"/>
      <c r="AE217" s="79"/>
      <c r="AF217" s="79"/>
      <c r="AG217" s="79"/>
      <c r="AH217" s="79"/>
      <c r="AI217" s="79"/>
      <c r="AJ217" s="79"/>
      <c r="AK217" s="79"/>
      <c r="AL217" s="79"/>
      <c r="AM217" s="79"/>
      <c r="AN217" s="79"/>
      <c r="AO217" s="79"/>
      <c r="AP217" s="79"/>
      <c r="AQ217" s="79"/>
      <c r="AR217" s="79"/>
      <c r="AS217" s="79"/>
      <c r="AT217" s="79"/>
      <c r="AU217" s="79"/>
      <c r="AV217" s="79"/>
      <c r="AW217" s="79"/>
      <c r="AX217" s="79"/>
      <c r="AY217" s="79"/>
      <c r="AZ217" s="79"/>
      <c r="BA217" s="79"/>
      <c r="BB217" s="79"/>
      <c r="BC217" s="79"/>
      <c r="BD217" s="79"/>
      <c r="BE217" s="79"/>
      <c r="BF217" s="79"/>
      <c r="BG217" s="79"/>
      <c r="BH217" s="79"/>
      <c r="BI217" s="79"/>
      <c r="BJ217" s="79"/>
      <c r="BK217" s="79"/>
    </row>
    <row r="218" spans="2:63" s="76" customFormat="1" ht="12.75">
      <c r="B218" s="5" t="s">
        <v>77</v>
      </c>
      <c r="C218" s="5"/>
      <c r="D218" s="5" t="s">
        <v>16</v>
      </c>
      <c r="G218" s="79">
        <v>39600</v>
      </c>
      <c r="H218" s="79"/>
      <c r="I218" s="79">
        <v>36500</v>
      </c>
      <c r="J218" s="79"/>
      <c r="K218" s="79">
        <v>40300</v>
      </c>
      <c r="L218" s="79"/>
      <c r="M218" s="79"/>
      <c r="N218" s="79"/>
      <c r="O218" s="79"/>
      <c r="P218" s="79"/>
      <c r="Q218" s="79"/>
      <c r="R218" s="79"/>
      <c r="S218" s="79"/>
      <c r="T218" s="79"/>
      <c r="U218" s="79"/>
      <c r="V218" s="79"/>
      <c r="W218" s="79"/>
      <c r="X218" s="79"/>
      <c r="Y218" s="79"/>
      <c r="Z218" s="79"/>
      <c r="AA218" s="79"/>
      <c r="AB218" s="79"/>
      <c r="AC218" s="79"/>
      <c r="AD218" s="79"/>
      <c r="AE218" s="79"/>
      <c r="AF218" s="79"/>
      <c r="AG218" s="79"/>
      <c r="AH218" s="79"/>
      <c r="AI218" s="79"/>
      <c r="AJ218" s="79"/>
      <c r="AK218" s="79"/>
      <c r="AL218" s="79"/>
      <c r="AM218" s="79"/>
      <c r="AN218" s="79"/>
      <c r="AO218" s="79"/>
      <c r="AP218" s="79"/>
      <c r="AQ218" s="79"/>
      <c r="AR218" s="79"/>
      <c r="AS218" s="79"/>
      <c r="AT218" s="79"/>
      <c r="AU218" s="79"/>
      <c r="AV218" s="79"/>
      <c r="AW218" s="79"/>
      <c r="AX218" s="79"/>
      <c r="AY218" s="79"/>
      <c r="AZ218" s="79"/>
      <c r="BA218" s="79"/>
      <c r="BB218" s="79"/>
      <c r="BC218" s="79"/>
      <c r="BD218" s="79"/>
      <c r="BE218" s="79"/>
      <c r="BF218" s="79"/>
      <c r="BG218" s="79"/>
      <c r="BH218" s="79"/>
      <c r="BI218" s="79"/>
      <c r="BJ218" s="79"/>
      <c r="BK218" s="79"/>
    </row>
    <row r="219" spans="2:63" s="76" customFormat="1" ht="12.75">
      <c r="B219" s="5" t="s">
        <v>81</v>
      </c>
      <c r="C219" s="5"/>
      <c r="D219" s="5" t="s">
        <v>17</v>
      </c>
      <c r="G219" s="79">
        <v>6.7</v>
      </c>
      <c r="H219" s="79"/>
      <c r="I219" s="79">
        <v>7</v>
      </c>
      <c r="J219" s="79"/>
      <c r="K219" s="79">
        <v>6.9</v>
      </c>
      <c r="L219" s="79"/>
      <c r="M219" s="79"/>
      <c r="N219" s="79"/>
      <c r="O219" s="79"/>
      <c r="P219" s="79"/>
      <c r="Q219" s="79"/>
      <c r="R219" s="79"/>
      <c r="S219" s="79"/>
      <c r="T219" s="79"/>
      <c r="U219" s="79"/>
      <c r="V219" s="79"/>
      <c r="W219" s="79"/>
      <c r="X219" s="79"/>
      <c r="Y219" s="79"/>
      <c r="Z219" s="79"/>
      <c r="AA219" s="79"/>
      <c r="AB219" s="79"/>
      <c r="AC219" s="79"/>
      <c r="AD219" s="79"/>
      <c r="AE219" s="79"/>
      <c r="AF219" s="79"/>
      <c r="AG219" s="79"/>
      <c r="AH219" s="79"/>
      <c r="AI219" s="79"/>
      <c r="AJ219" s="79"/>
      <c r="AK219" s="79"/>
      <c r="AL219" s="79"/>
      <c r="AM219" s="79"/>
      <c r="AN219" s="79"/>
      <c r="AO219" s="79"/>
      <c r="AP219" s="79"/>
      <c r="AQ219" s="79"/>
      <c r="AR219" s="79"/>
      <c r="AS219" s="79"/>
      <c r="AT219" s="79"/>
      <c r="AU219" s="79"/>
      <c r="AV219" s="79"/>
      <c r="AW219" s="79"/>
      <c r="AX219" s="79"/>
      <c r="AY219" s="79"/>
      <c r="AZ219" s="79"/>
      <c r="BA219" s="79"/>
      <c r="BB219" s="79"/>
      <c r="BC219" s="79"/>
      <c r="BD219" s="79"/>
      <c r="BE219" s="79"/>
      <c r="BF219" s="79"/>
      <c r="BG219" s="79"/>
      <c r="BH219" s="79"/>
      <c r="BI219" s="79"/>
      <c r="BJ219" s="79"/>
      <c r="BK219" s="79"/>
    </row>
    <row r="220" spans="2:63" s="76" customFormat="1" ht="12.75">
      <c r="B220" s="5" t="s">
        <v>82</v>
      </c>
      <c r="C220" s="5"/>
      <c r="D220" s="5" t="s">
        <v>17</v>
      </c>
      <c r="G220" s="79">
        <v>17.8</v>
      </c>
      <c r="H220" s="79"/>
      <c r="I220" s="79">
        <v>20.3</v>
      </c>
      <c r="J220" s="79"/>
      <c r="K220" s="79">
        <v>20.3</v>
      </c>
      <c r="L220" s="79"/>
      <c r="M220" s="79"/>
      <c r="N220" s="79"/>
      <c r="O220" s="79"/>
      <c r="P220" s="79"/>
      <c r="Q220" s="79"/>
      <c r="R220" s="79"/>
      <c r="S220" s="79"/>
      <c r="T220" s="79"/>
      <c r="U220" s="79"/>
      <c r="V220" s="79"/>
      <c r="W220" s="79"/>
      <c r="X220" s="79"/>
      <c r="Y220" s="79"/>
      <c r="Z220" s="79"/>
      <c r="AA220" s="79"/>
      <c r="AB220" s="79"/>
      <c r="AC220" s="79"/>
      <c r="AD220" s="79"/>
      <c r="AE220" s="79"/>
      <c r="AF220" s="79"/>
      <c r="AG220" s="79"/>
      <c r="AH220" s="79"/>
      <c r="AI220" s="79"/>
      <c r="AJ220" s="79"/>
      <c r="AK220" s="79"/>
      <c r="AL220" s="79"/>
      <c r="AM220" s="79"/>
      <c r="AN220" s="79"/>
      <c r="AO220" s="79"/>
      <c r="AP220" s="79"/>
      <c r="AQ220" s="79"/>
      <c r="AR220" s="79"/>
      <c r="AS220" s="79"/>
      <c r="AT220" s="79"/>
      <c r="AU220" s="79"/>
      <c r="AV220" s="79"/>
      <c r="AW220" s="79"/>
      <c r="AX220" s="79"/>
      <c r="AY220" s="79"/>
      <c r="AZ220" s="79"/>
      <c r="BA220" s="79"/>
      <c r="BB220" s="79"/>
      <c r="BC220" s="79"/>
      <c r="BD220" s="79"/>
      <c r="BE220" s="79"/>
      <c r="BF220" s="79"/>
      <c r="BG220" s="79"/>
      <c r="BH220" s="79"/>
      <c r="BI220" s="79"/>
      <c r="BJ220" s="79"/>
      <c r="BK220" s="79"/>
    </row>
    <row r="221" spans="2:63" s="76" customFormat="1" ht="12.75">
      <c r="B221" s="5" t="s">
        <v>76</v>
      </c>
      <c r="C221" s="5"/>
      <c r="D221" s="5" t="s">
        <v>18</v>
      </c>
      <c r="G221" s="79">
        <v>135</v>
      </c>
      <c r="H221" s="79"/>
      <c r="I221" s="79">
        <v>129</v>
      </c>
      <c r="J221" s="79"/>
      <c r="K221" s="79">
        <v>140</v>
      </c>
      <c r="L221" s="79"/>
      <c r="M221" s="79"/>
      <c r="N221" s="79"/>
      <c r="O221" s="79"/>
      <c r="P221" s="79"/>
      <c r="Q221" s="79"/>
      <c r="R221" s="79"/>
      <c r="S221" s="79"/>
      <c r="T221" s="79"/>
      <c r="U221" s="79"/>
      <c r="V221" s="79"/>
      <c r="W221" s="79"/>
      <c r="X221" s="79"/>
      <c r="Y221" s="79"/>
      <c r="Z221" s="79"/>
      <c r="AA221" s="79"/>
      <c r="AB221" s="79"/>
      <c r="AC221" s="79"/>
      <c r="AD221" s="79"/>
      <c r="AE221" s="79"/>
      <c r="AF221" s="79"/>
      <c r="AG221" s="79"/>
      <c r="AH221" s="79"/>
      <c r="AI221" s="79"/>
      <c r="AJ221" s="79"/>
      <c r="AK221" s="79"/>
      <c r="AL221" s="79"/>
      <c r="AM221" s="79"/>
      <c r="AN221" s="79"/>
      <c r="AO221" s="79"/>
      <c r="AP221" s="79"/>
      <c r="AQ221" s="79"/>
      <c r="AR221" s="79"/>
      <c r="AS221" s="79"/>
      <c r="AT221" s="79"/>
      <c r="AU221" s="79"/>
      <c r="AV221" s="79"/>
      <c r="AW221" s="79"/>
      <c r="AX221" s="79"/>
      <c r="AY221" s="79"/>
      <c r="AZ221" s="79"/>
      <c r="BA221" s="79"/>
      <c r="BB221" s="79"/>
      <c r="BC221" s="79"/>
      <c r="BD221" s="79"/>
      <c r="BE221" s="79"/>
      <c r="BF221" s="79"/>
      <c r="BG221" s="79"/>
      <c r="BH221" s="79"/>
      <c r="BI221" s="79"/>
      <c r="BJ221" s="79"/>
      <c r="BK221" s="79"/>
    </row>
    <row r="222" spans="6:23" s="76" customFormat="1" ht="12.75">
      <c r="F222" s="77"/>
      <c r="G222" s="79"/>
      <c r="H222" s="79"/>
      <c r="I222" s="79"/>
      <c r="J222" s="79"/>
      <c r="K222" s="79"/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  <c r="W222" s="77"/>
    </row>
    <row r="223" spans="2:23" s="76" customFormat="1" ht="12.75">
      <c r="B223" s="37" t="s">
        <v>200</v>
      </c>
      <c r="F223" s="77"/>
      <c r="G223" s="46" t="s">
        <v>209</v>
      </c>
      <c r="H223" s="46"/>
      <c r="I223" s="46" t="s">
        <v>210</v>
      </c>
      <c r="J223" s="46"/>
      <c r="K223" s="46" t="s">
        <v>211</v>
      </c>
      <c r="L223" s="46"/>
      <c r="M223" s="46" t="s">
        <v>232</v>
      </c>
      <c r="N223" s="46"/>
      <c r="O223" s="46" t="s">
        <v>286</v>
      </c>
      <c r="P223" s="46"/>
      <c r="Q223" s="46" t="s">
        <v>287</v>
      </c>
      <c r="R223" s="77"/>
      <c r="S223" s="46" t="s">
        <v>46</v>
      </c>
      <c r="T223" s="77"/>
      <c r="U223" s="77"/>
      <c r="V223" s="77"/>
      <c r="W223" s="77"/>
    </row>
    <row r="224" spans="6:23" s="76" customFormat="1" ht="12.75">
      <c r="F224" s="77"/>
      <c r="G224" s="79"/>
      <c r="H224" s="79"/>
      <c r="I224" s="79"/>
      <c r="J224" s="79"/>
      <c r="K224" s="79"/>
      <c r="L224" s="77"/>
      <c r="N224" s="77"/>
      <c r="O224" s="77"/>
      <c r="P224" s="77"/>
      <c r="Q224" s="77"/>
      <c r="R224" s="77"/>
      <c r="S224" s="77"/>
      <c r="T224" s="77"/>
      <c r="U224" s="77"/>
      <c r="V224" s="77"/>
      <c r="W224" s="77"/>
    </row>
    <row r="225" spans="1:24" s="76" customFormat="1" ht="12.75">
      <c r="A225" s="76" t="s">
        <v>200</v>
      </c>
      <c r="B225" s="76" t="s">
        <v>12</v>
      </c>
      <c r="C225" s="76" t="s">
        <v>324</v>
      </c>
      <c r="D225" s="76" t="s">
        <v>13</v>
      </c>
      <c r="E225" s="76" t="s">
        <v>14</v>
      </c>
      <c r="F225" s="77" t="s">
        <v>212</v>
      </c>
      <c r="G225" s="78">
        <v>0.004200041664</v>
      </c>
      <c r="H225" s="78" t="s">
        <v>212</v>
      </c>
      <c r="I225" s="78">
        <v>0.00323080128</v>
      </c>
      <c r="J225" s="78" t="s">
        <v>212</v>
      </c>
      <c r="K225" s="78">
        <v>0.004018558382222222</v>
      </c>
      <c r="L225" s="78" t="s">
        <v>212</v>
      </c>
      <c r="N225" s="78" t="s">
        <v>212</v>
      </c>
      <c r="O225" s="78"/>
      <c r="P225" s="78" t="s">
        <v>212</v>
      </c>
      <c r="Q225" s="78"/>
      <c r="R225" s="78" t="s">
        <v>212</v>
      </c>
      <c r="S225" s="78">
        <f>AVERAGE(G225,I225,K225)</f>
        <v>0.0038164671087407404</v>
      </c>
      <c r="T225" s="78" t="s">
        <v>212</v>
      </c>
      <c r="U225" s="78"/>
      <c r="V225" s="77" t="s">
        <v>212</v>
      </c>
      <c r="W225" s="77"/>
      <c r="X225" s="76">
        <v>0.0038164671087407404</v>
      </c>
    </row>
    <row r="226" spans="1:24" s="76" customFormat="1" ht="12.75">
      <c r="A226" s="76" t="s">
        <v>200</v>
      </c>
      <c r="B226" s="76" t="s">
        <v>113</v>
      </c>
      <c r="C226" s="76" t="s">
        <v>324</v>
      </c>
      <c r="D226" s="76" t="s">
        <v>15</v>
      </c>
      <c r="E226" s="76" t="s">
        <v>14</v>
      </c>
      <c r="F226" s="77" t="s">
        <v>212</v>
      </c>
      <c r="G226" s="79">
        <v>6.363636363636363</v>
      </c>
      <c r="H226" s="79" t="s">
        <v>212</v>
      </c>
      <c r="I226" s="79">
        <v>8.076923076923075</v>
      </c>
      <c r="J226" s="79" t="s">
        <v>212</v>
      </c>
      <c r="K226" s="79">
        <v>7.777777777777777</v>
      </c>
      <c r="L226" s="77" t="s">
        <v>212</v>
      </c>
      <c r="N226" s="77" t="s">
        <v>212</v>
      </c>
      <c r="O226" s="77"/>
      <c r="P226" s="77" t="s">
        <v>212</v>
      </c>
      <c r="Q226" s="77"/>
      <c r="R226" s="77" t="s">
        <v>212</v>
      </c>
      <c r="S226" s="79">
        <f>AVERAGE(G226,I226,K226)</f>
        <v>7.406112406112405</v>
      </c>
      <c r="T226" s="77" t="s">
        <v>212</v>
      </c>
      <c r="U226" s="77"/>
      <c r="V226" s="77" t="s">
        <v>212</v>
      </c>
      <c r="W226" s="77"/>
      <c r="X226" s="76">
        <v>7.406112406112405</v>
      </c>
    </row>
    <row r="227" spans="1:24" s="76" customFormat="1" ht="12.75">
      <c r="A227" s="76" t="s">
        <v>200</v>
      </c>
      <c r="B227" s="76" t="s">
        <v>356</v>
      </c>
      <c r="C227" s="76" t="s">
        <v>324</v>
      </c>
      <c r="D227" s="76" t="s">
        <v>15</v>
      </c>
      <c r="E227" s="76" t="s">
        <v>14</v>
      </c>
      <c r="F227" s="77" t="s">
        <v>212</v>
      </c>
      <c r="G227" s="79">
        <v>1.2727272727272727</v>
      </c>
      <c r="H227" s="79" t="s">
        <v>212</v>
      </c>
      <c r="I227" s="79">
        <v>0</v>
      </c>
      <c r="J227" s="79" t="s">
        <v>212</v>
      </c>
      <c r="K227" s="79">
        <v>0</v>
      </c>
      <c r="L227" s="77" t="s">
        <v>212</v>
      </c>
      <c r="N227" s="77" t="s">
        <v>212</v>
      </c>
      <c r="O227" s="77"/>
      <c r="P227" s="77" t="s">
        <v>212</v>
      </c>
      <c r="Q227" s="77"/>
      <c r="R227" s="77" t="s">
        <v>212</v>
      </c>
      <c r="S227" s="79">
        <f>AVERAGE(G227,I227,K227)</f>
        <v>0.42424242424242425</v>
      </c>
      <c r="T227" s="77" t="s">
        <v>212</v>
      </c>
      <c r="U227" s="77"/>
      <c r="V227" s="77" t="s">
        <v>212</v>
      </c>
      <c r="W227" s="77"/>
      <c r="X227" s="76">
        <v>0.42424242424242425</v>
      </c>
    </row>
    <row r="228" spans="1:24" s="76" customFormat="1" ht="12.75">
      <c r="A228" s="76" t="s">
        <v>200</v>
      </c>
      <c r="B228" s="76" t="s">
        <v>49</v>
      </c>
      <c r="C228" s="80" t="s">
        <v>324</v>
      </c>
      <c r="D228" s="76" t="s">
        <v>15</v>
      </c>
      <c r="E228" s="76" t="s">
        <v>14</v>
      </c>
      <c r="F228" s="77" t="s">
        <v>212</v>
      </c>
      <c r="G228" s="79">
        <v>1.931978689607838</v>
      </c>
      <c r="H228" s="79" t="s">
        <v>212</v>
      </c>
      <c r="I228" s="79">
        <v>2.8293770750174</v>
      </c>
      <c r="J228" s="79" t="s">
        <v>212</v>
      </c>
      <c r="K228" s="79">
        <v>0</v>
      </c>
      <c r="L228" s="77" t="s">
        <v>212</v>
      </c>
      <c r="N228" s="77" t="s">
        <v>212</v>
      </c>
      <c r="O228" s="77"/>
      <c r="P228" s="77" t="s">
        <v>212</v>
      </c>
      <c r="Q228" s="77"/>
      <c r="R228" s="77" t="s">
        <v>212</v>
      </c>
      <c r="S228" s="79">
        <f>AVERAGE(G228,I228,K228)</f>
        <v>1.5871185882084127</v>
      </c>
      <c r="T228" s="77" t="s">
        <v>212</v>
      </c>
      <c r="U228" s="77"/>
      <c r="V228" s="77" t="s">
        <v>212</v>
      </c>
      <c r="W228" s="77"/>
      <c r="X228" s="76">
        <v>1.5871185882084127</v>
      </c>
    </row>
    <row r="229" spans="1:24" s="76" customFormat="1" ht="12.75">
      <c r="A229" s="76" t="s">
        <v>200</v>
      </c>
      <c r="B229" s="76" t="s">
        <v>155</v>
      </c>
      <c r="D229" s="76" t="s">
        <v>15</v>
      </c>
      <c r="E229" s="76" t="s">
        <v>14</v>
      </c>
      <c r="F229" s="77" t="s">
        <v>97</v>
      </c>
      <c r="G229" s="79">
        <v>0.27084855090848353</v>
      </c>
      <c r="H229" s="79" t="s">
        <v>212</v>
      </c>
      <c r="I229" s="79">
        <v>0.17188465730730684</v>
      </c>
      <c r="J229" s="79" t="s">
        <v>97</v>
      </c>
      <c r="K229" s="79">
        <v>0.33103711777703543</v>
      </c>
      <c r="L229" s="77" t="s">
        <v>212</v>
      </c>
      <c r="N229" s="77" t="s">
        <v>212</v>
      </c>
      <c r="O229" s="77"/>
      <c r="P229" s="77" t="s">
        <v>212</v>
      </c>
      <c r="Q229" s="77"/>
      <c r="R229" s="77" t="s">
        <v>212</v>
      </c>
      <c r="S229" s="79">
        <f>AVERAGE(G229,I229,K229)</f>
        <v>0.2579234419976086</v>
      </c>
      <c r="T229" s="77" t="s">
        <v>212</v>
      </c>
      <c r="U229" s="77"/>
      <c r="V229" s="77" t="s">
        <v>212</v>
      </c>
      <c r="W229" s="77"/>
      <c r="X229" s="76">
        <v>0.2579234419976086</v>
      </c>
    </row>
    <row r="230" spans="6:23" s="76" customFormat="1" ht="12.75">
      <c r="F230" s="77"/>
      <c r="G230" s="79"/>
      <c r="H230" s="79"/>
      <c r="I230" s="79"/>
      <c r="J230" s="79"/>
      <c r="K230" s="79"/>
      <c r="L230" s="77"/>
      <c r="M230" s="77"/>
      <c r="N230" s="77"/>
      <c r="O230" s="77"/>
      <c r="P230" s="77"/>
      <c r="Q230" s="77"/>
      <c r="R230" s="77"/>
      <c r="S230" s="77"/>
      <c r="T230" s="77"/>
      <c r="U230" s="77"/>
      <c r="V230" s="77"/>
      <c r="W230" s="77"/>
    </row>
    <row r="231" spans="1:57" s="80" customFormat="1" ht="12.75">
      <c r="A231" s="80" t="s">
        <v>200</v>
      </c>
      <c r="B231" s="80" t="s">
        <v>217</v>
      </c>
      <c r="C231" s="80" t="s">
        <v>51</v>
      </c>
      <c r="D231" s="80" t="s">
        <v>17</v>
      </c>
      <c r="G231" s="81">
        <v>99.99991</v>
      </c>
      <c r="H231" s="81"/>
      <c r="I231" s="81">
        <v>99.99993</v>
      </c>
      <c r="J231" s="81"/>
      <c r="K231" s="81">
        <v>99.99992</v>
      </c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  <c r="AA231" s="81"/>
      <c r="AB231" s="81"/>
      <c r="AC231" s="81"/>
      <c r="AD231" s="81"/>
      <c r="AE231" s="81"/>
      <c r="AF231" s="81"/>
      <c r="AG231" s="81"/>
      <c r="AH231" s="81"/>
      <c r="AI231" s="81"/>
      <c r="AJ231" s="81"/>
      <c r="AK231" s="81"/>
      <c r="AL231" s="81"/>
      <c r="AM231" s="81"/>
      <c r="AN231" s="81"/>
      <c r="AO231" s="81"/>
      <c r="AP231" s="81"/>
      <c r="AQ231" s="81"/>
      <c r="AR231" s="81"/>
      <c r="AS231" s="81"/>
      <c r="AT231" s="81"/>
      <c r="AU231" s="81"/>
      <c r="AV231" s="81"/>
      <c r="AW231" s="81"/>
      <c r="AX231" s="81"/>
      <c r="AY231" s="81"/>
      <c r="AZ231" s="81"/>
      <c r="BA231" s="81"/>
      <c r="BB231" s="81"/>
      <c r="BC231" s="81"/>
      <c r="BD231" s="81"/>
      <c r="BE231" s="81"/>
    </row>
    <row r="232" spans="1:57" s="80" customFormat="1" ht="12.75">
      <c r="A232" s="80" t="s">
        <v>200</v>
      </c>
      <c r="B232" s="80" t="s">
        <v>218</v>
      </c>
      <c r="C232" s="80" t="s">
        <v>51</v>
      </c>
      <c r="D232" s="80" t="s">
        <v>17</v>
      </c>
      <c r="G232" s="81">
        <v>99.99982</v>
      </c>
      <c r="H232" s="81"/>
      <c r="I232" s="81">
        <v>99.99986</v>
      </c>
      <c r="J232" s="81"/>
      <c r="K232" s="81">
        <v>99.99972</v>
      </c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  <c r="AA232" s="81"/>
      <c r="AB232" s="81"/>
      <c r="AC232" s="81"/>
      <c r="AD232" s="81"/>
      <c r="AE232" s="81"/>
      <c r="AF232" s="81"/>
      <c r="AG232" s="81"/>
      <c r="AH232" s="81"/>
      <c r="AI232" s="81"/>
      <c r="AJ232" s="81"/>
      <c r="AK232" s="81"/>
      <c r="AL232" s="81"/>
      <c r="AM232" s="81"/>
      <c r="AN232" s="81"/>
      <c r="AO232" s="81"/>
      <c r="AP232" s="81"/>
      <c r="AQ232" s="81"/>
      <c r="AR232" s="81"/>
      <c r="AS232" s="81"/>
      <c r="AT232" s="81"/>
      <c r="AU232" s="81"/>
      <c r="AV232" s="81"/>
      <c r="AW232" s="81"/>
      <c r="AX232" s="81"/>
      <c r="AY232" s="81"/>
      <c r="AZ232" s="81"/>
      <c r="BA232" s="81"/>
      <c r="BB232" s="81"/>
      <c r="BC232" s="81"/>
      <c r="BD232" s="81"/>
      <c r="BE232" s="81"/>
    </row>
    <row r="233" spans="1:57" s="80" customFormat="1" ht="12.75">
      <c r="A233" s="80" t="s">
        <v>200</v>
      </c>
      <c r="B233" s="80" t="s">
        <v>148</v>
      </c>
      <c r="C233" s="80" t="s">
        <v>51</v>
      </c>
      <c r="D233" s="80" t="s">
        <v>17</v>
      </c>
      <c r="G233" s="81">
        <v>99.99996</v>
      </c>
      <c r="H233" s="81"/>
      <c r="I233" s="81">
        <v>99.99997</v>
      </c>
      <c r="J233" s="81"/>
      <c r="K233" s="81">
        <v>99.99994</v>
      </c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  <c r="AA233" s="81"/>
      <c r="AB233" s="81"/>
      <c r="AC233" s="81"/>
      <c r="AD233" s="81"/>
      <c r="AE233" s="81"/>
      <c r="AF233" s="81"/>
      <c r="AG233" s="81"/>
      <c r="AH233" s="81"/>
      <c r="AI233" s="81"/>
      <c r="AJ233" s="81"/>
      <c r="AK233" s="81"/>
      <c r="AL233" s="81"/>
      <c r="AM233" s="81"/>
      <c r="AN233" s="81"/>
      <c r="AO233" s="81"/>
      <c r="AP233" s="81"/>
      <c r="AQ233" s="81"/>
      <c r="AR233" s="81"/>
      <c r="AS233" s="81"/>
      <c r="AT233" s="81"/>
      <c r="AU233" s="81"/>
      <c r="AV233" s="81"/>
      <c r="AW233" s="81"/>
      <c r="AX233" s="81"/>
      <c r="AY233" s="81"/>
      <c r="AZ233" s="81"/>
      <c r="BA233" s="81"/>
      <c r="BB233" s="81"/>
      <c r="BC233" s="81"/>
      <c r="BD233" s="81"/>
      <c r="BE233" s="81"/>
    </row>
    <row r="234" spans="1:57" s="80" customFormat="1" ht="12.75">
      <c r="A234" s="80" t="s">
        <v>200</v>
      </c>
      <c r="B234" s="80" t="s">
        <v>151</v>
      </c>
      <c r="C234" s="80" t="s">
        <v>51</v>
      </c>
      <c r="D234" s="80" t="s">
        <v>17</v>
      </c>
      <c r="G234" s="81">
        <v>99.999967</v>
      </c>
      <c r="H234" s="81"/>
      <c r="I234" s="81">
        <v>99.999989</v>
      </c>
      <c r="J234" s="81"/>
      <c r="K234" s="81">
        <v>99.999942</v>
      </c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  <c r="AA234" s="81"/>
      <c r="AB234" s="81"/>
      <c r="AC234" s="81"/>
      <c r="AD234" s="81"/>
      <c r="AE234" s="81"/>
      <c r="AF234" s="81"/>
      <c r="AG234" s="81"/>
      <c r="AH234" s="81"/>
      <c r="AI234" s="81"/>
      <c r="AJ234" s="81"/>
      <c r="AK234" s="81"/>
      <c r="AL234" s="81"/>
      <c r="AM234" s="81"/>
      <c r="AN234" s="81"/>
      <c r="AO234" s="81"/>
      <c r="AP234" s="81"/>
      <c r="AQ234" s="81"/>
      <c r="AR234" s="81"/>
      <c r="AS234" s="81"/>
      <c r="AT234" s="81"/>
      <c r="AU234" s="81"/>
      <c r="AV234" s="81"/>
      <c r="AW234" s="81"/>
      <c r="AX234" s="81"/>
      <c r="AY234" s="81"/>
      <c r="AZ234" s="81"/>
      <c r="BA234" s="81"/>
      <c r="BB234" s="81"/>
      <c r="BC234" s="81"/>
      <c r="BD234" s="81"/>
      <c r="BE234" s="81"/>
    </row>
    <row r="235" spans="7:57" s="80" customFormat="1" ht="12.75"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  <c r="AA235" s="81"/>
      <c r="AB235" s="81"/>
      <c r="AC235" s="81"/>
      <c r="AD235" s="81"/>
      <c r="AE235" s="81"/>
      <c r="AF235" s="81"/>
      <c r="AG235" s="81"/>
      <c r="AH235" s="81"/>
      <c r="AI235" s="81"/>
      <c r="AJ235" s="81"/>
      <c r="AK235" s="81"/>
      <c r="AL235" s="81"/>
      <c r="AM235" s="81"/>
      <c r="AN235" s="81"/>
      <c r="AO235" s="81"/>
      <c r="AP235" s="81"/>
      <c r="AQ235" s="81"/>
      <c r="AR235" s="81"/>
      <c r="AS235" s="81"/>
      <c r="AT235" s="81"/>
      <c r="AU235" s="81"/>
      <c r="AV235" s="81"/>
      <c r="AW235" s="81"/>
      <c r="AX235" s="81"/>
      <c r="AY235" s="81"/>
      <c r="AZ235" s="81"/>
      <c r="BA235" s="81"/>
      <c r="BB235" s="81"/>
      <c r="BC235" s="81"/>
      <c r="BD235" s="81"/>
      <c r="BE235" s="81"/>
    </row>
    <row r="236" spans="2:23" s="76" customFormat="1" ht="12.75">
      <c r="B236" s="76" t="s">
        <v>84</v>
      </c>
      <c r="C236" s="76" t="s">
        <v>215</v>
      </c>
      <c r="D236" s="80" t="s">
        <v>324</v>
      </c>
      <c r="F236" s="77"/>
      <c r="G236" s="79"/>
      <c r="H236" s="79"/>
      <c r="I236" s="79"/>
      <c r="J236" s="79"/>
      <c r="K236" s="79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  <c r="W236" s="77"/>
    </row>
    <row r="237" spans="2:63" s="76" customFormat="1" ht="12.75">
      <c r="B237" s="5" t="s">
        <v>77</v>
      </c>
      <c r="C237" s="5"/>
      <c r="D237" s="5" t="s">
        <v>16</v>
      </c>
      <c r="G237" s="79">
        <v>24400</v>
      </c>
      <c r="H237" s="79"/>
      <c r="I237" s="79">
        <v>24000</v>
      </c>
      <c r="J237" s="79"/>
      <c r="K237" s="79">
        <v>25800</v>
      </c>
      <c r="L237" s="79"/>
      <c r="M237" s="79"/>
      <c r="N237" s="79"/>
      <c r="O237" s="79"/>
      <c r="P237" s="79"/>
      <c r="Q237" s="79"/>
      <c r="R237" s="79"/>
      <c r="S237" s="79"/>
      <c r="T237" s="79"/>
      <c r="U237" s="79"/>
      <c r="V237" s="79"/>
      <c r="W237" s="79"/>
      <c r="X237" s="79"/>
      <c r="Y237" s="79"/>
      <c r="Z237" s="79"/>
      <c r="AA237" s="79"/>
      <c r="AB237" s="79"/>
      <c r="AC237" s="79"/>
      <c r="AD237" s="79"/>
      <c r="AE237" s="79"/>
      <c r="AF237" s="79"/>
      <c r="AG237" s="79"/>
      <c r="AH237" s="79"/>
      <c r="AI237" s="79"/>
      <c r="AJ237" s="79"/>
      <c r="AK237" s="79"/>
      <c r="AL237" s="79"/>
      <c r="AM237" s="79"/>
      <c r="AN237" s="79"/>
      <c r="AO237" s="79"/>
      <c r="AP237" s="79"/>
      <c r="AQ237" s="79"/>
      <c r="AR237" s="79"/>
      <c r="AS237" s="79"/>
      <c r="AT237" s="79"/>
      <c r="AU237" s="79"/>
      <c r="AV237" s="79"/>
      <c r="AW237" s="79"/>
      <c r="AX237" s="79"/>
      <c r="AY237" s="79"/>
      <c r="AZ237" s="79"/>
      <c r="BA237" s="79"/>
      <c r="BB237" s="79"/>
      <c r="BC237" s="79"/>
      <c r="BD237" s="79"/>
      <c r="BE237" s="79"/>
      <c r="BF237" s="79"/>
      <c r="BG237" s="79"/>
      <c r="BH237" s="79"/>
      <c r="BI237" s="79"/>
      <c r="BJ237" s="79"/>
      <c r="BK237" s="79"/>
    </row>
    <row r="238" spans="2:63" s="76" customFormat="1" ht="12.75">
      <c r="B238" s="5" t="s">
        <v>81</v>
      </c>
      <c r="C238" s="5"/>
      <c r="D238" s="5" t="s">
        <v>17</v>
      </c>
      <c r="G238" s="79">
        <v>10</v>
      </c>
      <c r="H238" s="79"/>
      <c r="I238" s="79">
        <v>10.6</v>
      </c>
      <c r="J238" s="79"/>
      <c r="K238" s="79">
        <v>10.2</v>
      </c>
      <c r="L238" s="79"/>
      <c r="M238" s="79"/>
      <c r="N238" s="79"/>
      <c r="O238" s="79"/>
      <c r="P238" s="79"/>
      <c r="Q238" s="79"/>
      <c r="R238" s="79"/>
      <c r="S238" s="79"/>
      <c r="T238" s="79"/>
      <c r="U238" s="79"/>
      <c r="V238" s="79"/>
      <c r="W238" s="79"/>
      <c r="X238" s="79"/>
      <c r="Y238" s="79"/>
      <c r="Z238" s="79"/>
      <c r="AA238" s="79"/>
      <c r="AB238" s="79"/>
      <c r="AC238" s="79"/>
      <c r="AD238" s="79"/>
      <c r="AE238" s="79"/>
      <c r="AF238" s="79"/>
      <c r="AG238" s="79"/>
      <c r="AH238" s="79"/>
      <c r="AI238" s="79"/>
      <c r="AJ238" s="79"/>
      <c r="AK238" s="79"/>
      <c r="AL238" s="79"/>
      <c r="AM238" s="79"/>
      <c r="AN238" s="79"/>
      <c r="AO238" s="79"/>
      <c r="AP238" s="79"/>
      <c r="AQ238" s="79"/>
      <c r="AR238" s="79"/>
      <c r="AS238" s="79"/>
      <c r="AT238" s="79"/>
      <c r="AU238" s="79"/>
      <c r="AV238" s="79"/>
      <c r="AW238" s="79"/>
      <c r="AX238" s="79"/>
      <c r="AY238" s="79"/>
      <c r="AZ238" s="79"/>
      <c r="BA238" s="79"/>
      <c r="BB238" s="79"/>
      <c r="BC238" s="79"/>
      <c r="BD238" s="79"/>
      <c r="BE238" s="79"/>
      <c r="BF238" s="79"/>
      <c r="BG238" s="79"/>
      <c r="BH238" s="79"/>
      <c r="BI238" s="79"/>
      <c r="BJ238" s="79"/>
      <c r="BK238" s="79"/>
    </row>
    <row r="239" spans="1:63" s="76" customFormat="1" ht="12.75">
      <c r="A239" s="76" t="s">
        <v>200</v>
      </c>
      <c r="B239" s="5" t="s">
        <v>82</v>
      </c>
      <c r="C239" s="5"/>
      <c r="D239" s="5" t="s">
        <v>17</v>
      </c>
      <c r="G239" s="79">
        <v>8.2</v>
      </c>
      <c r="H239" s="79"/>
      <c r="I239" s="79">
        <v>8.6</v>
      </c>
      <c r="J239" s="79"/>
      <c r="K239" s="79">
        <v>7.2</v>
      </c>
      <c r="L239" s="79"/>
      <c r="M239" s="79"/>
      <c r="N239" s="79"/>
      <c r="O239" s="79"/>
      <c r="P239" s="79"/>
      <c r="Q239" s="79"/>
      <c r="R239" s="79"/>
      <c r="S239" s="79"/>
      <c r="T239" s="79"/>
      <c r="U239" s="79"/>
      <c r="V239" s="79"/>
      <c r="W239" s="79"/>
      <c r="X239" s="79"/>
      <c r="Y239" s="79"/>
      <c r="Z239" s="79"/>
      <c r="AA239" s="79"/>
      <c r="AB239" s="79"/>
      <c r="AC239" s="79"/>
      <c r="AD239" s="79"/>
      <c r="AE239" s="79"/>
      <c r="AF239" s="79"/>
      <c r="AG239" s="79"/>
      <c r="AH239" s="79"/>
      <c r="AI239" s="79"/>
      <c r="AJ239" s="79"/>
      <c r="AK239" s="79"/>
      <c r="AL239" s="79"/>
      <c r="AM239" s="79"/>
      <c r="AN239" s="79"/>
      <c r="AO239" s="79"/>
      <c r="AP239" s="79"/>
      <c r="AQ239" s="79"/>
      <c r="AR239" s="79"/>
      <c r="AS239" s="79"/>
      <c r="AT239" s="79"/>
      <c r="AU239" s="79"/>
      <c r="AV239" s="79"/>
      <c r="AW239" s="79"/>
      <c r="AX239" s="79"/>
      <c r="AY239" s="79"/>
      <c r="AZ239" s="79"/>
      <c r="BA239" s="79"/>
      <c r="BB239" s="79"/>
      <c r="BC239" s="79"/>
      <c r="BD239" s="79"/>
      <c r="BE239" s="79"/>
      <c r="BF239" s="79"/>
      <c r="BG239" s="79"/>
      <c r="BH239" s="79"/>
      <c r="BI239" s="79"/>
      <c r="BJ239" s="79"/>
      <c r="BK239" s="79"/>
    </row>
    <row r="240" spans="2:63" s="76" customFormat="1" ht="12.75">
      <c r="B240" s="5" t="s">
        <v>76</v>
      </c>
      <c r="C240" s="5"/>
      <c r="D240" s="5" t="s">
        <v>18</v>
      </c>
      <c r="G240" s="79">
        <v>104</v>
      </c>
      <c r="H240" s="79"/>
      <c r="I240" s="79">
        <v>102</v>
      </c>
      <c r="J240" s="79"/>
      <c r="K240" s="79">
        <v>105</v>
      </c>
      <c r="L240" s="79"/>
      <c r="M240" s="79"/>
      <c r="N240" s="79"/>
      <c r="O240" s="79"/>
      <c r="P240" s="79"/>
      <c r="Q240" s="79"/>
      <c r="R240" s="79"/>
      <c r="S240" s="79"/>
      <c r="T240" s="79"/>
      <c r="U240" s="79"/>
      <c r="V240" s="79"/>
      <c r="W240" s="79"/>
      <c r="X240" s="79"/>
      <c r="Y240" s="79"/>
      <c r="Z240" s="79"/>
      <c r="AA240" s="79"/>
      <c r="AB240" s="79"/>
      <c r="AC240" s="79"/>
      <c r="AD240" s="79"/>
      <c r="AE240" s="79"/>
      <c r="AF240" s="79"/>
      <c r="AG240" s="79"/>
      <c r="AH240" s="79"/>
      <c r="AI240" s="79"/>
      <c r="AJ240" s="79"/>
      <c r="AK240" s="79"/>
      <c r="AL240" s="79"/>
      <c r="AM240" s="79"/>
      <c r="AN240" s="79"/>
      <c r="AO240" s="79"/>
      <c r="AP240" s="79"/>
      <c r="AQ240" s="79"/>
      <c r="AR240" s="79"/>
      <c r="AS240" s="79"/>
      <c r="AT240" s="79"/>
      <c r="AU240" s="79"/>
      <c r="AV240" s="79"/>
      <c r="AW240" s="79"/>
      <c r="AX240" s="79"/>
      <c r="AY240" s="79"/>
      <c r="AZ240" s="79"/>
      <c r="BA240" s="79"/>
      <c r="BB240" s="79"/>
      <c r="BC240" s="79"/>
      <c r="BD240" s="79"/>
      <c r="BE240" s="79"/>
      <c r="BF240" s="79"/>
      <c r="BG240" s="79"/>
      <c r="BH240" s="79"/>
      <c r="BI240" s="79"/>
      <c r="BJ240" s="79"/>
      <c r="BK240" s="79"/>
    </row>
    <row r="242" spans="2:19" ht="12.75">
      <c r="B242" s="3" t="s">
        <v>201</v>
      </c>
      <c r="G242" s="46" t="s">
        <v>209</v>
      </c>
      <c r="H242" s="46"/>
      <c r="I242" s="46" t="s">
        <v>210</v>
      </c>
      <c r="J242" s="46"/>
      <c r="K242" s="46" t="s">
        <v>211</v>
      </c>
      <c r="L242" s="46"/>
      <c r="M242" s="46" t="s">
        <v>232</v>
      </c>
      <c r="O242" s="46" t="s">
        <v>286</v>
      </c>
      <c r="P242" s="46"/>
      <c r="Q242" s="46" t="s">
        <v>287</v>
      </c>
      <c r="R242" s="46"/>
      <c r="S242" s="46" t="s">
        <v>46</v>
      </c>
    </row>
    <row r="244" spans="1:24" s="76" customFormat="1" ht="12.75">
      <c r="A244" s="76" t="s">
        <v>201</v>
      </c>
      <c r="B244" s="76" t="s">
        <v>12</v>
      </c>
      <c r="C244" s="80" t="s">
        <v>324</v>
      </c>
      <c r="D244" s="76" t="s">
        <v>13</v>
      </c>
      <c r="E244" s="76" t="s">
        <v>14</v>
      </c>
      <c r="F244" s="77" t="s">
        <v>212</v>
      </c>
      <c r="G244" s="78">
        <v>0.000233335648</v>
      </c>
      <c r="H244" s="78" t="s">
        <v>212</v>
      </c>
      <c r="I244" s="78">
        <v>0.00116667824</v>
      </c>
      <c r="J244" s="78" t="s">
        <v>212</v>
      </c>
      <c r="K244" s="78">
        <v>0.0011159530991304346</v>
      </c>
      <c r="L244" s="78" t="s">
        <v>212</v>
      </c>
      <c r="M244" s="78">
        <v>0.0013788015563636362</v>
      </c>
      <c r="N244" s="78" t="s">
        <v>212</v>
      </c>
      <c r="P244" s="78" t="s">
        <v>212</v>
      </c>
      <c r="Q244" s="78"/>
      <c r="R244" s="78" t="s">
        <v>212</v>
      </c>
      <c r="S244" s="78">
        <f>AVERAGE(G244,I244,K244,M244)</f>
        <v>0.0009736921358735177</v>
      </c>
      <c r="T244" s="78" t="s">
        <v>212</v>
      </c>
      <c r="U244" s="78"/>
      <c r="V244" s="77" t="s">
        <v>212</v>
      </c>
      <c r="W244" s="77"/>
      <c r="X244" s="76">
        <v>0.0009736921358735176</v>
      </c>
    </row>
    <row r="245" spans="1:24" s="76" customFormat="1" ht="12.75">
      <c r="A245" s="76" t="s">
        <v>201</v>
      </c>
      <c r="B245" s="76" t="s">
        <v>113</v>
      </c>
      <c r="C245" s="80" t="s">
        <v>324</v>
      </c>
      <c r="D245" s="76" t="s">
        <v>15</v>
      </c>
      <c r="E245" s="76" t="s">
        <v>14</v>
      </c>
      <c r="F245" s="77" t="s">
        <v>212</v>
      </c>
      <c r="G245" s="79"/>
      <c r="H245" s="79" t="s">
        <v>212</v>
      </c>
      <c r="I245" s="79">
        <v>1.1666666666666667</v>
      </c>
      <c r="J245" s="79" t="s">
        <v>212</v>
      </c>
      <c r="K245" s="79">
        <v>1.1159420289855</v>
      </c>
      <c r="L245" s="77" t="s">
        <v>212</v>
      </c>
      <c r="M245" s="79">
        <v>1.1666666666666667</v>
      </c>
      <c r="N245" s="77" t="s">
        <v>212</v>
      </c>
      <c r="P245" s="77" t="s">
        <v>212</v>
      </c>
      <c r="Q245" s="77"/>
      <c r="R245" s="77" t="s">
        <v>212</v>
      </c>
      <c r="S245" s="79">
        <f>AVERAGE(G245,I245,K245,M245)</f>
        <v>1.149758454106278</v>
      </c>
      <c r="T245" s="77" t="s">
        <v>212</v>
      </c>
      <c r="U245" s="77"/>
      <c r="V245" s="77" t="s">
        <v>212</v>
      </c>
      <c r="W245" s="77"/>
      <c r="X245" s="76">
        <v>1.149758454106278</v>
      </c>
    </row>
    <row r="246" spans="1:24" s="76" customFormat="1" ht="12.75">
      <c r="A246" s="76" t="s">
        <v>201</v>
      </c>
      <c r="B246" s="76" t="s">
        <v>356</v>
      </c>
      <c r="C246" s="80" t="s">
        <v>324</v>
      </c>
      <c r="D246" s="76" t="s">
        <v>15</v>
      </c>
      <c r="E246" s="76" t="s">
        <v>14</v>
      </c>
      <c r="F246" s="77" t="s">
        <v>212</v>
      </c>
      <c r="G246" s="79"/>
      <c r="H246" s="79" t="s">
        <v>212</v>
      </c>
      <c r="I246" s="79">
        <v>0</v>
      </c>
      <c r="J246" s="79" t="s">
        <v>212</v>
      </c>
      <c r="K246" s="79">
        <v>0.30434782608695654</v>
      </c>
      <c r="L246" s="77" t="s">
        <v>212</v>
      </c>
      <c r="M246" s="79">
        <v>0</v>
      </c>
      <c r="N246" s="77" t="s">
        <v>212</v>
      </c>
      <c r="P246" s="77" t="s">
        <v>212</v>
      </c>
      <c r="Q246" s="77"/>
      <c r="R246" s="77" t="s">
        <v>212</v>
      </c>
      <c r="S246" s="79">
        <f>AVERAGE(G246,I246,K246,M246)</f>
        <v>0.10144927536231885</v>
      </c>
      <c r="T246" s="77" t="s">
        <v>212</v>
      </c>
      <c r="U246" s="77"/>
      <c r="V246" s="77" t="s">
        <v>212</v>
      </c>
      <c r="W246" s="77"/>
      <c r="X246" s="76">
        <v>0.10144927536231885</v>
      </c>
    </row>
    <row r="247" spans="1:24" s="76" customFormat="1" ht="12.75">
      <c r="A247" s="76" t="s">
        <v>201</v>
      </c>
      <c r="B247" s="76" t="s">
        <v>49</v>
      </c>
      <c r="C247" s="80" t="s">
        <v>324</v>
      </c>
      <c r="D247" s="76" t="s">
        <v>15</v>
      </c>
      <c r="E247" s="76" t="s">
        <v>14</v>
      </c>
      <c r="F247" s="77" t="s">
        <v>212</v>
      </c>
      <c r="G247" s="79">
        <v>0.6811463328745584</v>
      </c>
      <c r="H247" s="79" t="s">
        <v>212</v>
      </c>
      <c r="I247" s="79">
        <v>6.935308116540957</v>
      </c>
      <c r="J247" s="79" t="s">
        <v>212</v>
      </c>
      <c r="K247" s="79">
        <v>8.055295762690427</v>
      </c>
      <c r="L247" s="77" t="s">
        <v>212</v>
      </c>
      <c r="M247" s="79">
        <v>16.595201564580147</v>
      </c>
      <c r="N247" s="77" t="s">
        <v>212</v>
      </c>
      <c r="P247" s="77" t="s">
        <v>212</v>
      </c>
      <c r="Q247" s="77"/>
      <c r="R247" s="77" t="s">
        <v>212</v>
      </c>
      <c r="S247" s="79">
        <f>AVERAGE(G247,I247,K247,M247)</f>
        <v>8.066737944171523</v>
      </c>
      <c r="T247" s="77" t="s">
        <v>212</v>
      </c>
      <c r="U247" s="77"/>
      <c r="V247" s="77" t="s">
        <v>212</v>
      </c>
      <c r="W247" s="77"/>
      <c r="X247" s="76">
        <v>8.066737944171523</v>
      </c>
    </row>
    <row r="248" spans="6:23" s="76" customFormat="1" ht="12.75">
      <c r="F248" s="77"/>
      <c r="G248" s="79"/>
      <c r="H248" s="79"/>
      <c r="I248" s="79"/>
      <c r="J248" s="79"/>
      <c r="K248" s="79"/>
      <c r="L248" s="77"/>
      <c r="M248" s="77"/>
      <c r="N248" s="77"/>
      <c r="O248" s="77"/>
      <c r="P248" s="77"/>
      <c r="Q248" s="77"/>
      <c r="R248" s="77"/>
      <c r="S248" s="77"/>
      <c r="T248" s="77"/>
      <c r="U248" s="77"/>
      <c r="V248" s="77"/>
      <c r="W248" s="77"/>
    </row>
    <row r="249" spans="2:23" s="76" customFormat="1" ht="12.75">
      <c r="B249" s="76" t="s">
        <v>84</v>
      </c>
      <c r="C249" s="76" t="s">
        <v>215</v>
      </c>
      <c r="D249" s="80" t="s">
        <v>324</v>
      </c>
      <c r="F249" s="77"/>
      <c r="G249" s="79"/>
      <c r="H249" s="79"/>
      <c r="I249" s="79"/>
      <c r="J249" s="79"/>
      <c r="K249" s="79"/>
      <c r="L249" s="77"/>
      <c r="M249" s="77"/>
      <c r="N249" s="77"/>
      <c r="O249" s="77"/>
      <c r="P249" s="77"/>
      <c r="Q249" s="77"/>
      <c r="R249" s="77"/>
      <c r="S249" s="77"/>
      <c r="T249" s="77"/>
      <c r="U249" s="77"/>
      <c r="V249" s="77"/>
      <c r="W249" s="77"/>
    </row>
    <row r="250" spans="2:63" s="76" customFormat="1" ht="12.75">
      <c r="B250" s="5" t="s">
        <v>77</v>
      </c>
      <c r="C250" s="5"/>
      <c r="D250" s="5" t="s">
        <v>16</v>
      </c>
      <c r="G250" s="79">
        <v>32800</v>
      </c>
      <c r="H250" s="79"/>
      <c r="I250" s="79">
        <v>30000</v>
      </c>
      <c r="J250" s="79"/>
      <c r="K250" s="79">
        <v>29300</v>
      </c>
      <c r="L250" s="79"/>
      <c r="M250" s="79">
        <v>30100</v>
      </c>
      <c r="N250" s="79"/>
      <c r="O250" s="79"/>
      <c r="P250" s="79"/>
      <c r="Q250" s="79"/>
      <c r="R250" s="79"/>
      <c r="S250" s="79"/>
      <c r="T250" s="79"/>
      <c r="U250" s="79"/>
      <c r="V250" s="79"/>
      <c r="W250" s="79"/>
      <c r="X250" s="79"/>
      <c r="Y250" s="79"/>
      <c r="Z250" s="79"/>
      <c r="AA250" s="79"/>
      <c r="AB250" s="79"/>
      <c r="AC250" s="79"/>
      <c r="AD250" s="79"/>
      <c r="AE250" s="79"/>
      <c r="AF250" s="79"/>
      <c r="AG250" s="79"/>
      <c r="AH250" s="79"/>
      <c r="AI250" s="79"/>
      <c r="AJ250" s="79"/>
      <c r="AK250" s="79"/>
      <c r="AL250" s="79"/>
      <c r="AM250" s="79"/>
      <c r="AN250" s="79"/>
      <c r="AO250" s="79"/>
      <c r="AP250" s="79"/>
      <c r="AQ250" s="79"/>
      <c r="AR250" s="79"/>
      <c r="AS250" s="79"/>
      <c r="AT250" s="79"/>
      <c r="AU250" s="79"/>
      <c r="AV250" s="79"/>
      <c r="AW250" s="79"/>
      <c r="AX250" s="79"/>
      <c r="AY250" s="79"/>
      <c r="AZ250" s="79"/>
      <c r="BA250" s="79"/>
      <c r="BB250" s="79"/>
      <c r="BC250" s="79"/>
      <c r="BD250" s="79"/>
      <c r="BE250" s="79"/>
      <c r="BF250" s="79"/>
      <c r="BG250" s="79"/>
      <c r="BH250" s="79"/>
      <c r="BI250" s="79"/>
      <c r="BJ250" s="79"/>
      <c r="BK250" s="79"/>
    </row>
    <row r="251" spans="2:63" s="76" customFormat="1" ht="12.75">
      <c r="B251" s="5" t="s">
        <v>81</v>
      </c>
      <c r="C251" s="5"/>
      <c r="D251" s="5" t="s">
        <v>17</v>
      </c>
      <c r="G251" s="79">
        <v>9</v>
      </c>
      <c r="H251" s="79"/>
      <c r="I251" s="79">
        <v>7.8</v>
      </c>
      <c r="J251" s="79"/>
      <c r="K251" s="79">
        <v>7.2</v>
      </c>
      <c r="L251" s="79"/>
      <c r="M251" s="79">
        <v>7.8</v>
      </c>
      <c r="N251" s="79"/>
      <c r="O251" s="79"/>
      <c r="P251" s="79"/>
      <c r="Q251" s="79"/>
      <c r="R251" s="79"/>
      <c r="S251" s="79"/>
      <c r="T251" s="79"/>
      <c r="U251" s="79"/>
      <c r="V251" s="79"/>
      <c r="W251" s="79"/>
      <c r="X251" s="79"/>
      <c r="Y251" s="79"/>
      <c r="Z251" s="79"/>
      <c r="AA251" s="79"/>
      <c r="AB251" s="79"/>
      <c r="AC251" s="79"/>
      <c r="AD251" s="79"/>
      <c r="AE251" s="79"/>
      <c r="AF251" s="79"/>
      <c r="AG251" s="79"/>
      <c r="AH251" s="79"/>
      <c r="AI251" s="79"/>
      <c r="AJ251" s="79"/>
      <c r="AK251" s="79"/>
      <c r="AL251" s="79"/>
      <c r="AM251" s="79"/>
      <c r="AN251" s="79"/>
      <c r="AO251" s="79"/>
      <c r="AP251" s="79"/>
      <c r="AQ251" s="79"/>
      <c r="AR251" s="79"/>
      <c r="AS251" s="79"/>
      <c r="AT251" s="79"/>
      <c r="AU251" s="79"/>
      <c r="AV251" s="79"/>
      <c r="AW251" s="79"/>
      <c r="AX251" s="79"/>
      <c r="AY251" s="79"/>
      <c r="AZ251" s="79"/>
      <c r="BA251" s="79"/>
      <c r="BB251" s="79"/>
      <c r="BC251" s="79"/>
      <c r="BD251" s="79"/>
      <c r="BE251" s="79"/>
      <c r="BF251" s="79"/>
      <c r="BG251" s="79"/>
      <c r="BH251" s="79"/>
      <c r="BI251" s="79"/>
      <c r="BJ251" s="79"/>
      <c r="BK251" s="79"/>
    </row>
    <row r="252" spans="1:63" s="76" customFormat="1" ht="12.75">
      <c r="A252" s="76" t="s">
        <v>201</v>
      </c>
      <c r="B252" s="5" t="s">
        <v>82</v>
      </c>
      <c r="C252" s="5"/>
      <c r="D252" s="5" t="s">
        <v>17</v>
      </c>
      <c r="G252" s="79">
        <v>8.3</v>
      </c>
      <c r="H252" s="79"/>
      <c r="I252" s="79">
        <v>8.8</v>
      </c>
      <c r="J252" s="79"/>
      <c r="K252" s="79">
        <v>7.8</v>
      </c>
      <c r="L252" s="79"/>
      <c r="M252" s="79">
        <v>6.4</v>
      </c>
      <c r="N252" s="79"/>
      <c r="O252" s="79"/>
      <c r="P252" s="79"/>
      <c r="Q252" s="79"/>
      <c r="R252" s="79"/>
      <c r="S252" s="79"/>
      <c r="T252" s="79"/>
      <c r="U252" s="79"/>
      <c r="V252" s="79"/>
      <c r="W252" s="79"/>
      <c r="X252" s="79"/>
      <c r="Y252" s="79"/>
      <c r="Z252" s="79"/>
      <c r="AA252" s="79"/>
      <c r="AB252" s="79"/>
      <c r="AC252" s="79"/>
      <c r="AD252" s="79"/>
      <c r="AE252" s="79"/>
      <c r="AF252" s="79"/>
      <c r="AG252" s="79"/>
      <c r="AH252" s="79"/>
      <c r="AI252" s="79"/>
      <c r="AJ252" s="79"/>
      <c r="AK252" s="79"/>
      <c r="AL252" s="79"/>
      <c r="AM252" s="79"/>
      <c r="AN252" s="79"/>
      <c r="AO252" s="79"/>
      <c r="AP252" s="79"/>
      <c r="AQ252" s="79"/>
      <c r="AR252" s="79"/>
      <c r="AS252" s="79"/>
      <c r="AT252" s="79"/>
      <c r="AU252" s="79"/>
      <c r="AV252" s="79"/>
      <c r="AW252" s="79"/>
      <c r="AX252" s="79"/>
      <c r="AY252" s="79"/>
      <c r="AZ252" s="79"/>
      <c r="BA252" s="79"/>
      <c r="BB252" s="79"/>
      <c r="BC252" s="79"/>
      <c r="BD252" s="79"/>
      <c r="BE252" s="79"/>
      <c r="BF252" s="79"/>
      <c r="BG252" s="79"/>
      <c r="BH252" s="79"/>
      <c r="BI252" s="79"/>
      <c r="BJ252" s="79"/>
      <c r="BK252" s="79"/>
    </row>
    <row r="253" spans="2:63" s="76" customFormat="1" ht="12.75">
      <c r="B253" s="5" t="s">
        <v>76</v>
      </c>
      <c r="C253" s="5"/>
      <c r="D253" s="5" t="s">
        <v>18</v>
      </c>
      <c r="G253" s="79">
        <v>109</v>
      </c>
      <c r="H253" s="79"/>
      <c r="I253" s="79">
        <v>110</v>
      </c>
      <c r="J253" s="79"/>
      <c r="K253" s="79">
        <v>108</v>
      </c>
      <c r="L253" s="79"/>
      <c r="M253" s="79">
        <v>100</v>
      </c>
      <c r="N253" s="79"/>
      <c r="O253" s="79"/>
      <c r="P253" s="79"/>
      <c r="Q253" s="79"/>
      <c r="R253" s="79"/>
      <c r="S253" s="79"/>
      <c r="T253" s="79"/>
      <c r="U253" s="79"/>
      <c r="V253" s="79"/>
      <c r="W253" s="79"/>
      <c r="X253" s="79"/>
      <c r="Y253" s="79"/>
      <c r="Z253" s="79"/>
      <c r="AA253" s="79"/>
      <c r="AB253" s="79"/>
      <c r="AC253" s="79"/>
      <c r="AD253" s="79"/>
      <c r="AE253" s="79"/>
      <c r="AF253" s="79"/>
      <c r="AG253" s="79"/>
      <c r="AH253" s="79"/>
      <c r="AI253" s="79"/>
      <c r="AJ253" s="79"/>
      <c r="AK253" s="79"/>
      <c r="AL253" s="79"/>
      <c r="AM253" s="79"/>
      <c r="AN253" s="79"/>
      <c r="AO253" s="79"/>
      <c r="AP253" s="79"/>
      <c r="AQ253" s="79"/>
      <c r="AR253" s="79"/>
      <c r="AS253" s="79"/>
      <c r="AT253" s="79"/>
      <c r="AU253" s="79"/>
      <c r="AV253" s="79"/>
      <c r="AW253" s="79"/>
      <c r="AX253" s="79"/>
      <c r="AY253" s="79"/>
      <c r="AZ253" s="79"/>
      <c r="BA253" s="79"/>
      <c r="BB253" s="79"/>
      <c r="BC253" s="79"/>
      <c r="BD253" s="79"/>
      <c r="BE253" s="79"/>
      <c r="BF253" s="79"/>
      <c r="BG253" s="79"/>
      <c r="BH253" s="79"/>
      <c r="BI253" s="79"/>
      <c r="BJ253" s="79"/>
      <c r="BK253" s="79"/>
    </row>
    <row r="254" spans="7:63" s="76" customFormat="1" ht="12.75">
      <c r="G254" s="79"/>
      <c r="H254" s="79"/>
      <c r="I254" s="79"/>
      <c r="J254" s="79"/>
      <c r="K254" s="79"/>
      <c r="L254" s="79"/>
      <c r="M254" s="79"/>
      <c r="N254" s="79"/>
      <c r="O254" s="79"/>
      <c r="P254" s="79"/>
      <c r="Q254" s="79"/>
      <c r="R254" s="79"/>
      <c r="S254" s="79"/>
      <c r="T254" s="79"/>
      <c r="U254" s="79"/>
      <c r="V254" s="79"/>
      <c r="W254" s="79"/>
      <c r="X254" s="79"/>
      <c r="Y254" s="79"/>
      <c r="Z254" s="79"/>
      <c r="AA254" s="79"/>
      <c r="AB254" s="79"/>
      <c r="AC254" s="79"/>
      <c r="AD254" s="79"/>
      <c r="AE254" s="79"/>
      <c r="AF254" s="79"/>
      <c r="AG254" s="79"/>
      <c r="AH254" s="79"/>
      <c r="AI254" s="79"/>
      <c r="AJ254" s="79"/>
      <c r="AK254" s="79"/>
      <c r="AL254" s="79"/>
      <c r="AM254" s="79"/>
      <c r="AN254" s="79"/>
      <c r="AO254" s="79"/>
      <c r="AP254" s="79"/>
      <c r="AQ254" s="79"/>
      <c r="AR254" s="79"/>
      <c r="AS254" s="79"/>
      <c r="AT254" s="79"/>
      <c r="AU254" s="79"/>
      <c r="AV254" s="79"/>
      <c r="AW254" s="79"/>
      <c r="AX254" s="79"/>
      <c r="AY254" s="79"/>
      <c r="AZ254" s="79"/>
      <c r="BA254" s="79"/>
      <c r="BB254" s="79"/>
      <c r="BC254" s="79"/>
      <c r="BD254" s="79"/>
      <c r="BE254" s="79"/>
      <c r="BF254" s="79"/>
      <c r="BG254" s="79"/>
      <c r="BH254" s="79"/>
      <c r="BI254" s="79"/>
      <c r="BJ254" s="79"/>
      <c r="BK254" s="79"/>
    </row>
    <row r="255" spans="1:57" s="80" customFormat="1" ht="12.75">
      <c r="A255" s="80" t="s">
        <v>201</v>
      </c>
      <c r="B255" s="80" t="s">
        <v>217</v>
      </c>
      <c r="C255" s="80" t="s">
        <v>51</v>
      </c>
      <c r="D255" s="80" t="s">
        <v>17</v>
      </c>
      <c r="G255" s="81"/>
      <c r="H255" s="81"/>
      <c r="I255" s="81">
        <v>99.9999</v>
      </c>
      <c r="J255" s="81"/>
      <c r="K255" s="81">
        <v>99.99996</v>
      </c>
      <c r="L255" s="81"/>
      <c r="M255" s="81">
        <v>99.99989</v>
      </c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  <c r="AA255" s="81"/>
      <c r="AB255" s="81"/>
      <c r="AC255" s="81"/>
      <c r="AD255" s="81"/>
      <c r="AE255" s="81"/>
      <c r="AF255" s="81"/>
      <c r="AG255" s="81"/>
      <c r="AH255" s="81"/>
      <c r="AI255" s="81"/>
      <c r="AJ255" s="81"/>
      <c r="AK255" s="81"/>
      <c r="AL255" s="81"/>
      <c r="AM255" s="81"/>
      <c r="AN255" s="81"/>
      <c r="AO255" s="81"/>
      <c r="AP255" s="81"/>
      <c r="AQ255" s="81"/>
      <c r="AR255" s="81"/>
      <c r="AS255" s="81"/>
      <c r="AT255" s="81"/>
      <c r="AU255" s="81"/>
      <c r="AV255" s="81"/>
      <c r="AW255" s="81"/>
      <c r="AX255" s="81"/>
      <c r="AY255" s="81"/>
      <c r="AZ255" s="81"/>
      <c r="BA255" s="81"/>
      <c r="BB255" s="81"/>
      <c r="BC255" s="81"/>
      <c r="BD255" s="81"/>
      <c r="BE255" s="81"/>
    </row>
    <row r="256" spans="1:57" s="80" customFormat="1" ht="12.75">
      <c r="A256" s="80" t="s">
        <v>201</v>
      </c>
      <c r="B256" s="80" t="s">
        <v>218</v>
      </c>
      <c r="C256" s="80" t="s">
        <v>51</v>
      </c>
      <c r="D256" s="80" t="s">
        <v>17</v>
      </c>
      <c r="G256" s="81"/>
      <c r="H256" s="81"/>
      <c r="I256" s="81">
        <v>99.99987</v>
      </c>
      <c r="J256" s="81"/>
      <c r="K256" s="81">
        <v>99.99985</v>
      </c>
      <c r="L256" s="81"/>
      <c r="M256" s="81">
        <v>99.99982</v>
      </c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  <c r="AA256" s="81"/>
      <c r="AB256" s="81"/>
      <c r="AC256" s="81"/>
      <c r="AD256" s="81"/>
      <c r="AE256" s="81"/>
      <c r="AF256" s="81"/>
      <c r="AG256" s="81"/>
      <c r="AH256" s="81"/>
      <c r="AI256" s="81"/>
      <c r="AJ256" s="81"/>
      <c r="AK256" s="81"/>
      <c r="AL256" s="81"/>
      <c r="AM256" s="81"/>
      <c r="AN256" s="81"/>
      <c r="AO256" s="81"/>
      <c r="AP256" s="81"/>
      <c r="AQ256" s="81"/>
      <c r="AR256" s="81"/>
      <c r="AS256" s="81"/>
      <c r="AT256" s="81"/>
      <c r="AU256" s="81"/>
      <c r="AV256" s="81"/>
      <c r="AW256" s="81"/>
      <c r="AX256" s="81"/>
      <c r="AY256" s="81"/>
      <c r="AZ256" s="81"/>
      <c r="BA256" s="81"/>
      <c r="BB256" s="81"/>
      <c r="BC256" s="81"/>
      <c r="BD256" s="81"/>
      <c r="BE256" s="81"/>
    </row>
    <row r="257" spans="1:57" s="80" customFormat="1" ht="12.75">
      <c r="A257" s="80" t="s">
        <v>201</v>
      </c>
      <c r="B257" s="80" t="s">
        <v>148</v>
      </c>
      <c r="C257" s="80" t="s">
        <v>51</v>
      </c>
      <c r="D257" s="80" t="s">
        <v>17</v>
      </c>
      <c r="G257" s="81"/>
      <c r="H257" s="81"/>
      <c r="I257" s="81">
        <v>99.99998</v>
      </c>
      <c r="J257" s="81"/>
      <c r="K257" s="81">
        <v>99.99997</v>
      </c>
      <c r="L257" s="81"/>
      <c r="M257" s="81">
        <v>99.99993</v>
      </c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  <c r="AA257" s="81"/>
      <c r="AB257" s="81"/>
      <c r="AC257" s="81"/>
      <c r="AD257" s="81"/>
      <c r="AE257" s="81"/>
      <c r="AF257" s="81"/>
      <c r="AG257" s="81"/>
      <c r="AH257" s="81"/>
      <c r="AI257" s="81"/>
      <c r="AJ257" s="81"/>
      <c r="AK257" s="81"/>
      <c r="AL257" s="81"/>
      <c r="AM257" s="81"/>
      <c r="AN257" s="81"/>
      <c r="AO257" s="81"/>
      <c r="AP257" s="81"/>
      <c r="AQ257" s="81"/>
      <c r="AR257" s="81"/>
      <c r="AS257" s="81"/>
      <c r="AT257" s="81"/>
      <c r="AU257" s="81"/>
      <c r="AV257" s="81"/>
      <c r="AW257" s="81"/>
      <c r="AX257" s="81"/>
      <c r="AY257" s="81"/>
      <c r="AZ257" s="81"/>
      <c r="BA257" s="81"/>
      <c r="BB257" s="81"/>
      <c r="BC257" s="81"/>
      <c r="BD257" s="81"/>
      <c r="BE257" s="81"/>
    </row>
    <row r="258" spans="1:57" s="80" customFormat="1" ht="12.75">
      <c r="A258" s="80" t="s">
        <v>201</v>
      </c>
      <c r="B258" s="80" t="s">
        <v>151</v>
      </c>
      <c r="C258" s="80" t="s">
        <v>51</v>
      </c>
      <c r="D258" s="80" t="s">
        <v>17</v>
      </c>
      <c r="G258" s="81"/>
      <c r="H258" s="81"/>
      <c r="I258" s="81">
        <v>99.999969</v>
      </c>
      <c r="J258" s="81"/>
      <c r="K258" s="81">
        <v>99.999979</v>
      </c>
      <c r="L258" s="81"/>
      <c r="M258" s="81">
        <v>99.999936</v>
      </c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  <c r="AA258" s="81"/>
      <c r="AB258" s="81"/>
      <c r="AC258" s="81"/>
      <c r="AD258" s="81"/>
      <c r="AE258" s="81"/>
      <c r="AF258" s="81"/>
      <c r="AG258" s="81"/>
      <c r="AH258" s="81"/>
      <c r="AI258" s="81"/>
      <c r="AJ258" s="81"/>
      <c r="AK258" s="81"/>
      <c r="AL258" s="81"/>
      <c r="AM258" s="81"/>
      <c r="AN258" s="81"/>
      <c r="AO258" s="81"/>
      <c r="AP258" s="81"/>
      <c r="AQ258" s="81"/>
      <c r="AR258" s="81"/>
      <c r="AS258" s="81"/>
      <c r="AT258" s="81"/>
      <c r="AU258" s="81"/>
      <c r="AV258" s="81"/>
      <c r="AW258" s="81"/>
      <c r="AX258" s="81"/>
      <c r="AY258" s="81"/>
      <c r="AZ258" s="81"/>
      <c r="BA258" s="81"/>
      <c r="BB258" s="81"/>
      <c r="BC258" s="81"/>
      <c r="BD258" s="81"/>
      <c r="BE258" s="81"/>
    </row>
    <row r="259" spans="6:23" s="76" customFormat="1" ht="12.75">
      <c r="F259" s="77"/>
      <c r="G259" s="79"/>
      <c r="H259" s="79"/>
      <c r="I259" s="79"/>
      <c r="J259" s="79"/>
      <c r="K259" s="79"/>
      <c r="L259" s="77"/>
      <c r="M259" s="77"/>
      <c r="N259" s="77"/>
      <c r="O259" s="77"/>
      <c r="P259" s="77"/>
      <c r="Q259" s="77"/>
      <c r="R259" s="77"/>
      <c r="S259" s="77"/>
      <c r="T259" s="77"/>
      <c r="U259" s="77"/>
      <c r="V259" s="77"/>
      <c r="W259" s="77"/>
    </row>
    <row r="260" spans="2:23" s="76" customFormat="1" ht="12.75">
      <c r="B260" s="37" t="s">
        <v>203</v>
      </c>
      <c r="F260" s="77"/>
      <c r="G260" s="46" t="s">
        <v>209</v>
      </c>
      <c r="H260" s="46"/>
      <c r="I260" s="46" t="s">
        <v>210</v>
      </c>
      <c r="J260" s="46"/>
      <c r="K260" s="46" t="s">
        <v>211</v>
      </c>
      <c r="L260" s="46"/>
      <c r="M260" s="46" t="s">
        <v>232</v>
      </c>
      <c r="N260"/>
      <c r="O260" s="95" t="s">
        <v>286</v>
      </c>
      <c r="P260" s="96"/>
      <c r="Q260" s="96" t="s">
        <v>287</v>
      </c>
      <c r="R260" s="77"/>
      <c r="S260" s="46" t="s">
        <v>46</v>
      </c>
      <c r="T260" s="77"/>
      <c r="U260" s="77"/>
      <c r="V260" s="77"/>
      <c r="W260" s="77"/>
    </row>
    <row r="261" spans="6:23" s="76" customFormat="1" ht="12.75">
      <c r="F261" s="77"/>
      <c r="G261" s="79"/>
      <c r="H261" s="79"/>
      <c r="I261" s="79"/>
      <c r="J261" s="79"/>
      <c r="K261" s="79"/>
      <c r="L261" s="77"/>
      <c r="M261" s="77"/>
      <c r="N261" s="77"/>
      <c r="O261" s="77"/>
      <c r="P261" s="77"/>
      <c r="Q261" s="77"/>
      <c r="R261" s="77"/>
      <c r="S261" s="77"/>
      <c r="T261" s="77"/>
      <c r="U261" s="77"/>
      <c r="V261" s="77"/>
      <c r="W261" s="77"/>
    </row>
    <row r="262" spans="1:24" s="76" customFormat="1" ht="12.75">
      <c r="A262" s="76" t="s">
        <v>203</v>
      </c>
      <c r="B262" s="76" t="s">
        <v>12</v>
      </c>
      <c r="C262" s="76" t="s">
        <v>325</v>
      </c>
      <c r="D262" s="76" t="s">
        <v>13</v>
      </c>
      <c r="E262" s="76" t="s">
        <v>14</v>
      </c>
      <c r="F262" s="77" t="s">
        <v>212</v>
      </c>
      <c r="G262" s="78">
        <v>0.002592618311111111</v>
      </c>
      <c r="H262" s="78" t="s">
        <v>212</v>
      </c>
      <c r="I262" s="78">
        <v>0.003078044718297872</v>
      </c>
      <c r="J262" s="78" t="s">
        <v>212</v>
      </c>
      <c r="K262" s="78">
        <v>0.00419051776</v>
      </c>
      <c r="L262" s="78" t="s">
        <v>212</v>
      </c>
      <c r="M262" s="78">
        <v>0.011096406371555553</v>
      </c>
      <c r="N262" s="78" t="s">
        <v>212</v>
      </c>
      <c r="O262" s="78">
        <v>0.0087376753293617</v>
      </c>
      <c r="P262" s="78" t="s">
        <v>212</v>
      </c>
      <c r="Q262" s="78">
        <v>0.00533338624</v>
      </c>
      <c r="R262" s="78" t="s">
        <v>212</v>
      </c>
      <c r="S262" s="78">
        <f>AVERAGE(G262,I262,K262,M262,O262,Q262)</f>
        <v>0.00583810812172104</v>
      </c>
      <c r="T262" s="78" t="s">
        <v>212</v>
      </c>
      <c r="U262" s="78"/>
      <c r="V262" s="77" t="s">
        <v>212</v>
      </c>
      <c r="W262" s="77"/>
      <c r="X262" s="76">
        <v>0.00583810812172104</v>
      </c>
    </row>
    <row r="263" spans="1:24" s="76" customFormat="1" ht="12.75">
      <c r="A263" s="76" t="s">
        <v>203</v>
      </c>
      <c r="B263" s="76" t="s">
        <v>113</v>
      </c>
      <c r="C263" s="76" t="s">
        <v>325</v>
      </c>
      <c r="D263" s="76" t="s">
        <v>15</v>
      </c>
      <c r="E263" s="76" t="s">
        <v>14</v>
      </c>
      <c r="F263" s="77" t="s">
        <v>212</v>
      </c>
      <c r="G263" s="79">
        <v>0</v>
      </c>
      <c r="H263" s="79" t="s">
        <v>212</v>
      </c>
      <c r="I263" s="79">
        <v>0</v>
      </c>
      <c r="J263" s="79" t="s">
        <v>212</v>
      </c>
      <c r="K263" s="79">
        <v>0</v>
      </c>
      <c r="L263" s="77" t="s">
        <v>212</v>
      </c>
      <c r="M263" s="77"/>
      <c r="N263" s="77" t="s">
        <v>212</v>
      </c>
      <c r="O263" s="77"/>
      <c r="P263" s="77" t="s">
        <v>212</v>
      </c>
      <c r="Q263" s="77"/>
      <c r="R263" s="77" t="s">
        <v>212</v>
      </c>
      <c r="S263" s="79">
        <f>AVERAGE(G263,I263,K263,M263,O263,Q263)</f>
        <v>0</v>
      </c>
      <c r="T263" s="77" t="s">
        <v>212</v>
      </c>
      <c r="U263" s="77"/>
      <c r="V263" s="77" t="s">
        <v>212</v>
      </c>
      <c r="W263" s="77"/>
      <c r="X263" s="76">
        <v>0</v>
      </c>
    </row>
    <row r="264" spans="1:24" s="76" customFormat="1" ht="12.75">
      <c r="A264" s="76" t="s">
        <v>203</v>
      </c>
      <c r="B264" s="76" t="s">
        <v>356</v>
      </c>
      <c r="C264" s="76" t="s">
        <v>325</v>
      </c>
      <c r="D264" s="76" t="s">
        <v>15</v>
      </c>
      <c r="E264" s="76" t="s">
        <v>14</v>
      </c>
      <c r="F264" s="77" t="s">
        <v>212</v>
      </c>
      <c r="G264" s="79">
        <v>1.037037037037037</v>
      </c>
      <c r="H264" s="79" t="s">
        <v>212</v>
      </c>
      <c r="I264" s="79">
        <v>0.99290780141844</v>
      </c>
      <c r="J264" s="79" t="s">
        <v>212</v>
      </c>
      <c r="K264" s="79">
        <v>0.9523809523809524</v>
      </c>
      <c r="L264" s="77" t="s">
        <v>212</v>
      </c>
      <c r="M264" s="77"/>
      <c r="N264" s="77" t="s">
        <v>212</v>
      </c>
      <c r="O264" s="77"/>
      <c r="P264" s="77" t="s">
        <v>212</v>
      </c>
      <c r="Q264" s="77"/>
      <c r="R264" s="77" t="s">
        <v>212</v>
      </c>
      <c r="S264" s="79">
        <f>AVERAGE(G264,I264,K264,M264,O264,Q264)</f>
        <v>0.9941085969454765</v>
      </c>
      <c r="T264" s="77" t="s">
        <v>212</v>
      </c>
      <c r="U264" s="77"/>
      <c r="V264" s="77" t="s">
        <v>212</v>
      </c>
      <c r="W264" s="77"/>
      <c r="X264" s="76">
        <v>0.9941085969454765</v>
      </c>
    </row>
    <row r="265" spans="1:24" s="76" customFormat="1" ht="12.75">
      <c r="A265" s="76" t="s">
        <v>203</v>
      </c>
      <c r="B265" s="76" t="s">
        <v>49</v>
      </c>
      <c r="C265" s="76" t="s">
        <v>325</v>
      </c>
      <c r="D265" s="76" t="s">
        <v>15</v>
      </c>
      <c r="E265" s="76" t="s">
        <v>14</v>
      </c>
      <c r="F265" s="77" t="s">
        <v>212</v>
      </c>
      <c r="G265" s="79">
        <v>0.5570263344396388</v>
      </c>
      <c r="H265" s="79" t="s">
        <v>212</v>
      </c>
      <c r="I265" s="79">
        <v>0.18550368214456</v>
      </c>
      <c r="J265" s="79" t="s">
        <v>212</v>
      </c>
      <c r="K265" s="79">
        <v>0.16903549811744142</v>
      </c>
      <c r="L265" s="77" t="s">
        <v>212</v>
      </c>
      <c r="M265" s="77"/>
      <c r="N265" s="77" t="s">
        <v>212</v>
      </c>
      <c r="O265" s="77"/>
      <c r="P265" s="77" t="s">
        <v>212</v>
      </c>
      <c r="Q265" s="77"/>
      <c r="R265" s="77" t="s">
        <v>212</v>
      </c>
      <c r="S265" s="79">
        <f>AVERAGE(G265,I265,K265,M265,O265,Q265)</f>
        <v>0.3038551715672134</v>
      </c>
      <c r="T265" s="77" t="s">
        <v>212</v>
      </c>
      <c r="U265" s="77"/>
      <c r="V265" s="77" t="s">
        <v>212</v>
      </c>
      <c r="W265" s="77"/>
      <c r="X265" s="76">
        <v>0.30385517156721337</v>
      </c>
    </row>
    <row r="266" spans="6:23" s="76" customFormat="1" ht="12.75">
      <c r="F266" s="77"/>
      <c r="G266" s="79"/>
      <c r="H266" s="79"/>
      <c r="I266" s="79"/>
      <c r="J266" s="79"/>
      <c r="K266" s="79"/>
      <c r="L266" s="77"/>
      <c r="M266" s="77"/>
      <c r="N266" s="77"/>
      <c r="O266" s="77"/>
      <c r="P266" s="77"/>
      <c r="Q266" s="77"/>
      <c r="R266" s="77"/>
      <c r="S266" s="77"/>
      <c r="T266" s="77"/>
      <c r="U266" s="77"/>
      <c r="V266" s="77"/>
      <c r="W266" s="77"/>
    </row>
    <row r="267" spans="1:57" s="80" customFormat="1" ht="12.75">
      <c r="A267" s="80" t="s">
        <v>203</v>
      </c>
      <c r="B267" s="80" t="s">
        <v>217</v>
      </c>
      <c r="C267" s="80" t="s">
        <v>51</v>
      </c>
      <c r="D267" s="80" t="s">
        <v>17</v>
      </c>
      <c r="G267" s="81">
        <v>99.99997</v>
      </c>
      <c r="H267" s="81"/>
      <c r="I267" s="81">
        <v>99.99992</v>
      </c>
      <c r="J267" s="81"/>
      <c r="K267" s="81">
        <v>99.99993</v>
      </c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  <c r="AA267" s="81"/>
      <c r="AB267" s="81"/>
      <c r="AC267" s="81"/>
      <c r="AD267" s="81"/>
      <c r="AE267" s="81"/>
      <c r="AF267" s="81"/>
      <c r="AG267" s="81"/>
      <c r="AH267" s="81"/>
      <c r="AI267" s="81"/>
      <c r="AJ267" s="81"/>
      <c r="AK267" s="81"/>
      <c r="AL267" s="81"/>
      <c r="AM267" s="81"/>
      <c r="AN267" s="81"/>
      <c r="AO267" s="81"/>
      <c r="AP267" s="81"/>
      <c r="AQ267" s="81"/>
      <c r="AR267" s="81"/>
      <c r="AS267" s="81"/>
      <c r="AT267" s="81"/>
      <c r="AU267" s="81"/>
      <c r="AV267" s="81"/>
      <c r="AW267" s="81"/>
      <c r="AX267" s="81"/>
      <c r="AY267" s="81"/>
      <c r="AZ267" s="81"/>
      <c r="BA267" s="81"/>
      <c r="BB267" s="81"/>
      <c r="BC267" s="81"/>
      <c r="BD267" s="81"/>
      <c r="BE267" s="81"/>
    </row>
    <row r="268" spans="1:57" s="80" customFormat="1" ht="12.75">
      <c r="A268" s="80" t="s">
        <v>203</v>
      </c>
      <c r="B268" s="80" t="s">
        <v>218</v>
      </c>
      <c r="C268" s="80" t="s">
        <v>51</v>
      </c>
      <c r="D268" s="80" t="s">
        <v>17</v>
      </c>
      <c r="G268" s="81">
        <v>99.99968</v>
      </c>
      <c r="H268" s="81"/>
      <c r="I268" s="81">
        <v>99.9997</v>
      </c>
      <c r="J268" s="81"/>
      <c r="K268" s="81">
        <v>99.99963</v>
      </c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81"/>
      <c r="Y268" s="81"/>
      <c r="Z268" s="81"/>
      <c r="AA268" s="81"/>
      <c r="AB268" s="81"/>
      <c r="AC268" s="81"/>
      <c r="AD268" s="81"/>
      <c r="AE268" s="81"/>
      <c r="AF268" s="81"/>
      <c r="AG268" s="81"/>
      <c r="AH268" s="81"/>
      <c r="AI268" s="81"/>
      <c r="AJ268" s="81"/>
      <c r="AK268" s="81"/>
      <c r="AL268" s="81"/>
      <c r="AM268" s="81"/>
      <c r="AN268" s="81"/>
      <c r="AO268" s="81"/>
      <c r="AP268" s="81"/>
      <c r="AQ268" s="81"/>
      <c r="AR268" s="81"/>
      <c r="AS268" s="81"/>
      <c r="AT268" s="81"/>
      <c r="AU268" s="81"/>
      <c r="AV268" s="81"/>
      <c r="AW268" s="81"/>
      <c r="AX268" s="81"/>
      <c r="AY268" s="81"/>
      <c r="AZ268" s="81"/>
      <c r="BA268" s="81"/>
      <c r="BB268" s="81"/>
      <c r="BC268" s="81"/>
      <c r="BD268" s="81"/>
      <c r="BE268" s="81"/>
    </row>
    <row r="269" spans="1:57" s="80" customFormat="1" ht="12.75">
      <c r="A269" s="80" t="s">
        <v>203</v>
      </c>
      <c r="B269" s="80" t="s">
        <v>148</v>
      </c>
      <c r="C269" s="80" t="s">
        <v>51</v>
      </c>
      <c r="D269" s="80" t="s">
        <v>17</v>
      </c>
      <c r="G269" s="81">
        <v>99.99996</v>
      </c>
      <c r="H269" s="81"/>
      <c r="I269" s="81">
        <v>99.99996</v>
      </c>
      <c r="J269" s="81"/>
      <c r="K269" s="81">
        <v>99.99996</v>
      </c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81"/>
      <c r="AA269" s="81"/>
      <c r="AB269" s="81"/>
      <c r="AC269" s="81"/>
      <c r="AD269" s="81"/>
      <c r="AE269" s="81"/>
      <c r="AF269" s="81"/>
      <c r="AG269" s="81"/>
      <c r="AH269" s="81"/>
      <c r="AI269" s="81"/>
      <c r="AJ269" s="81"/>
      <c r="AK269" s="81"/>
      <c r="AL269" s="81"/>
      <c r="AM269" s="81"/>
      <c r="AN269" s="81"/>
      <c r="AO269" s="81"/>
      <c r="AP269" s="81"/>
      <c r="AQ269" s="81"/>
      <c r="AR269" s="81"/>
      <c r="AS269" s="81"/>
      <c r="AT269" s="81"/>
      <c r="AU269" s="81"/>
      <c r="AV269" s="81"/>
      <c r="AW269" s="81"/>
      <c r="AX269" s="81"/>
      <c r="AY269" s="81"/>
      <c r="AZ269" s="81"/>
      <c r="BA269" s="81"/>
      <c r="BB269" s="81"/>
      <c r="BC269" s="81"/>
      <c r="BD269" s="81"/>
      <c r="BE269" s="81"/>
    </row>
    <row r="270" spans="1:57" s="80" customFormat="1" ht="12.75">
      <c r="A270" s="80" t="s">
        <v>203</v>
      </c>
      <c r="B270" s="80" t="s">
        <v>151</v>
      </c>
      <c r="C270" s="80" t="s">
        <v>51</v>
      </c>
      <c r="D270" s="80" t="s">
        <v>17</v>
      </c>
      <c r="G270" s="81">
        <v>99.999958</v>
      </c>
      <c r="H270" s="81"/>
      <c r="I270" s="81">
        <v>99.999968</v>
      </c>
      <c r="J270" s="81"/>
      <c r="K270" s="81">
        <v>99.99997</v>
      </c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1"/>
      <c r="Z270" s="81"/>
      <c r="AA270" s="81"/>
      <c r="AB270" s="81"/>
      <c r="AC270" s="81"/>
      <c r="AD270" s="81"/>
      <c r="AE270" s="81"/>
      <c r="AF270" s="81"/>
      <c r="AG270" s="81"/>
      <c r="AH270" s="81"/>
      <c r="AI270" s="81"/>
      <c r="AJ270" s="81"/>
      <c r="AK270" s="81"/>
      <c r="AL270" s="81"/>
      <c r="AM270" s="81"/>
      <c r="AN270" s="81"/>
      <c r="AO270" s="81"/>
      <c r="AP270" s="81"/>
      <c r="AQ270" s="81"/>
      <c r="AR270" s="81"/>
      <c r="AS270" s="81"/>
      <c r="AT270" s="81"/>
      <c r="AU270" s="81"/>
      <c r="AV270" s="81"/>
      <c r="AW270" s="81"/>
      <c r="AX270" s="81"/>
      <c r="AY270" s="81"/>
      <c r="AZ270" s="81"/>
      <c r="BA270" s="81"/>
      <c r="BB270" s="81"/>
      <c r="BC270" s="81"/>
      <c r="BD270" s="81"/>
      <c r="BE270" s="81"/>
    </row>
    <row r="271" spans="6:23" s="76" customFormat="1" ht="12.75">
      <c r="F271" s="77"/>
      <c r="G271" s="79"/>
      <c r="H271" s="79"/>
      <c r="I271" s="79"/>
      <c r="J271" s="79"/>
      <c r="K271" s="79"/>
      <c r="L271" s="77"/>
      <c r="M271" s="77"/>
      <c r="N271" s="77"/>
      <c r="O271" s="77"/>
      <c r="P271" s="77"/>
      <c r="Q271" s="77"/>
      <c r="R271" s="77"/>
      <c r="S271" s="77"/>
      <c r="T271" s="77"/>
      <c r="U271" s="77"/>
      <c r="V271" s="77"/>
      <c r="W271" s="77"/>
    </row>
    <row r="272" spans="2:23" s="76" customFormat="1" ht="12.75">
      <c r="B272" s="76" t="s">
        <v>84</v>
      </c>
      <c r="C272" s="76" t="s">
        <v>214</v>
      </c>
      <c r="D272" s="80" t="s">
        <v>324</v>
      </c>
      <c r="F272" s="77"/>
      <c r="G272" s="79"/>
      <c r="H272" s="79"/>
      <c r="I272" s="79"/>
      <c r="J272" s="79"/>
      <c r="K272" s="79"/>
      <c r="L272" s="77"/>
      <c r="M272" s="77"/>
      <c r="N272" s="77"/>
      <c r="O272" s="77"/>
      <c r="P272" s="77"/>
      <c r="Q272" s="77"/>
      <c r="R272" s="77"/>
      <c r="S272" s="77"/>
      <c r="T272" s="77"/>
      <c r="U272" s="77"/>
      <c r="V272" s="77"/>
      <c r="W272" s="77"/>
    </row>
    <row r="273" spans="2:63" s="76" customFormat="1" ht="12.75">
      <c r="B273" s="5" t="s">
        <v>77</v>
      </c>
      <c r="C273" s="5"/>
      <c r="D273" s="5" t="s">
        <v>16</v>
      </c>
      <c r="G273" s="79">
        <v>40400</v>
      </c>
      <c r="H273" s="79"/>
      <c r="I273" s="79">
        <v>37500</v>
      </c>
      <c r="J273" s="79"/>
      <c r="K273" s="79">
        <v>43000</v>
      </c>
      <c r="L273" s="79"/>
      <c r="M273" s="79"/>
      <c r="N273" s="79"/>
      <c r="O273" s="79"/>
      <c r="P273" s="79"/>
      <c r="Q273" s="79"/>
      <c r="R273" s="79"/>
      <c r="S273" s="79"/>
      <c r="T273" s="79"/>
      <c r="U273" s="79"/>
      <c r="V273" s="79"/>
      <c r="W273" s="79"/>
      <c r="X273" s="79"/>
      <c r="Y273" s="79"/>
      <c r="Z273" s="79"/>
      <c r="AA273" s="79"/>
      <c r="AB273" s="79"/>
      <c r="AC273" s="79"/>
      <c r="AD273" s="79"/>
      <c r="AE273" s="79"/>
      <c r="AF273" s="79"/>
      <c r="AG273" s="79"/>
      <c r="AH273" s="79"/>
      <c r="AI273" s="79"/>
      <c r="AJ273" s="79"/>
      <c r="AK273" s="79"/>
      <c r="AL273" s="79"/>
      <c r="AM273" s="79"/>
      <c r="AN273" s="79"/>
      <c r="AO273" s="79"/>
      <c r="AP273" s="79"/>
      <c r="AQ273" s="79"/>
      <c r="AR273" s="79"/>
      <c r="AS273" s="79"/>
      <c r="AT273" s="79"/>
      <c r="AU273" s="79"/>
      <c r="AV273" s="79"/>
      <c r="AW273" s="79"/>
      <c r="AX273" s="79"/>
      <c r="AY273" s="79"/>
      <c r="AZ273" s="79"/>
      <c r="BA273" s="79"/>
      <c r="BB273" s="79"/>
      <c r="BC273" s="79"/>
      <c r="BD273" s="79"/>
      <c r="BE273" s="79"/>
      <c r="BF273" s="79"/>
      <c r="BG273" s="79"/>
      <c r="BH273" s="79"/>
      <c r="BI273" s="79"/>
      <c r="BJ273" s="79"/>
      <c r="BK273" s="79"/>
    </row>
    <row r="274" spans="2:63" s="76" customFormat="1" ht="12.75">
      <c r="B274" s="5" t="s">
        <v>81</v>
      </c>
      <c r="C274" s="5"/>
      <c r="D274" s="5" t="s">
        <v>17</v>
      </c>
      <c r="G274" s="79">
        <v>7.5</v>
      </c>
      <c r="H274" s="79"/>
      <c r="I274" s="79">
        <v>6.9</v>
      </c>
      <c r="J274" s="79"/>
      <c r="K274" s="79">
        <v>6.3</v>
      </c>
      <c r="L274" s="79"/>
      <c r="M274" s="79"/>
      <c r="N274" s="79"/>
      <c r="O274" s="79"/>
      <c r="P274" s="79"/>
      <c r="Q274" s="79"/>
      <c r="R274" s="79"/>
      <c r="S274" s="79"/>
      <c r="T274" s="79"/>
      <c r="U274" s="79"/>
      <c r="V274" s="79"/>
      <c r="W274" s="79"/>
      <c r="X274" s="79"/>
      <c r="Y274" s="79"/>
      <c r="Z274" s="79"/>
      <c r="AA274" s="79"/>
      <c r="AB274" s="79"/>
      <c r="AC274" s="79"/>
      <c r="AD274" s="79"/>
      <c r="AE274" s="79"/>
      <c r="AF274" s="79"/>
      <c r="AG274" s="79"/>
      <c r="AH274" s="79"/>
      <c r="AI274" s="79"/>
      <c r="AJ274" s="79"/>
      <c r="AK274" s="79"/>
      <c r="AL274" s="79"/>
      <c r="AM274" s="79"/>
      <c r="AN274" s="79"/>
      <c r="AO274" s="79"/>
      <c r="AP274" s="79"/>
      <c r="AQ274" s="79"/>
      <c r="AR274" s="79"/>
      <c r="AS274" s="79"/>
      <c r="AT274" s="79"/>
      <c r="AU274" s="79"/>
      <c r="AV274" s="79"/>
      <c r="AW274" s="79"/>
      <c r="AX274" s="79"/>
      <c r="AY274" s="79"/>
      <c r="AZ274" s="79"/>
      <c r="BA274" s="79"/>
      <c r="BB274" s="79"/>
      <c r="BC274" s="79"/>
      <c r="BD274" s="79"/>
      <c r="BE274" s="79"/>
      <c r="BF274" s="79"/>
      <c r="BG274" s="79"/>
      <c r="BH274" s="79"/>
      <c r="BI274" s="79"/>
      <c r="BJ274" s="79"/>
      <c r="BK274" s="79"/>
    </row>
    <row r="275" spans="1:63" s="76" customFormat="1" ht="12.75">
      <c r="A275" s="76" t="s">
        <v>203</v>
      </c>
      <c r="B275" s="5" t="s">
        <v>82</v>
      </c>
      <c r="C275" s="5"/>
      <c r="D275" s="5" t="s">
        <v>17</v>
      </c>
      <c r="G275" s="79">
        <v>23.6</v>
      </c>
      <c r="H275" s="79"/>
      <c r="I275" s="79">
        <v>28.5</v>
      </c>
      <c r="J275" s="79"/>
      <c r="K275" s="79">
        <v>20.7</v>
      </c>
      <c r="L275" s="79"/>
      <c r="M275" s="79"/>
      <c r="N275" s="79"/>
      <c r="O275" s="79"/>
      <c r="P275" s="79"/>
      <c r="Q275" s="79"/>
      <c r="R275" s="79"/>
      <c r="S275" s="79"/>
      <c r="T275" s="79"/>
      <c r="U275" s="79"/>
      <c r="V275" s="79"/>
      <c r="W275" s="79"/>
      <c r="X275" s="79"/>
      <c r="Y275" s="79"/>
      <c r="Z275" s="79"/>
      <c r="AA275" s="79"/>
      <c r="AB275" s="79"/>
      <c r="AC275" s="79"/>
      <c r="AD275" s="79"/>
      <c r="AE275" s="79"/>
      <c r="AF275" s="79"/>
      <c r="AG275" s="79"/>
      <c r="AH275" s="79"/>
      <c r="AI275" s="79"/>
      <c r="AJ275" s="79"/>
      <c r="AK275" s="79"/>
      <c r="AL275" s="79"/>
      <c r="AM275" s="79"/>
      <c r="AN275" s="79"/>
      <c r="AO275" s="79"/>
      <c r="AP275" s="79"/>
      <c r="AQ275" s="79"/>
      <c r="AR275" s="79"/>
      <c r="AS275" s="79"/>
      <c r="AT275" s="79"/>
      <c r="AU275" s="79"/>
      <c r="AV275" s="79"/>
      <c r="AW275" s="79"/>
      <c r="AX275" s="79"/>
      <c r="AY275" s="79"/>
      <c r="AZ275" s="79"/>
      <c r="BA275" s="79"/>
      <c r="BB275" s="79"/>
      <c r="BC275" s="79"/>
      <c r="BD275" s="79"/>
      <c r="BE275" s="79"/>
      <c r="BF275" s="79"/>
      <c r="BG275" s="79"/>
      <c r="BH275" s="79"/>
      <c r="BI275" s="79"/>
      <c r="BJ275" s="79"/>
      <c r="BK275" s="79"/>
    </row>
    <row r="276" spans="2:63" s="76" customFormat="1" ht="12.75">
      <c r="B276" s="5" t="s">
        <v>76</v>
      </c>
      <c r="C276" s="5"/>
      <c r="D276" s="5" t="s">
        <v>18</v>
      </c>
      <c r="G276" s="79">
        <v>145</v>
      </c>
      <c r="H276" s="79"/>
      <c r="I276" s="79">
        <v>143</v>
      </c>
      <c r="J276" s="79"/>
      <c r="K276" s="79">
        <v>141</v>
      </c>
      <c r="L276" s="79"/>
      <c r="M276" s="79"/>
      <c r="N276" s="79"/>
      <c r="O276" s="79"/>
      <c r="P276" s="79"/>
      <c r="Q276" s="79"/>
      <c r="R276" s="79"/>
      <c r="S276" s="79"/>
      <c r="T276" s="79"/>
      <c r="U276" s="79"/>
      <c r="V276" s="79"/>
      <c r="W276" s="79"/>
      <c r="X276" s="79"/>
      <c r="Y276" s="79"/>
      <c r="Z276" s="79"/>
      <c r="AA276" s="79"/>
      <c r="AB276" s="79"/>
      <c r="AC276" s="79"/>
      <c r="AD276" s="79"/>
      <c r="AE276" s="79"/>
      <c r="AF276" s="79"/>
      <c r="AG276" s="79"/>
      <c r="AH276" s="79"/>
      <c r="AI276" s="79"/>
      <c r="AJ276" s="79"/>
      <c r="AK276" s="79"/>
      <c r="AL276" s="79"/>
      <c r="AM276" s="79"/>
      <c r="AN276" s="79"/>
      <c r="AO276" s="79"/>
      <c r="AP276" s="79"/>
      <c r="AQ276" s="79"/>
      <c r="AR276" s="79"/>
      <c r="AS276" s="79"/>
      <c r="AT276" s="79"/>
      <c r="AU276" s="79"/>
      <c r="AV276" s="79"/>
      <c r="AW276" s="79"/>
      <c r="AX276" s="79"/>
      <c r="AY276" s="79"/>
      <c r="AZ276" s="79"/>
      <c r="BA276" s="79"/>
      <c r="BB276" s="79"/>
      <c r="BC276" s="79"/>
      <c r="BD276" s="79"/>
      <c r="BE276" s="79"/>
      <c r="BF276" s="79"/>
      <c r="BG276" s="79"/>
      <c r="BH276" s="79"/>
      <c r="BI276" s="79"/>
      <c r="BJ276" s="79"/>
      <c r="BK276" s="79"/>
    </row>
    <row r="277" spans="7:63" s="76" customFormat="1" ht="12.75">
      <c r="G277" s="79"/>
      <c r="H277" s="79"/>
      <c r="I277" s="79"/>
      <c r="J277" s="79"/>
      <c r="K277" s="79"/>
      <c r="L277" s="79"/>
      <c r="M277" s="79"/>
      <c r="N277" s="79"/>
      <c r="O277" s="79"/>
      <c r="P277" s="79"/>
      <c r="Q277" s="79"/>
      <c r="R277" s="79"/>
      <c r="S277" s="79"/>
      <c r="T277" s="79"/>
      <c r="U277" s="79"/>
      <c r="V277" s="79"/>
      <c r="W277" s="79"/>
      <c r="X277" s="79"/>
      <c r="Y277" s="79"/>
      <c r="Z277" s="79"/>
      <c r="AA277" s="79"/>
      <c r="AB277" s="79"/>
      <c r="AC277" s="79"/>
      <c r="AD277" s="79"/>
      <c r="AE277" s="79"/>
      <c r="AF277" s="79"/>
      <c r="AG277" s="79"/>
      <c r="AH277" s="79"/>
      <c r="AI277" s="79"/>
      <c r="AJ277" s="79"/>
      <c r="AK277" s="79"/>
      <c r="AL277" s="79"/>
      <c r="AM277" s="79"/>
      <c r="AN277" s="79"/>
      <c r="AO277" s="79"/>
      <c r="AP277" s="79"/>
      <c r="AQ277" s="79"/>
      <c r="AR277" s="79"/>
      <c r="AS277" s="79"/>
      <c r="AT277" s="79"/>
      <c r="AU277" s="79"/>
      <c r="AV277" s="79"/>
      <c r="AW277" s="79"/>
      <c r="AX277" s="79"/>
      <c r="AY277" s="79"/>
      <c r="AZ277" s="79"/>
      <c r="BA277" s="79"/>
      <c r="BB277" s="79"/>
      <c r="BC277" s="79"/>
      <c r="BD277" s="79"/>
      <c r="BE277" s="79"/>
      <c r="BF277" s="79"/>
      <c r="BG277" s="79"/>
      <c r="BH277" s="79"/>
      <c r="BI277" s="79"/>
      <c r="BJ277" s="79"/>
      <c r="BK277" s="79"/>
    </row>
    <row r="278" spans="2:63" s="76" customFormat="1" ht="12.75">
      <c r="B278" s="76" t="s">
        <v>84</v>
      </c>
      <c r="C278" s="76" t="s">
        <v>215</v>
      </c>
      <c r="D278" s="76" t="s">
        <v>325</v>
      </c>
      <c r="G278" s="79"/>
      <c r="H278" s="79"/>
      <c r="I278" s="79"/>
      <c r="J278" s="79"/>
      <c r="K278" s="79"/>
      <c r="L278" s="79"/>
      <c r="M278" s="79"/>
      <c r="N278" s="79"/>
      <c r="O278" s="79"/>
      <c r="P278" s="79"/>
      <c r="Q278" s="79"/>
      <c r="R278" s="79"/>
      <c r="S278" s="79"/>
      <c r="T278" s="79"/>
      <c r="U278" s="79"/>
      <c r="V278" s="79"/>
      <c r="W278" s="79"/>
      <c r="X278" s="79"/>
      <c r="Y278" s="79"/>
      <c r="Z278" s="79"/>
      <c r="AA278" s="79"/>
      <c r="AB278" s="79"/>
      <c r="AC278" s="79"/>
      <c r="AD278" s="79"/>
      <c r="AE278" s="79"/>
      <c r="AF278" s="79"/>
      <c r="AG278" s="79"/>
      <c r="AH278" s="79"/>
      <c r="AI278" s="79"/>
      <c r="AJ278" s="79"/>
      <c r="AK278" s="79"/>
      <c r="AL278" s="79"/>
      <c r="AM278" s="79"/>
      <c r="AN278" s="79"/>
      <c r="AO278" s="79"/>
      <c r="AP278" s="79"/>
      <c r="AQ278" s="79"/>
      <c r="AR278" s="79"/>
      <c r="AS278" s="79"/>
      <c r="AT278" s="79"/>
      <c r="AU278" s="79"/>
      <c r="AV278" s="79"/>
      <c r="AW278" s="79"/>
      <c r="AX278" s="79"/>
      <c r="AY278" s="79"/>
      <c r="AZ278" s="79"/>
      <c r="BA278" s="79"/>
      <c r="BB278" s="79"/>
      <c r="BC278" s="79"/>
      <c r="BD278" s="79"/>
      <c r="BE278" s="79"/>
      <c r="BF278" s="79"/>
      <c r="BG278" s="79"/>
      <c r="BH278" s="79"/>
      <c r="BI278" s="79"/>
      <c r="BJ278" s="79"/>
      <c r="BK278" s="79"/>
    </row>
    <row r="279" spans="2:63" s="76" customFormat="1" ht="12.75">
      <c r="B279" s="5" t="s">
        <v>77</v>
      </c>
      <c r="C279" s="5"/>
      <c r="D279" s="5" t="s">
        <v>16</v>
      </c>
      <c r="G279" s="79">
        <v>43600</v>
      </c>
      <c r="H279" s="79"/>
      <c r="I279" s="79">
        <v>40400</v>
      </c>
      <c r="J279" s="79"/>
      <c r="K279" s="79">
        <v>41200</v>
      </c>
      <c r="L279" s="79"/>
      <c r="M279" s="79">
        <v>43900</v>
      </c>
      <c r="N279" s="79"/>
      <c r="O279" s="79">
        <v>47500</v>
      </c>
      <c r="P279" s="79"/>
      <c r="Q279" s="79">
        <v>42800</v>
      </c>
      <c r="R279" s="79"/>
      <c r="S279" s="79"/>
      <c r="T279" s="79"/>
      <c r="U279" s="79"/>
      <c r="V279" s="79"/>
      <c r="W279" s="79"/>
      <c r="X279" s="79"/>
      <c r="Y279" s="79"/>
      <c r="Z279" s="79"/>
      <c r="AA279" s="79"/>
      <c r="AB279" s="79"/>
      <c r="AC279" s="79"/>
      <c r="AD279" s="79"/>
      <c r="AE279" s="79"/>
      <c r="AF279" s="79"/>
      <c r="AG279" s="79"/>
      <c r="AH279" s="79"/>
      <c r="AI279" s="79"/>
      <c r="AJ279" s="79"/>
      <c r="AK279" s="79"/>
      <c r="AL279" s="79"/>
      <c r="AM279" s="79"/>
      <c r="AN279" s="79"/>
      <c r="AO279" s="79"/>
      <c r="AP279" s="79"/>
      <c r="AQ279" s="79"/>
      <c r="AR279" s="79"/>
      <c r="AS279" s="79"/>
      <c r="AT279" s="79"/>
      <c r="AU279" s="79"/>
      <c r="AV279" s="79"/>
      <c r="AW279" s="79"/>
      <c r="AX279" s="79"/>
      <c r="AY279" s="79"/>
      <c r="AZ279" s="79"/>
      <c r="BA279" s="79"/>
      <c r="BB279" s="79"/>
      <c r="BC279" s="79"/>
      <c r="BD279" s="79"/>
      <c r="BE279" s="79"/>
      <c r="BF279" s="79"/>
      <c r="BG279" s="79"/>
      <c r="BH279" s="79"/>
      <c r="BI279" s="79"/>
      <c r="BJ279" s="79"/>
      <c r="BK279" s="79"/>
    </row>
    <row r="280" spans="2:63" s="76" customFormat="1" ht="12.75">
      <c r="B280" s="5" t="s">
        <v>81</v>
      </c>
      <c r="C280" s="5"/>
      <c r="D280" s="5" t="s">
        <v>17</v>
      </c>
      <c r="G280" s="79">
        <v>7.5</v>
      </c>
      <c r="H280" s="79"/>
      <c r="I280" s="79">
        <v>6.9</v>
      </c>
      <c r="J280" s="79"/>
      <c r="K280" s="79">
        <v>6.3</v>
      </c>
      <c r="L280" s="79"/>
      <c r="M280" s="79">
        <v>7.5</v>
      </c>
      <c r="N280" s="79"/>
      <c r="O280" s="79">
        <v>6.9</v>
      </c>
      <c r="P280" s="79"/>
      <c r="Q280" s="79">
        <v>6.3</v>
      </c>
      <c r="R280" s="79"/>
      <c r="S280" s="79"/>
      <c r="T280" s="79"/>
      <c r="U280" s="79"/>
      <c r="V280" s="79"/>
      <c r="W280" s="79"/>
      <c r="X280" s="79"/>
      <c r="Y280" s="79"/>
      <c r="Z280" s="79"/>
      <c r="AA280" s="79"/>
      <c r="AB280" s="79"/>
      <c r="AC280" s="79"/>
      <c r="AD280" s="79"/>
      <c r="AE280" s="79"/>
      <c r="AF280" s="79"/>
      <c r="AG280" s="79"/>
      <c r="AH280" s="79"/>
      <c r="AI280" s="79"/>
      <c r="AJ280" s="79"/>
      <c r="AK280" s="79"/>
      <c r="AL280" s="79"/>
      <c r="AM280" s="79"/>
      <c r="AN280" s="79"/>
      <c r="AO280" s="79"/>
      <c r="AP280" s="79"/>
      <c r="AQ280" s="79"/>
      <c r="AR280" s="79"/>
      <c r="AS280" s="79"/>
      <c r="AT280" s="79"/>
      <c r="AU280" s="79"/>
      <c r="AV280" s="79"/>
      <c r="AW280" s="79"/>
      <c r="AX280" s="79"/>
      <c r="AY280" s="79"/>
      <c r="AZ280" s="79"/>
      <c r="BA280" s="79"/>
      <c r="BB280" s="79"/>
      <c r="BC280" s="79"/>
      <c r="BD280" s="79"/>
      <c r="BE280" s="79"/>
      <c r="BF280" s="79"/>
      <c r="BG280" s="79"/>
      <c r="BH280" s="79"/>
      <c r="BI280" s="79"/>
      <c r="BJ280" s="79"/>
      <c r="BK280" s="79"/>
    </row>
    <row r="281" spans="2:63" s="76" customFormat="1" ht="12.75">
      <c r="B281" s="5" t="s">
        <v>82</v>
      </c>
      <c r="C281" s="5"/>
      <c r="D281" s="5" t="s">
        <v>17</v>
      </c>
      <c r="G281" s="79">
        <v>22.7</v>
      </c>
      <c r="H281" s="79"/>
      <c r="I281" s="79">
        <v>22</v>
      </c>
      <c r="J281" s="79"/>
      <c r="K281" s="79">
        <v>21.5</v>
      </c>
      <c r="L281" s="79"/>
      <c r="M281" s="79">
        <v>24.8</v>
      </c>
      <c r="N281" s="79"/>
      <c r="O281" s="79">
        <v>25.9</v>
      </c>
      <c r="P281" s="79"/>
      <c r="Q281" s="79">
        <v>25.4</v>
      </c>
      <c r="R281" s="79"/>
      <c r="S281" s="79"/>
      <c r="T281" s="79"/>
      <c r="U281" s="79"/>
      <c r="V281" s="79"/>
      <c r="W281" s="79"/>
      <c r="X281" s="79"/>
      <c r="Y281" s="79"/>
      <c r="Z281" s="79"/>
      <c r="AA281" s="79"/>
      <c r="AB281" s="79"/>
      <c r="AC281" s="79"/>
      <c r="AD281" s="79"/>
      <c r="AE281" s="79"/>
      <c r="AF281" s="79"/>
      <c r="AG281" s="79"/>
      <c r="AH281" s="79"/>
      <c r="AI281" s="79"/>
      <c r="AJ281" s="79"/>
      <c r="AK281" s="79"/>
      <c r="AL281" s="79"/>
      <c r="AM281" s="79"/>
      <c r="AN281" s="79"/>
      <c r="AO281" s="79"/>
      <c r="AP281" s="79"/>
      <c r="AQ281" s="79"/>
      <c r="AR281" s="79"/>
      <c r="AS281" s="79"/>
      <c r="AT281" s="79"/>
      <c r="AU281" s="79"/>
      <c r="AV281" s="79"/>
      <c r="AW281" s="79"/>
      <c r="AX281" s="79"/>
      <c r="AY281" s="79"/>
      <c r="AZ281" s="79"/>
      <c r="BA281" s="79"/>
      <c r="BB281" s="79"/>
      <c r="BC281" s="79"/>
      <c r="BD281" s="79"/>
      <c r="BE281" s="79"/>
      <c r="BF281" s="79"/>
      <c r="BG281" s="79"/>
      <c r="BH281" s="79"/>
      <c r="BI281" s="79"/>
      <c r="BJ281" s="79"/>
      <c r="BK281" s="79"/>
    </row>
    <row r="282" spans="2:63" s="76" customFormat="1" ht="12.75">
      <c r="B282" s="5" t="s">
        <v>76</v>
      </c>
      <c r="C282" s="5"/>
      <c r="D282" s="5" t="s">
        <v>18</v>
      </c>
      <c r="G282" s="79">
        <v>147</v>
      </c>
      <c r="H282" s="79"/>
      <c r="I282" s="79">
        <v>135</v>
      </c>
      <c r="J282" s="79"/>
      <c r="K282" s="79">
        <v>142</v>
      </c>
      <c r="L282" s="79"/>
      <c r="M282" s="79">
        <v>147</v>
      </c>
      <c r="N282" s="79"/>
      <c r="O282" s="79">
        <v>151</v>
      </c>
      <c r="P282" s="79"/>
      <c r="Q282" s="79">
        <v>149</v>
      </c>
      <c r="R282" s="79"/>
      <c r="S282" s="79"/>
      <c r="T282" s="79"/>
      <c r="U282" s="79"/>
      <c r="V282" s="79"/>
      <c r="W282" s="79"/>
      <c r="X282" s="79"/>
      <c r="Y282" s="79"/>
      <c r="Z282" s="79"/>
      <c r="AA282" s="79"/>
      <c r="AB282" s="79"/>
      <c r="AC282" s="79"/>
      <c r="AD282" s="79"/>
      <c r="AE282" s="79"/>
      <c r="AF282" s="79"/>
      <c r="AG282" s="79"/>
      <c r="AH282" s="79"/>
      <c r="AI282" s="79"/>
      <c r="AJ282" s="79"/>
      <c r="AK282" s="79"/>
      <c r="AL282" s="79"/>
      <c r="AM282" s="79"/>
      <c r="AN282" s="79"/>
      <c r="AO282" s="79"/>
      <c r="AP282" s="79"/>
      <c r="AQ282" s="79"/>
      <c r="AR282" s="79"/>
      <c r="AS282" s="79"/>
      <c r="AT282" s="79"/>
      <c r="AU282" s="79"/>
      <c r="AV282" s="79"/>
      <c r="AW282" s="79"/>
      <c r="AX282" s="79"/>
      <c r="AY282" s="79"/>
      <c r="AZ282" s="79"/>
      <c r="BA282" s="79"/>
      <c r="BB282" s="79"/>
      <c r="BC282" s="79"/>
      <c r="BD282" s="79"/>
      <c r="BE282" s="79"/>
      <c r="BF282" s="79"/>
      <c r="BG282" s="79"/>
      <c r="BH282" s="79"/>
      <c r="BI282" s="79"/>
      <c r="BJ282" s="79"/>
      <c r="BK282" s="79"/>
    </row>
    <row r="283" spans="6:23" s="76" customFormat="1" ht="12.75">
      <c r="F283" s="77"/>
      <c r="G283" s="79"/>
      <c r="H283" s="79"/>
      <c r="I283" s="79"/>
      <c r="J283" s="79"/>
      <c r="K283" s="79"/>
      <c r="L283" s="77"/>
      <c r="M283" s="77"/>
      <c r="N283" s="77"/>
      <c r="O283" s="77"/>
      <c r="P283" s="77"/>
      <c r="Q283" s="77"/>
      <c r="R283" s="77"/>
      <c r="S283" s="77"/>
      <c r="T283" s="77"/>
      <c r="U283" s="77"/>
      <c r="V283" s="77"/>
      <c r="W283" s="77"/>
    </row>
    <row r="284" spans="2:23" s="76" customFormat="1" ht="12.75">
      <c r="B284" s="37" t="s">
        <v>205</v>
      </c>
      <c r="F284" s="77"/>
      <c r="G284" s="46" t="s">
        <v>209</v>
      </c>
      <c r="H284" s="46"/>
      <c r="I284" s="46" t="s">
        <v>210</v>
      </c>
      <c r="J284" s="46"/>
      <c r="K284" s="46" t="s">
        <v>211</v>
      </c>
      <c r="L284" s="46"/>
      <c r="M284" s="46" t="s">
        <v>232</v>
      </c>
      <c r="N284" s="46"/>
      <c r="O284" s="46" t="s">
        <v>286</v>
      </c>
      <c r="P284" s="46"/>
      <c r="Q284" s="46" t="s">
        <v>287</v>
      </c>
      <c r="R284" s="77"/>
      <c r="S284" s="46" t="s">
        <v>46</v>
      </c>
      <c r="T284" s="77"/>
      <c r="U284" s="77"/>
      <c r="V284" s="77"/>
      <c r="W284" s="77"/>
    </row>
    <row r="285" spans="6:23" s="76" customFormat="1" ht="12.75">
      <c r="F285" s="77"/>
      <c r="G285" s="79"/>
      <c r="H285" s="79"/>
      <c r="I285" s="79"/>
      <c r="J285" s="79"/>
      <c r="K285" s="79"/>
      <c r="L285" s="77"/>
      <c r="N285" s="77"/>
      <c r="O285" s="77"/>
      <c r="P285" s="77"/>
      <c r="Q285" s="77"/>
      <c r="R285" s="77"/>
      <c r="S285" s="77"/>
      <c r="T285" s="77"/>
      <c r="U285" s="77"/>
      <c r="V285" s="77"/>
      <c r="W285" s="77"/>
    </row>
    <row r="286" spans="1:24" s="76" customFormat="1" ht="12.75">
      <c r="A286" s="76" t="s">
        <v>205</v>
      </c>
      <c r="B286" s="76" t="s">
        <v>12</v>
      </c>
      <c r="C286" s="76" t="s">
        <v>331</v>
      </c>
      <c r="D286" s="76" t="s">
        <v>13</v>
      </c>
      <c r="E286" s="76" t="s">
        <v>14</v>
      </c>
      <c r="F286" s="77" t="s">
        <v>212</v>
      </c>
      <c r="G286" s="78">
        <v>0.002200021824</v>
      </c>
      <c r="H286" s="78" t="s">
        <v>212</v>
      </c>
      <c r="I286" s="78">
        <v>0.001600015872</v>
      </c>
      <c r="J286" s="78" t="s">
        <v>212</v>
      </c>
      <c r="K286" s="78">
        <v>0.00100000992</v>
      </c>
      <c r="L286" s="78" t="s">
        <v>212</v>
      </c>
      <c r="N286" s="78" t="s">
        <v>212</v>
      </c>
      <c r="O286" s="78"/>
      <c r="P286" s="78" t="s">
        <v>212</v>
      </c>
      <c r="Q286" s="78"/>
      <c r="R286" s="78" t="s">
        <v>212</v>
      </c>
      <c r="S286" s="78">
        <f>AVERAGE(G286,I286,K286)</f>
        <v>0.001600015872</v>
      </c>
      <c r="T286" s="78" t="s">
        <v>212</v>
      </c>
      <c r="U286" s="78"/>
      <c r="V286" s="77" t="s">
        <v>212</v>
      </c>
      <c r="W286" s="77"/>
      <c r="X286" s="76">
        <v>0.001600015872</v>
      </c>
    </row>
    <row r="287" spans="1:24" s="76" customFormat="1" ht="12.75">
      <c r="A287" s="76" t="s">
        <v>205</v>
      </c>
      <c r="B287" s="76" t="s">
        <v>113</v>
      </c>
      <c r="C287" s="76" t="s">
        <v>331</v>
      </c>
      <c r="D287" s="76" t="s">
        <v>15</v>
      </c>
      <c r="E287" s="76" t="s">
        <v>14</v>
      </c>
      <c r="F287" s="77" t="s">
        <v>212</v>
      </c>
      <c r="G287" s="79">
        <v>1.95</v>
      </c>
      <c r="H287" s="79" t="s">
        <v>212</v>
      </c>
      <c r="I287" s="79">
        <v>0.79</v>
      </c>
      <c r="J287" s="79" t="s">
        <v>212</v>
      </c>
      <c r="K287" s="79">
        <v>1.02</v>
      </c>
      <c r="L287" s="77" t="s">
        <v>212</v>
      </c>
      <c r="N287" s="77" t="s">
        <v>212</v>
      </c>
      <c r="O287" s="77"/>
      <c r="P287" s="77" t="s">
        <v>212</v>
      </c>
      <c r="Q287" s="77"/>
      <c r="R287" s="77" t="s">
        <v>212</v>
      </c>
      <c r="S287" s="79">
        <f>AVERAGE(G287,I287,K287)</f>
        <v>1.2533333333333334</v>
      </c>
      <c r="T287" s="77" t="s">
        <v>212</v>
      </c>
      <c r="U287" s="77"/>
      <c r="V287" s="77" t="s">
        <v>212</v>
      </c>
      <c r="W287" s="77"/>
      <c r="X287" s="76">
        <v>1.2533333333333332</v>
      </c>
    </row>
    <row r="288" spans="1:24" s="76" customFormat="1" ht="12.75">
      <c r="A288" s="76" t="s">
        <v>205</v>
      </c>
      <c r="B288" s="76" t="s">
        <v>49</v>
      </c>
      <c r="C288" s="76" t="s">
        <v>325</v>
      </c>
      <c r="D288" s="76" t="s">
        <v>15</v>
      </c>
      <c r="E288" s="76" t="s">
        <v>14</v>
      </c>
      <c r="F288" s="77" t="s">
        <v>212</v>
      </c>
      <c r="G288" s="79">
        <v>0.168834959886284</v>
      </c>
      <c r="H288" s="79" t="s">
        <v>212</v>
      </c>
      <c r="I288" s="79">
        <v>0.17402190181827423</v>
      </c>
      <c r="J288" s="79" t="s">
        <v>212</v>
      </c>
      <c r="K288" s="79">
        <v>0.14088099762869</v>
      </c>
      <c r="L288" s="77" t="s">
        <v>212</v>
      </c>
      <c r="N288" s="77" t="s">
        <v>212</v>
      </c>
      <c r="O288" s="77"/>
      <c r="P288" s="77" t="s">
        <v>212</v>
      </c>
      <c r="Q288" s="77"/>
      <c r="R288" s="77" t="s">
        <v>212</v>
      </c>
      <c r="S288" s="79">
        <f>AVERAGE(G288,I288,K288)</f>
        <v>0.16124595311108272</v>
      </c>
      <c r="T288" s="77" t="s">
        <v>212</v>
      </c>
      <c r="U288" s="77"/>
      <c r="V288" s="77" t="s">
        <v>212</v>
      </c>
      <c r="W288" s="77"/>
      <c r="X288" s="76">
        <v>0.16124595311108275</v>
      </c>
    </row>
    <row r="289" spans="1:24" s="76" customFormat="1" ht="12.75">
      <c r="A289" s="76" t="s">
        <v>205</v>
      </c>
      <c r="B289" s="76" t="s">
        <v>50</v>
      </c>
      <c r="C289" s="80" t="s">
        <v>325</v>
      </c>
      <c r="D289" s="76" t="s">
        <v>15</v>
      </c>
      <c r="E289" s="76" t="s">
        <v>14</v>
      </c>
      <c r="F289" s="77" t="s">
        <v>212</v>
      </c>
      <c r="G289" s="79">
        <v>0.09919861838170545</v>
      </c>
      <c r="H289" s="79" t="s">
        <v>212</v>
      </c>
      <c r="I289" s="79">
        <v>0.05422146703659526</v>
      </c>
      <c r="J289" s="79" t="s">
        <v>212</v>
      </c>
      <c r="K289" s="79">
        <v>0.06286163576763</v>
      </c>
      <c r="L289" s="77" t="s">
        <v>212</v>
      </c>
      <c r="N289" s="77" t="s">
        <v>212</v>
      </c>
      <c r="O289" s="77"/>
      <c r="P289" s="77" t="s">
        <v>212</v>
      </c>
      <c r="Q289" s="77"/>
      <c r="R289" s="77" t="s">
        <v>212</v>
      </c>
      <c r="S289" s="79">
        <f>AVERAGE(G289,I289,K289)</f>
        <v>0.0720939070619769</v>
      </c>
      <c r="T289" s="77" t="s">
        <v>212</v>
      </c>
      <c r="U289" s="77"/>
      <c r="V289" s="77" t="s">
        <v>212</v>
      </c>
      <c r="W289" s="77"/>
      <c r="X289" s="76">
        <v>0.0720939070619769</v>
      </c>
    </row>
    <row r="290" spans="2:23" s="76" customFormat="1" ht="12.75">
      <c r="B290" s="80" t="s">
        <v>326</v>
      </c>
      <c r="C290" s="80" t="s">
        <v>325</v>
      </c>
      <c r="D290" s="80" t="s">
        <v>15</v>
      </c>
      <c r="E290" s="80" t="s">
        <v>14</v>
      </c>
      <c r="F290" s="77"/>
      <c r="G290" s="79">
        <f>G288+2*G289</f>
        <v>0.36723219664969486</v>
      </c>
      <c r="H290" s="79"/>
      <c r="I290" s="79">
        <f>I288+2*I289</f>
        <v>0.28246483589146476</v>
      </c>
      <c r="J290" s="79"/>
      <c r="K290" s="79">
        <f>K288+2*K289</f>
        <v>0.26660426916394997</v>
      </c>
      <c r="L290" s="77"/>
      <c r="N290" s="77"/>
      <c r="O290" s="77"/>
      <c r="P290" s="77"/>
      <c r="Q290" s="77"/>
      <c r="R290" s="77"/>
      <c r="S290" s="79">
        <f>AVERAGE(G290,I290,K290)</f>
        <v>0.3054337672350365</v>
      </c>
      <c r="T290" s="77"/>
      <c r="U290" s="77"/>
      <c r="V290" s="77"/>
      <c r="W290" s="77"/>
    </row>
    <row r="291" spans="2:23" s="76" customFormat="1" ht="12.75">
      <c r="B291" s="80"/>
      <c r="C291" s="80"/>
      <c r="D291" s="80"/>
      <c r="E291" s="80"/>
      <c r="F291" s="77"/>
      <c r="G291" s="79"/>
      <c r="H291" s="79"/>
      <c r="I291" s="79"/>
      <c r="J291" s="79"/>
      <c r="K291" s="79"/>
      <c r="L291" s="77"/>
      <c r="N291" s="77"/>
      <c r="O291" s="77"/>
      <c r="P291" s="77"/>
      <c r="Q291" s="77"/>
      <c r="R291" s="77"/>
      <c r="S291" s="77"/>
      <c r="T291" s="77"/>
      <c r="U291" s="77"/>
      <c r="V291" s="77"/>
      <c r="W291" s="77"/>
    </row>
    <row r="292" spans="1:24" s="76" customFormat="1" ht="12.75">
      <c r="A292" s="76" t="s">
        <v>205</v>
      </c>
      <c r="B292" s="76" t="s">
        <v>103</v>
      </c>
      <c r="C292" s="80" t="s">
        <v>330</v>
      </c>
      <c r="D292" s="76" t="s">
        <v>54</v>
      </c>
      <c r="E292" s="76" t="s">
        <v>14</v>
      </c>
      <c r="F292" s="77" t="s">
        <v>212</v>
      </c>
      <c r="G292" s="79">
        <v>3.402688524590164</v>
      </c>
      <c r="H292" s="79" t="s">
        <v>212</v>
      </c>
      <c r="I292" s="79">
        <v>1.0760806451613</v>
      </c>
      <c r="J292" s="79" t="s">
        <v>212</v>
      </c>
      <c r="K292" s="79">
        <v>1.0848292682926828</v>
      </c>
      <c r="L292" s="77" t="s">
        <v>212</v>
      </c>
      <c r="N292" s="77" t="s">
        <v>212</v>
      </c>
      <c r="O292" s="77"/>
      <c r="P292" s="77" t="s">
        <v>212</v>
      </c>
      <c r="Q292" s="77"/>
      <c r="R292" s="77" t="s">
        <v>212</v>
      </c>
      <c r="S292" s="79">
        <f aca="true" t="shared" si="2" ref="S292:S301">AVERAGE(G292,I292,K292)</f>
        <v>1.8545328126813825</v>
      </c>
      <c r="T292" s="77" t="s">
        <v>212</v>
      </c>
      <c r="U292" s="77"/>
      <c r="V292" s="77" t="s">
        <v>212</v>
      </c>
      <c r="W292" s="77"/>
      <c r="X292" s="76">
        <v>1.8545328126813825</v>
      </c>
    </row>
    <row r="293" spans="1:24" s="76" customFormat="1" ht="12.75">
      <c r="A293" s="76" t="s">
        <v>205</v>
      </c>
      <c r="B293" s="76" t="s">
        <v>79</v>
      </c>
      <c r="C293" s="80" t="s">
        <v>330</v>
      </c>
      <c r="D293" s="76" t="s">
        <v>54</v>
      </c>
      <c r="E293" s="76" t="s">
        <v>14</v>
      </c>
      <c r="F293" s="77" t="s">
        <v>97</v>
      </c>
      <c r="G293" s="79">
        <v>0.029570983606557376</v>
      </c>
      <c r="H293" s="79" t="s">
        <v>97</v>
      </c>
      <c r="I293" s="79">
        <v>0.02909403225806451</v>
      </c>
      <c r="J293" s="79" t="s">
        <v>97</v>
      </c>
      <c r="K293" s="79">
        <v>0.030134146341463414</v>
      </c>
      <c r="L293" s="77" t="s">
        <v>212</v>
      </c>
      <c r="N293" s="77" t="s">
        <v>212</v>
      </c>
      <c r="O293" s="77"/>
      <c r="P293" s="77" t="s">
        <v>212</v>
      </c>
      <c r="Q293" s="77"/>
      <c r="R293" s="77" t="s">
        <v>212</v>
      </c>
      <c r="S293" s="79">
        <f t="shared" si="2"/>
        <v>0.029599720735361768</v>
      </c>
      <c r="T293" s="77" t="s">
        <v>212</v>
      </c>
      <c r="U293" s="77"/>
      <c r="V293" s="77" t="s">
        <v>212</v>
      </c>
      <c r="W293" s="77"/>
      <c r="X293" s="76">
        <v>0.029599720735361768</v>
      </c>
    </row>
    <row r="294" spans="1:24" s="76" customFormat="1" ht="12.75">
      <c r="A294" s="76" t="s">
        <v>205</v>
      </c>
      <c r="B294" s="76" t="s">
        <v>104</v>
      </c>
      <c r="C294" s="80" t="s">
        <v>330</v>
      </c>
      <c r="D294" s="76" t="s">
        <v>54</v>
      </c>
      <c r="E294" s="76" t="s">
        <v>14</v>
      </c>
      <c r="F294" s="77" t="s">
        <v>212</v>
      </c>
      <c r="G294" s="79">
        <v>1.174737704918033</v>
      </c>
      <c r="H294" s="79" t="s">
        <v>212</v>
      </c>
      <c r="I294" s="79">
        <v>0.8768064516129029</v>
      </c>
      <c r="J294" s="79" t="s">
        <v>212</v>
      </c>
      <c r="K294" s="79">
        <v>2.410731707317073</v>
      </c>
      <c r="L294" s="77" t="s">
        <v>212</v>
      </c>
      <c r="N294" s="77" t="s">
        <v>212</v>
      </c>
      <c r="O294" s="77"/>
      <c r="P294" s="77" t="s">
        <v>212</v>
      </c>
      <c r="Q294" s="77"/>
      <c r="R294" s="77" t="s">
        <v>212</v>
      </c>
      <c r="S294" s="79">
        <f t="shared" si="2"/>
        <v>1.4874252879493364</v>
      </c>
      <c r="T294" s="77" t="s">
        <v>212</v>
      </c>
      <c r="U294" s="77"/>
      <c r="V294" s="77" t="s">
        <v>212</v>
      </c>
      <c r="W294" s="77"/>
      <c r="X294" s="76">
        <v>1.4874252879493364</v>
      </c>
    </row>
    <row r="295" spans="1:24" s="76" customFormat="1" ht="12.75">
      <c r="A295" s="76" t="s">
        <v>205</v>
      </c>
      <c r="B295" s="76" t="s">
        <v>83</v>
      </c>
      <c r="C295" s="80" t="s">
        <v>330</v>
      </c>
      <c r="D295" s="76" t="s">
        <v>54</v>
      </c>
      <c r="E295" s="76" t="s">
        <v>14</v>
      </c>
      <c r="F295" s="77" t="s">
        <v>212</v>
      </c>
      <c r="G295" s="79">
        <v>4.010311475409837</v>
      </c>
      <c r="H295" s="79" t="s">
        <v>212</v>
      </c>
      <c r="I295" s="79">
        <v>2.032596774193548</v>
      </c>
      <c r="J295" s="79" t="s">
        <v>212</v>
      </c>
      <c r="K295" s="79">
        <v>2.3303739837398374</v>
      </c>
      <c r="L295" s="77" t="s">
        <v>212</v>
      </c>
      <c r="N295" s="77" t="s">
        <v>212</v>
      </c>
      <c r="O295" s="77"/>
      <c r="P295" s="77" t="s">
        <v>212</v>
      </c>
      <c r="Q295" s="77"/>
      <c r="R295" s="77" t="s">
        <v>212</v>
      </c>
      <c r="S295" s="79">
        <f t="shared" si="2"/>
        <v>2.7910940777810738</v>
      </c>
      <c r="T295" s="77" t="s">
        <v>212</v>
      </c>
      <c r="U295" s="77"/>
      <c r="V295" s="77" t="s">
        <v>212</v>
      </c>
      <c r="W295" s="77"/>
      <c r="X295" s="76">
        <v>2.7910940777810738</v>
      </c>
    </row>
    <row r="296" spans="1:24" s="76" customFormat="1" ht="12.75">
      <c r="A296" s="76" t="s">
        <v>205</v>
      </c>
      <c r="B296" s="76" t="s">
        <v>78</v>
      </c>
      <c r="C296" s="80" t="s">
        <v>330</v>
      </c>
      <c r="D296" s="76" t="s">
        <v>54</v>
      </c>
      <c r="E296" s="76" t="s">
        <v>14</v>
      </c>
      <c r="F296" s="77" t="s">
        <v>212</v>
      </c>
      <c r="G296" s="79">
        <v>61.57245901639345</v>
      </c>
      <c r="H296" s="79" t="s">
        <v>212</v>
      </c>
      <c r="I296" s="79">
        <v>33.478064516129</v>
      </c>
      <c r="J296" s="79" t="s">
        <v>212</v>
      </c>
      <c r="K296" s="79">
        <v>34.553821138211376</v>
      </c>
      <c r="L296" s="77" t="s">
        <v>212</v>
      </c>
      <c r="N296" s="77" t="s">
        <v>212</v>
      </c>
      <c r="O296" s="77"/>
      <c r="P296" s="77" t="s">
        <v>212</v>
      </c>
      <c r="Q296" s="77"/>
      <c r="R296" s="77" t="s">
        <v>212</v>
      </c>
      <c r="S296" s="79">
        <f t="shared" si="2"/>
        <v>43.20144822357795</v>
      </c>
      <c r="T296" s="77" t="s">
        <v>212</v>
      </c>
      <c r="U296" s="77"/>
      <c r="V296" s="77" t="s">
        <v>212</v>
      </c>
      <c r="W296" s="77"/>
      <c r="X296" s="76">
        <v>43.20144822357795</v>
      </c>
    </row>
    <row r="297" spans="1:24" s="76" customFormat="1" ht="12.75">
      <c r="A297" s="76" t="s">
        <v>205</v>
      </c>
      <c r="B297" s="76" t="s">
        <v>80</v>
      </c>
      <c r="C297" s="80" t="s">
        <v>330</v>
      </c>
      <c r="D297" s="76" t="s">
        <v>54</v>
      </c>
      <c r="E297" s="76" t="s">
        <v>14</v>
      </c>
      <c r="F297" s="77" t="s">
        <v>212</v>
      </c>
      <c r="G297" s="79">
        <v>899.2819672131149</v>
      </c>
      <c r="H297" s="79" t="s">
        <v>212</v>
      </c>
      <c r="I297" s="79">
        <v>1171.732258064516</v>
      </c>
      <c r="J297" s="79" t="s">
        <v>212</v>
      </c>
      <c r="K297" s="79">
        <v>454.0211382113821</v>
      </c>
      <c r="L297" s="77" t="s">
        <v>212</v>
      </c>
      <c r="N297" s="77" t="s">
        <v>212</v>
      </c>
      <c r="O297" s="77"/>
      <c r="P297" s="77" t="s">
        <v>212</v>
      </c>
      <c r="Q297" s="77"/>
      <c r="R297" s="77" t="s">
        <v>212</v>
      </c>
      <c r="S297" s="79">
        <f t="shared" si="2"/>
        <v>841.6784544963376</v>
      </c>
      <c r="T297" s="77" t="s">
        <v>212</v>
      </c>
      <c r="U297" s="77"/>
      <c r="V297" s="77" t="s">
        <v>212</v>
      </c>
      <c r="W297" s="77"/>
      <c r="X297" s="76">
        <v>841.6784544963376</v>
      </c>
    </row>
    <row r="298" spans="1:24" s="76" customFormat="1" ht="12.75">
      <c r="A298" s="76" t="s">
        <v>205</v>
      </c>
      <c r="B298" s="76" t="s">
        <v>105</v>
      </c>
      <c r="C298" s="80" t="s">
        <v>330</v>
      </c>
      <c r="D298" s="76" t="s">
        <v>54</v>
      </c>
      <c r="E298" s="76" t="s">
        <v>14</v>
      </c>
      <c r="F298" s="77" t="s">
        <v>212</v>
      </c>
      <c r="G298" s="79">
        <v>1.336770491803279</v>
      </c>
      <c r="H298" s="79" t="s">
        <v>212</v>
      </c>
      <c r="I298" s="79">
        <v>2.3115806451613</v>
      </c>
      <c r="J298" s="79" t="s">
        <v>212</v>
      </c>
      <c r="K298" s="79">
        <v>1.5267967479674796</v>
      </c>
      <c r="L298" s="77" t="s">
        <v>212</v>
      </c>
      <c r="N298" s="77" t="s">
        <v>212</v>
      </c>
      <c r="O298" s="77"/>
      <c r="P298" s="77" t="s">
        <v>212</v>
      </c>
      <c r="Q298" s="77"/>
      <c r="R298" s="77" t="s">
        <v>212</v>
      </c>
      <c r="S298" s="79">
        <f t="shared" si="2"/>
        <v>1.725049294977353</v>
      </c>
      <c r="T298" s="77" t="s">
        <v>212</v>
      </c>
      <c r="U298" s="77"/>
      <c r="V298" s="77" t="s">
        <v>212</v>
      </c>
      <c r="W298" s="77"/>
      <c r="X298" s="76">
        <v>1.725049294977353</v>
      </c>
    </row>
    <row r="299" spans="1:24" s="76" customFormat="1" ht="12.75">
      <c r="A299" s="76" t="s">
        <v>205</v>
      </c>
      <c r="B299" s="76" t="s">
        <v>110</v>
      </c>
      <c r="C299" s="80" t="s">
        <v>330</v>
      </c>
      <c r="D299" s="76" t="s">
        <v>54</v>
      </c>
      <c r="E299" s="76" t="s">
        <v>14</v>
      </c>
      <c r="F299" s="77" t="s">
        <v>212</v>
      </c>
      <c r="G299" s="79">
        <v>0.6076229508196722</v>
      </c>
      <c r="H299" s="79" t="s">
        <v>212</v>
      </c>
      <c r="I299" s="79">
        <v>0.5181129032258063</v>
      </c>
      <c r="J299" s="79" t="s">
        <v>212</v>
      </c>
      <c r="K299" s="79">
        <v>0.8035772357723576</v>
      </c>
      <c r="L299" s="77" t="s">
        <v>212</v>
      </c>
      <c r="N299" s="77" t="s">
        <v>212</v>
      </c>
      <c r="O299" s="77"/>
      <c r="P299" s="77" t="s">
        <v>212</v>
      </c>
      <c r="Q299" s="77"/>
      <c r="R299" s="77" t="s">
        <v>212</v>
      </c>
      <c r="S299" s="79">
        <f t="shared" si="2"/>
        <v>0.643104363272612</v>
      </c>
      <c r="T299" s="77" t="s">
        <v>212</v>
      </c>
      <c r="U299" s="77"/>
      <c r="V299" s="77" t="s">
        <v>212</v>
      </c>
      <c r="W299" s="77"/>
      <c r="X299" s="76">
        <v>0.643104363272612</v>
      </c>
    </row>
    <row r="300" spans="2:23" s="76" customFormat="1" ht="12.75">
      <c r="B300" s="80" t="s">
        <v>55</v>
      </c>
      <c r="C300" s="80" t="s">
        <v>330</v>
      </c>
      <c r="D300" s="80" t="s">
        <v>54</v>
      </c>
      <c r="E300" s="80" t="s">
        <v>14</v>
      </c>
      <c r="F300" s="77"/>
      <c r="G300" s="79">
        <f>G294+G296</f>
        <v>62.74719672131148</v>
      </c>
      <c r="H300" s="79"/>
      <c r="I300" s="79">
        <f>I294+I296</f>
        <v>34.3548709677419</v>
      </c>
      <c r="J300" s="79"/>
      <c r="K300" s="79">
        <f>K294+K296</f>
        <v>36.96455284552845</v>
      </c>
      <c r="L300" s="77"/>
      <c r="N300" s="77"/>
      <c r="O300" s="77"/>
      <c r="P300" s="77"/>
      <c r="Q300" s="77"/>
      <c r="R300" s="77"/>
      <c r="S300" s="79">
        <f t="shared" si="2"/>
        <v>44.68887351152728</v>
      </c>
      <c r="T300" s="77"/>
      <c r="U300" s="77"/>
      <c r="V300" s="77"/>
      <c r="W300" s="77"/>
    </row>
    <row r="301" spans="2:23" s="76" customFormat="1" ht="12.75">
      <c r="B301" s="80" t="s">
        <v>56</v>
      </c>
      <c r="C301" s="80" t="s">
        <v>330</v>
      </c>
      <c r="D301" s="80" t="s">
        <v>54</v>
      </c>
      <c r="E301" s="80" t="s">
        <v>14</v>
      </c>
      <c r="F301" s="77"/>
      <c r="G301" s="79">
        <f>G292+G293+G295</f>
        <v>7.442570983606558</v>
      </c>
      <c r="H301" s="79"/>
      <c r="I301" s="79">
        <f>I292+I293+I295</f>
        <v>3.1377714516129123</v>
      </c>
      <c r="J301" s="79"/>
      <c r="K301" s="79">
        <f>K292+K293+K295</f>
        <v>3.445337398373984</v>
      </c>
      <c r="L301" s="77"/>
      <c r="N301" s="77"/>
      <c r="O301" s="77"/>
      <c r="P301" s="77"/>
      <c r="Q301" s="77"/>
      <c r="R301" s="77"/>
      <c r="S301" s="79">
        <f t="shared" si="2"/>
        <v>4.675226611197818</v>
      </c>
      <c r="T301" s="77"/>
      <c r="U301" s="77"/>
      <c r="V301" s="77"/>
      <c r="W301" s="77"/>
    </row>
    <row r="303" spans="2:4" ht="12.75">
      <c r="B303" s="76" t="s">
        <v>84</v>
      </c>
      <c r="C303" s="76" t="s">
        <v>214</v>
      </c>
      <c r="D303" t="s">
        <v>324</v>
      </c>
    </row>
    <row r="304" spans="2:63" s="76" customFormat="1" ht="12.75">
      <c r="B304" s="5" t="s">
        <v>77</v>
      </c>
      <c r="C304" s="5"/>
      <c r="D304" s="5" t="s">
        <v>16</v>
      </c>
      <c r="G304" s="79">
        <v>34982</v>
      </c>
      <c r="H304" s="79"/>
      <c r="I304" s="79">
        <v>36197</v>
      </c>
      <c r="J304" s="79"/>
      <c r="K304" s="79">
        <v>37180</v>
      </c>
      <c r="L304" s="79"/>
      <c r="M304" s="79"/>
      <c r="N304" s="79"/>
      <c r="O304" s="79"/>
      <c r="P304" s="79"/>
      <c r="Q304" s="79"/>
      <c r="R304" s="79"/>
      <c r="S304" s="79"/>
      <c r="T304" s="79"/>
      <c r="U304" s="79"/>
      <c r="V304" s="79"/>
      <c r="W304" s="79"/>
      <c r="X304" s="79"/>
      <c r="Y304" s="79"/>
      <c r="Z304" s="79"/>
      <c r="AA304" s="79"/>
      <c r="AB304" s="79"/>
      <c r="AC304" s="79"/>
      <c r="AD304" s="79"/>
      <c r="AE304" s="79"/>
      <c r="AF304" s="79"/>
      <c r="AG304" s="79"/>
      <c r="AH304" s="79"/>
      <c r="AI304" s="79"/>
      <c r="AJ304" s="79"/>
      <c r="AK304" s="79"/>
      <c r="AL304" s="79"/>
      <c r="AM304" s="79"/>
      <c r="AN304" s="79"/>
      <c r="AO304" s="79"/>
      <c r="AP304" s="79"/>
      <c r="AQ304" s="79"/>
      <c r="AR304" s="79"/>
      <c r="AS304" s="79"/>
      <c r="AT304" s="79"/>
      <c r="AU304" s="79"/>
      <c r="AV304" s="79"/>
      <c r="AW304" s="79"/>
      <c r="AX304" s="79"/>
      <c r="AY304" s="79"/>
      <c r="AZ304" s="79"/>
      <c r="BA304" s="79"/>
      <c r="BB304" s="79"/>
      <c r="BC304" s="79"/>
      <c r="BD304" s="79"/>
      <c r="BE304" s="79"/>
      <c r="BF304" s="79"/>
      <c r="BG304" s="79"/>
      <c r="BH304" s="79"/>
      <c r="BI304" s="79"/>
      <c r="BJ304" s="79"/>
      <c r="BK304" s="79"/>
    </row>
    <row r="305" spans="2:63" s="76" customFormat="1" ht="12.75">
      <c r="B305" s="5" t="s">
        <v>81</v>
      </c>
      <c r="C305" s="5"/>
      <c r="D305" s="5" t="s">
        <v>17</v>
      </c>
      <c r="G305" s="79">
        <v>8.8</v>
      </c>
      <c r="H305" s="79"/>
      <c r="I305" s="79">
        <v>8.6</v>
      </c>
      <c r="J305" s="79"/>
      <c r="K305" s="79">
        <v>8.7</v>
      </c>
      <c r="L305" s="79"/>
      <c r="M305" s="79"/>
      <c r="N305" s="79"/>
      <c r="O305" s="79"/>
      <c r="P305" s="79"/>
      <c r="Q305" s="79"/>
      <c r="R305" s="79"/>
      <c r="S305" s="79"/>
      <c r="T305" s="79"/>
      <c r="U305" s="79"/>
      <c r="V305" s="79"/>
      <c r="W305" s="79"/>
      <c r="X305" s="79"/>
      <c r="Y305" s="79"/>
      <c r="Z305" s="79"/>
      <c r="AA305" s="79"/>
      <c r="AB305" s="79"/>
      <c r="AC305" s="79"/>
      <c r="AD305" s="79"/>
      <c r="AE305" s="79"/>
      <c r="AF305" s="79"/>
      <c r="AG305" s="79"/>
      <c r="AH305" s="79"/>
      <c r="AI305" s="79"/>
      <c r="AJ305" s="79"/>
      <c r="AK305" s="79"/>
      <c r="AL305" s="79"/>
      <c r="AM305" s="79"/>
      <c r="AN305" s="79"/>
      <c r="AO305" s="79"/>
      <c r="AP305" s="79"/>
      <c r="AQ305" s="79"/>
      <c r="AR305" s="79"/>
      <c r="AS305" s="79"/>
      <c r="AT305" s="79"/>
      <c r="AU305" s="79"/>
      <c r="AV305" s="79"/>
      <c r="AW305" s="79"/>
      <c r="AX305" s="79"/>
      <c r="AY305" s="79"/>
      <c r="AZ305" s="79"/>
      <c r="BA305" s="79"/>
      <c r="BB305" s="79"/>
      <c r="BC305" s="79"/>
      <c r="BD305" s="79"/>
      <c r="BE305" s="79"/>
      <c r="BF305" s="79"/>
      <c r="BG305" s="79"/>
      <c r="BH305" s="79"/>
      <c r="BI305" s="79"/>
      <c r="BJ305" s="79"/>
      <c r="BK305" s="79"/>
    </row>
    <row r="306" spans="1:63" s="76" customFormat="1" ht="12.75">
      <c r="A306" s="76" t="s">
        <v>205</v>
      </c>
      <c r="B306" s="5" t="s">
        <v>82</v>
      </c>
      <c r="C306" s="5"/>
      <c r="D306" s="5" t="s">
        <v>17</v>
      </c>
      <c r="G306" s="79">
        <v>8.3</v>
      </c>
      <c r="H306" s="79"/>
      <c r="I306" s="79">
        <v>8.8</v>
      </c>
      <c r="J306" s="79"/>
      <c r="K306" s="79">
        <v>8.6</v>
      </c>
      <c r="L306" s="79"/>
      <c r="M306" s="79"/>
      <c r="N306" s="79"/>
      <c r="O306" s="79"/>
      <c r="P306" s="79"/>
      <c r="Q306" s="79"/>
      <c r="R306" s="79"/>
      <c r="S306" s="79"/>
      <c r="T306" s="79"/>
      <c r="U306" s="79"/>
      <c r="V306" s="79"/>
      <c r="W306" s="79"/>
      <c r="X306" s="79"/>
      <c r="Y306" s="79"/>
      <c r="Z306" s="79"/>
      <c r="AA306" s="79"/>
      <c r="AB306" s="79"/>
      <c r="AC306" s="79"/>
      <c r="AD306" s="79"/>
      <c r="AE306" s="79"/>
      <c r="AF306" s="79"/>
      <c r="AG306" s="79"/>
      <c r="AH306" s="79"/>
      <c r="AI306" s="79"/>
      <c r="AJ306" s="79"/>
      <c r="AK306" s="79"/>
      <c r="AL306" s="79"/>
      <c r="AM306" s="79"/>
      <c r="AN306" s="79"/>
      <c r="AO306" s="79"/>
      <c r="AP306" s="79"/>
      <c r="AQ306" s="79"/>
      <c r="AR306" s="79"/>
      <c r="AS306" s="79"/>
      <c r="AT306" s="79"/>
      <c r="AU306" s="79"/>
      <c r="AV306" s="79"/>
      <c r="AW306" s="79"/>
      <c r="AX306" s="79"/>
      <c r="AY306" s="79"/>
      <c r="AZ306" s="79"/>
      <c r="BA306" s="79"/>
      <c r="BB306" s="79"/>
      <c r="BC306" s="79"/>
      <c r="BD306" s="79"/>
      <c r="BE306" s="79"/>
      <c r="BF306" s="79"/>
      <c r="BG306" s="79"/>
      <c r="BH306" s="79"/>
      <c r="BI306" s="79"/>
      <c r="BJ306" s="79"/>
      <c r="BK306" s="79"/>
    </row>
    <row r="307" spans="2:63" s="76" customFormat="1" ht="12.75">
      <c r="B307" s="5" t="s">
        <v>76</v>
      </c>
      <c r="C307" s="5"/>
      <c r="D307" s="5" t="s">
        <v>18</v>
      </c>
      <c r="G307" s="79">
        <v>112</v>
      </c>
      <c r="H307" s="79"/>
      <c r="I307" s="79">
        <v>115.2</v>
      </c>
      <c r="J307" s="79"/>
      <c r="K307" s="79">
        <v>112.7</v>
      </c>
      <c r="L307" s="79"/>
      <c r="M307" s="79"/>
      <c r="N307" s="79"/>
      <c r="O307" s="79"/>
      <c r="P307" s="79"/>
      <c r="Q307" s="79"/>
      <c r="R307" s="79"/>
      <c r="S307" s="79"/>
      <c r="T307" s="79"/>
      <c r="U307" s="79"/>
      <c r="V307" s="79"/>
      <c r="W307" s="79"/>
      <c r="X307" s="79"/>
      <c r="Y307" s="79"/>
      <c r="Z307" s="79"/>
      <c r="AA307" s="79"/>
      <c r="AB307" s="79"/>
      <c r="AC307" s="79"/>
      <c r="AD307" s="79"/>
      <c r="AE307" s="79"/>
      <c r="AF307" s="79"/>
      <c r="AG307" s="79"/>
      <c r="AH307" s="79"/>
      <c r="AI307" s="79"/>
      <c r="AJ307" s="79"/>
      <c r="AK307" s="79"/>
      <c r="AL307" s="79"/>
      <c r="AM307" s="79"/>
      <c r="AN307" s="79"/>
      <c r="AO307" s="79"/>
      <c r="AP307" s="79"/>
      <c r="AQ307" s="79"/>
      <c r="AR307" s="79"/>
      <c r="AS307" s="79"/>
      <c r="AT307" s="79"/>
      <c r="AU307" s="79"/>
      <c r="AV307" s="79"/>
      <c r="AW307" s="79"/>
      <c r="AX307" s="79"/>
      <c r="AY307" s="79"/>
      <c r="AZ307" s="79"/>
      <c r="BA307" s="79"/>
      <c r="BB307" s="79"/>
      <c r="BC307" s="79"/>
      <c r="BD307" s="79"/>
      <c r="BE307" s="79"/>
      <c r="BF307" s="79"/>
      <c r="BG307" s="79"/>
      <c r="BH307" s="79"/>
      <c r="BI307" s="79"/>
      <c r="BJ307" s="79"/>
      <c r="BK307" s="79"/>
    </row>
    <row r="308" spans="7:63" s="76" customFormat="1" ht="12.75">
      <c r="G308" s="79"/>
      <c r="H308" s="79"/>
      <c r="I308" s="79"/>
      <c r="J308" s="79"/>
      <c r="K308" s="79"/>
      <c r="L308" s="79"/>
      <c r="M308" s="79"/>
      <c r="N308" s="79"/>
      <c r="O308" s="79"/>
      <c r="P308" s="79"/>
      <c r="Q308" s="79"/>
      <c r="R308" s="79"/>
      <c r="S308" s="79"/>
      <c r="T308" s="79"/>
      <c r="U308" s="79"/>
      <c r="V308" s="79"/>
      <c r="W308" s="79"/>
      <c r="X308" s="79"/>
      <c r="Y308" s="79"/>
      <c r="Z308" s="79"/>
      <c r="AA308" s="79"/>
      <c r="AB308" s="79"/>
      <c r="AC308" s="79"/>
      <c r="AD308" s="79"/>
      <c r="AE308" s="79"/>
      <c r="AF308" s="79"/>
      <c r="AG308" s="79"/>
      <c r="AH308" s="79"/>
      <c r="AI308" s="79"/>
      <c r="AJ308" s="79"/>
      <c r="AK308" s="79"/>
      <c r="AL308" s="79"/>
      <c r="AM308" s="79"/>
      <c r="AN308" s="79"/>
      <c r="AO308" s="79"/>
      <c r="AP308" s="79"/>
      <c r="AQ308" s="79"/>
      <c r="AR308" s="79"/>
      <c r="AS308" s="79"/>
      <c r="AT308" s="79"/>
      <c r="AU308" s="79"/>
      <c r="AV308" s="79"/>
      <c r="AW308" s="79"/>
      <c r="AX308" s="79"/>
      <c r="AY308" s="79"/>
      <c r="AZ308" s="79"/>
      <c r="BA308" s="79"/>
      <c r="BB308" s="79"/>
      <c r="BC308" s="79"/>
      <c r="BD308" s="79"/>
      <c r="BE308" s="79"/>
      <c r="BF308" s="79"/>
      <c r="BG308" s="79"/>
      <c r="BH308" s="79"/>
      <c r="BI308" s="79"/>
      <c r="BJ308" s="79"/>
      <c r="BK308" s="79"/>
    </row>
    <row r="309" spans="2:63" s="76" customFormat="1" ht="12.75">
      <c r="B309" s="76" t="s">
        <v>84</v>
      </c>
      <c r="C309" s="76" t="s">
        <v>220</v>
      </c>
      <c r="D309" s="80" t="s">
        <v>325</v>
      </c>
      <c r="G309" s="79"/>
      <c r="H309" s="79"/>
      <c r="I309" s="79"/>
      <c r="J309" s="79"/>
      <c r="K309" s="79"/>
      <c r="L309" s="79"/>
      <c r="M309" s="79"/>
      <c r="N309" s="79"/>
      <c r="O309" s="79"/>
      <c r="P309" s="79"/>
      <c r="Q309" s="79"/>
      <c r="R309" s="79"/>
      <c r="S309" s="79"/>
      <c r="T309" s="79"/>
      <c r="U309" s="79"/>
      <c r="V309" s="79"/>
      <c r="W309" s="79"/>
      <c r="X309" s="79"/>
      <c r="Y309" s="79"/>
      <c r="Z309" s="79"/>
      <c r="AA309" s="79"/>
      <c r="AB309" s="79"/>
      <c r="AC309" s="79"/>
      <c r="AD309" s="79"/>
      <c r="AE309" s="79"/>
      <c r="AF309" s="79"/>
      <c r="AG309" s="79"/>
      <c r="AH309" s="79"/>
      <c r="AI309" s="79"/>
      <c r="AJ309" s="79"/>
      <c r="AK309" s="79"/>
      <c r="AL309" s="79"/>
      <c r="AM309" s="79"/>
      <c r="AN309" s="79"/>
      <c r="AO309" s="79"/>
      <c r="AP309" s="79"/>
      <c r="AQ309" s="79"/>
      <c r="AR309" s="79"/>
      <c r="AS309" s="79"/>
      <c r="AT309" s="79"/>
      <c r="AU309" s="79"/>
      <c r="AV309" s="79"/>
      <c r="AW309" s="79"/>
      <c r="AX309" s="79"/>
      <c r="AY309" s="79"/>
      <c r="AZ309" s="79"/>
      <c r="BA309" s="79"/>
      <c r="BB309" s="79"/>
      <c r="BC309" s="79"/>
      <c r="BD309" s="79"/>
      <c r="BE309" s="79"/>
      <c r="BF309" s="79"/>
      <c r="BG309" s="79"/>
      <c r="BH309" s="79"/>
      <c r="BI309" s="79"/>
      <c r="BJ309" s="79"/>
      <c r="BK309" s="79"/>
    </row>
    <row r="310" spans="2:63" s="76" customFormat="1" ht="12.75">
      <c r="B310" s="5" t="s">
        <v>77</v>
      </c>
      <c r="C310" s="5"/>
      <c r="D310" s="5" t="s">
        <v>16</v>
      </c>
      <c r="G310" s="79">
        <v>35482</v>
      </c>
      <c r="H310" s="79"/>
      <c r="I310" s="79">
        <v>35782</v>
      </c>
      <c r="J310" s="79"/>
      <c r="K310" s="79">
        <v>36046</v>
      </c>
      <c r="L310" s="79"/>
      <c r="M310" s="79"/>
      <c r="N310" s="79"/>
      <c r="O310" s="79"/>
      <c r="P310" s="79"/>
      <c r="Q310" s="79"/>
      <c r="R310" s="79"/>
      <c r="S310" s="79"/>
      <c r="T310" s="79"/>
      <c r="U310" s="79"/>
      <c r="V310" s="79"/>
      <c r="W310" s="79"/>
      <c r="X310" s="79"/>
      <c r="Y310" s="79"/>
      <c r="Z310" s="79"/>
      <c r="AA310" s="79"/>
      <c r="AB310" s="79"/>
      <c r="AC310" s="79"/>
      <c r="AD310" s="79"/>
      <c r="AE310" s="79"/>
      <c r="AF310" s="79"/>
      <c r="AG310" s="79"/>
      <c r="AH310" s="79"/>
      <c r="AI310" s="79"/>
      <c r="AJ310" s="79"/>
      <c r="AK310" s="79"/>
      <c r="AL310" s="79"/>
      <c r="AM310" s="79"/>
      <c r="AN310" s="79"/>
      <c r="AO310" s="79"/>
      <c r="AP310" s="79"/>
      <c r="AQ310" s="79"/>
      <c r="AR310" s="79"/>
      <c r="AS310" s="79"/>
      <c r="AT310" s="79"/>
      <c r="AU310" s="79"/>
      <c r="AV310" s="79"/>
      <c r="AW310" s="79"/>
      <c r="AX310" s="79"/>
      <c r="AY310" s="79"/>
      <c r="AZ310" s="79"/>
      <c r="BA310" s="79"/>
      <c r="BB310" s="79"/>
      <c r="BC310" s="79"/>
      <c r="BD310" s="79"/>
      <c r="BE310" s="79"/>
      <c r="BF310" s="79"/>
      <c r="BG310" s="79"/>
      <c r="BH310" s="79"/>
      <c r="BI310" s="79"/>
      <c r="BJ310" s="79"/>
      <c r="BK310" s="79"/>
    </row>
    <row r="311" spans="2:63" s="76" customFormat="1" ht="12.75">
      <c r="B311" s="5" t="s">
        <v>81</v>
      </c>
      <c r="C311" s="5"/>
      <c r="D311" s="5" t="s">
        <v>17</v>
      </c>
      <c r="G311" s="79">
        <v>8.8</v>
      </c>
      <c r="H311" s="79"/>
      <c r="I311" s="79">
        <v>8.6</v>
      </c>
      <c r="J311" s="79"/>
      <c r="K311" s="79">
        <v>8.7</v>
      </c>
      <c r="L311" s="79"/>
      <c r="M311" s="79"/>
      <c r="N311" s="79"/>
      <c r="O311" s="79"/>
      <c r="P311" s="79"/>
      <c r="Q311" s="79"/>
      <c r="R311" s="79"/>
      <c r="S311" s="79"/>
      <c r="T311" s="79"/>
      <c r="U311" s="79"/>
      <c r="V311" s="79"/>
      <c r="W311" s="79"/>
      <c r="X311" s="79"/>
      <c r="Y311" s="79"/>
      <c r="Z311" s="79"/>
      <c r="AA311" s="79"/>
      <c r="AB311" s="79"/>
      <c r="AC311" s="79"/>
      <c r="AD311" s="79"/>
      <c r="AE311" s="79"/>
      <c r="AF311" s="79"/>
      <c r="AG311" s="79"/>
      <c r="AH311" s="79"/>
      <c r="AI311" s="79"/>
      <c r="AJ311" s="79"/>
      <c r="AK311" s="79"/>
      <c r="AL311" s="79"/>
      <c r="AM311" s="79"/>
      <c r="AN311" s="79"/>
      <c r="AO311" s="79"/>
      <c r="AP311" s="79"/>
      <c r="AQ311" s="79"/>
      <c r="AR311" s="79"/>
      <c r="AS311" s="79"/>
      <c r="AT311" s="79"/>
      <c r="AU311" s="79"/>
      <c r="AV311" s="79"/>
      <c r="AW311" s="79"/>
      <c r="AX311" s="79"/>
      <c r="AY311" s="79"/>
      <c r="AZ311" s="79"/>
      <c r="BA311" s="79"/>
      <c r="BB311" s="79"/>
      <c r="BC311" s="79"/>
      <c r="BD311" s="79"/>
      <c r="BE311" s="79"/>
      <c r="BF311" s="79"/>
      <c r="BG311" s="79"/>
      <c r="BH311" s="79"/>
      <c r="BI311" s="79"/>
      <c r="BJ311" s="79"/>
      <c r="BK311" s="79"/>
    </row>
    <row r="312" spans="2:63" s="76" customFormat="1" ht="12.75">
      <c r="B312" s="5" t="s">
        <v>82</v>
      </c>
      <c r="C312" s="5"/>
      <c r="D312" s="5" t="s">
        <v>17</v>
      </c>
      <c r="G312" s="79">
        <v>8.8</v>
      </c>
      <c r="H312" s="79"/>
      <c r="I312" s="79">
        <v>9.5</v>
      </c>
      <c r="J312" s="79"/>
      <c r="K312" s="79">
        <v>9.2</v>
      </c>
      <c r="L312" s="79"/>
      <c r="M312" s="79"/>
      <c r="N312" s="79"/>
      <c r="O312" s="79"/>
      <c r="P312" s="79"/>
      <c r="Q312" s="79"/>
      <c r="R312" s="79"/>
      <c r="S312" s="79"/>
      <c r="T312" s="79"/>
      <c r="U312" s="79"/>
      <c r="V312" s="79"/>
      <c r="W312" s="79"/>
      <c r="X312" s="79"/>
      <c r="Y312" s="79"/>
      <c r="Z312" s="79"/>
      <c r="AA312" s="79"/>
      <c r="AB312" s="79"/>
      <c r="AC312" s="79"/>
      <c r="AD312" s="79"/>
      <c r="AE312" s="79"/>
      <c r="AF312" s="79"/>
      <c r="AG312" s="79"/>
      <c r="AH312" s="79"/>
      <c r="AI312" s="79"/>
      <c r="AJ312" s="79"/>
      <c r="AK312" s="79"/>
      <c r="AL312" s="79"/>
      <c r="AM312" s="79"/>
      <c r="AN312" s="79"/>
      <c r="AO312" s="79"/>
      <c r="AP312" s="79"/>
      <c r="AQ312" s="79"/>
      <c r="AR312" s="79"/>
      <c r="AS312" s="79"/>
      <c r="AT312" s="79"/>
      <c r="AU312" s="79"/>
      <c r="AV312" s="79"/>
      <c r="AW312" s="79"/>
      <c r="AX312" s="79"/>
      <c r="AY312" s="79"/>
      <c r="AZ312" s="79"/>
      <c r="BA312" s="79"/>
      <c r="BB312" s="79"/>
      <c r="BC312" s="79"/>
      <c r="BD312" s="79"/>
      <c r="BE312" s="79"/>
      <c r="BF312" s="79"/>
      <c r="BG312" s="79"/>
      <c r="BH312" s="79"/>
      <c r="BI312" s="79"/>
      <c r="BJ312" s="79"/>
      <c r="BK312" s="79"/>
    </row>
    <row r="313" spans="2:63" s="76" customFormat="1" ht="12.75">
      <c r="B313" s="5" t="s">
        <v>76</v>
      </c>
      <c r="C313" s="5"/>
      <c r="D313" s="5" t="s">
        <v>18</v>
      </c>
      <c r="G313" s="79">
        <v>113</v>
      </c>
      <c r="H313" s="79"/>
      <c r="I313" s="79">
        <v>115</v>
      </c>
      <c r="J313" s="79"/>
      <c r="K313" s="79">
        <v>112.2</v>
      </c>
      <c r="L313" s="79"/>
      <c r="M313" s="79"/>
      <c r="N313" s="79"/>
      <c r="O313" s="79"/>
      <c r="P313" s="79"/>
      <c r="Q313" s="79"/>
      <c r="R313" s="79"/>
      <c r="S313" s="79"/>
      <c r="T313" s="79"/>
      <c r="U313" s="79"/>
      <c r="V313" s="79"/>
      <c r="W313" s="79"/>
      <c r="X313" s="79"/>
      <c r="Y313" s="79"/>
      <c r="Z313" s="79"/>
      <c r="AA313" s="79"/>
      <c r="AB313" s="79"/>
      <c r="AC313" s="79"/>
      <c r="AD313" s="79"/>
      <c r="AE313" s="79"/>
      <c r="AF313" s="79"/>
      <c r="AG313" s="79"/>
      <c r="AH313" s="79"/>
      <c r="AI313" s="79"/>
      <c r="AJ313" s="79"/>
      <c r="AK313" s="79"/>
      <c r="AL313" s="79"/>
      <c r="AM313" s="79"/>
      <c r="AN313" s="79"/>
      <c r="AO313" s="79"/>
      <c r="AP313" s="79"/>
      <c r="AQ313" s="79"/>
      <c r="AR313" s="79"/>
      <c r="AS313" s="79"/>
      <c r="AT313" s="79"/>
      <c r="AU313" s="79"/>
      <c r="AV313" s="79"/>
      <c r="AW313" s="79"/>
      <c r="AX313" s="79"/>
      <c r="AY313" s="79"/>
      <c r="AZ313" s="79"/>
      <c r="BA313" s="79"/>
      <c r="BB313" s="79"/>
      <c r="BC313" s="79"/>
      <c r="BD313" s="79"/>
      <c r="BE313" s="79"/>
      <c r="BF313" s="79"/>
      <c r="BG313" s="79"/>
      <c r="BH313" s="79"/>
      <c r="BI313" s="79"/>
      <c r="BJ313" s="79"/>
      <c r="BK313" s="79"/>
    </row>
    <row r="314" spans="7:63" s="76" customFormat="1" ht="12.75">
      <c r="G314" s="79"/>
      <c r="H314" s="79"/>
      <c r="I314" s="79"/>
      <c r="J314" s="79"/>
      <c r="K314" s="79"/>
      <c r="L314" s="79"/>
      <c r="M314" s="79"/>
      <c r="N314" s="79"/>
      <c r="O314" s="79"/>
      <c r="P314" s="79"/>
      <c r="Q314" s="79"/>
      <c r="R314" s="79"/>
      <c r="S314" s="79"/>
      <c r="T314" s="79"/>
      <c r="U314" s="79"/>
      <c r="V314" s="79"/>
      <c r="W314" s="79"/>
      <c r="X314" s="79"/>
      <c r="Y314" s="79"/>
      <c r="Z314" s="79"/>
      <c r="AA314" s="79"/>
      <c r="AB314" s="79"/>
      <c r="AC314" s="79"/>
      <c r="AD314" s="79"/>
      <c r="AE314" s="79"/>
      <c r="AF314" s="79"/>
      <c r="AG314" s="79"/>
      <c r="AH314" s="79"/>
      <c r="AI314" s="79"/>
      <c r="AJ314" s="79"/>
      <c r="AK314" s="79"/>
      <c r="AL314" s="79"/>
      <c r="AM314" s="79"/>
      <c r="AN314" s="79"/>
      <c r="AO314" s="79"/>
      <c r="AP314" s="79"/>
      <c r="AQ314" s="79"/>
      <c r="AR314" s="79"/>
      <c r="AS314" s="79"/>
      <c r="AT314" s="79"/>
      <c r="AU314" s="79"/>
      <c r="AV314" s="79"/>
      <c r="AW314" s="79"/>
      <c r="AX314" s="79"/>
      <c r="AY314" s="79"/>
      <c r="AZ314" s="79"/>
      <c r="BA314" s="79"/>
      <c r="BB314" s="79"/>
      <c r="BC314" s="79"/>
      <c r="BD314" s="79"/>
      <c r="BE314" s="79"/>
      <c r="BF314" s="79"/>
      <c r="BG314" s="79"/>
      <c r="BH314" s="79"/>
      <c r="BI314" s="79"/>
      <c r="BJ314" s="79"/>
      <c r="BK314" s="79"/>
    </row>
    <row r="315" spans="2:63" s="76" customFormat="1" ht="12.75">
      <c r="B315" s="76" t="s">
        <v>84</v>
      </c>
      <c r="C315" s="76" t="s">
        <v>96</v>
      </c>
      <c r="D315" s="80" t="s">
        <v>330</v>
      </c>
      <c r="G315" s="79"/>
      <c r="H315" s="79"/>
      <c r="I315" s="79"/>
      <c r="J315" s="79"/>
      <c r="K315" s="79"/>
      <c r="L315" s="79"/>
      <c r="M315" s="79"/>
      <c r="N315" s="79"/>
      <c r="O315" s="79"/>
      <c r="P315" s="79"/>
      <c r="Q315" s="79"/>
      <c r="R315" s="79"/>
      <c r="S315" s="79"/>
      <c r="T315" s="79"/>
      <c r="U315" s="79"/>
      <c r="V315" s="79"/>
      <c r="W315" s="79"/>
      <c r="X315" s="79"/>
      <c r="Y315" s="79"/>
      <c r="Z315" s="79"/>
      <c r="AA315" s="79"/>
      <c r="AB315" s="79"/>
      <c r="AC315" s="79"/>
      <c r="AD315" s="79"/>
      <c r="AE315" s="79"/>
      <c r="AF315" s="79"/>
      <c r="AG315" s="79"/>
      <c r="AH315" s="79"/>
      <c r="AI315" s="79"/>
      <c r="AJ315" s="79"/>
      <c r="AK315" s="79"/>
      <c r="AL315" s="79"/>
      <c r="AM315" s="79"/>
      <c r="AN315" s="79"/>
      <c r="AO315" s="79"/>
      <c r="AP315" s="79"/>
      <c r="AQ315" s="79"/>
      <c r="AR315" s="79"/>
      <c r="AS315" s="79"/>
      <c r="AT315" s="79"/>
      <c r="AU315" s="79"/>
      <c r="AV315" s="79"/>
      <c r="AW315" s="79"/>
      <c r="AX315" s="79"/>
      <c r="AY315" s="79"/>
      <c r="AZ315" s="79"/>
      <c r="BA315" s="79"/>
      <c r="BB315" s="79"/>
      <c r="BC315" s="79"/>
      <c r="BD315" s="79"/>
      <c r="BE315" s="79"/>
      <c r="BF315" s="79"/>
      <c r="BG315" s="79"/>
      <c r="BH315" s="79"/>
      <c r="BI315" s="79"/>
      <c r="BJ315" s="79"/>
      <c r="BK315" s="79"/>
    </row>
    <row r="316" spans="2:63" s="76" customFormat="1" ht="12.75">
      <c r="B316" s="5" t="s">
        <v>77</v>
      </c>
      <c r="C316" s="5"/>
      <c r="D316" s="5" t="s">
        <v>16</v>
      </c>
      <c r="G316" s="79">
        <v>35669</v>
      </c>
      <c r="H316" s="79"/>
      <c r="I316" s="79">
        <v>35814</v>
      </c>
      <c r="J316" s="79"/>
      <c r="K316" s="79">
        <v>36374</v>
      </c>
      <c r="L316" s="79"/>
      <c r="M316" s="79"/>
      <c r="N316" s="79"/>
      <c r="O316" s="79"/>
      <c r="P316" s="79"/>
      <c r="Q316" s="79"/>
      <c r="R316" s="79"/>
      <c r="S316" s="79"/>
      <c r="T316" s="79"/>
      <c r="U316" s="79"/>
      <c r="V316" s="79"/>
      <c r="W316" s="79"/>
      <c r="X316" s="79"/>
      <c r="Y316" s="79"/>
      <c r="Z316" s="79"/>
      <c r="AA316" s="79"/>
      <c r="AB316" s="79"/>
      <c r="AC316" s="79"/>
      <c r="AD316" s="79"/>
      <c r="AE316" s="79"/>
      <c r="AF316" s="79"/>
      <c r="AG316" s="79"/>
      <c r="AH316" s="79"/>
      <c r="AI316" s="79"/>
      <c r="AJ316" s="79"/>
      <c r="AK316" s="79"/>
      <c r="AL316" s="79"/>
      <c r="AM316" s="79"/>
      <c r="AN316" s="79"/>
      <c r="AO316" s="79"/>
      <c r="AP316" s="79"/>
      <c r="AQ316" s="79"/>
      <c r="AR316" s="79"/>
      <c r="AS316" s="79"/>
      <c r="AT316" s="79"/>
      <c r="AU316" s="79"/>
      <c r="AV316" s="79"/>
      <c r="AW316" s="79"/>
      <c r="AX316" s="79"/>
      <c r="AY316" s="79"/>
      <c r="AZ316" s="79"/>
      <c r="BA316" s="79"/>
      <c r="BB316" s="79"/>
      <c r="BC316" s="79"/>
      <c r="BD316" s="79"/>
      <c r="BE316" s="79"/>
      <c r="BF316" s="79"/>
      <c r="BG316" s="79"/>
      <c r="BH316" s="79"/>
      <c r="BI316" s="79"/>
      <c r="BJ316" s="79"/>
      <c r="BK316" s="79"/>
    </row>
    <row r="317" spans="2:63" s="76" customFormat="1" ht="12.75">
      <c r="B317" s="5" t="s">
        <v>81</v>
      </c>
      <c r="C317" s="5"/>
      <c r="D317" s="5" t="s">
        <v>17</v>
      </c>
      <c r="G317" s="79">
        <v>8.8</v>
      </c>
      <c r="H317" s="79"/>
      <c r="I317" s="79">
        <v>8.6</v>
      </c>
      <c r="J317" s="79"/>
      <c r="K317" s="79">
        <v>8.7</v>
      </c>
      <c r="L317" s="79"/>
      <c r="M317" s="79"/>
      <c r="N317" s="79"/>
      <c r="O317" s="79"/>
      <c r="P317" s="79"/>
      <c r="Q317" s="79"/>
      <c r="R317" s="79"/>
      <c r="S317" s="79"/>
      <c r="T317" s="79"/>
      <c r="U317" s="79"/>
      <c r="V317" s="79"/>
      <c r="W317" s="79"/>
      <c r="X317" s="79"/>
      <c r="Y317" s="79"/>
      <c r="Z317" s="79"/>
      <c r="AA317" s="79"/>
      <c r="AB317" s="79"/>
      <c r="AC317" s="79"/>
      <c r="AD317" s="79"/>
      <c r="AE317" s="79"/>
      <c r="AF317" s="79"/>
      <c r="AG317" s="79"/>
      <c r="AH317" s="79"/>
      <c r="AI317" s="79"/>
      <c r="AJ317" s="79"/>
      <c r="AK317" s="79"/>
      <c r="AL317" s="79"/>
      <c r="AM317" s="79"/>
      <c r="AN317" s="79"/>
      <c r="AO317" s="79"/>
      <c r="AP317" s="79"/>
      <c r="AQ317" s="79"/>
      <c r="AR317" s="79"/>
      <c r="AS317" s="79"/>
      <c r="AT317" s="79"/>
      <c r="AU317" s="79"/>
      <c r="AV317" s="79"/>
      <c r="AW317" s="79"/>
      <c r="AX317" s="79"/>
      <c r="AY317" s="79"/>
      <c r="AZ317" s="79"/>
      <c r="BA317" s="79"/>
      <c r="BB317" s="79"/>
      <c r="BC317" s="79"/>
      <c r="BD317" s="79"/>
      <c r="BE317" s="79"/>
      <c r="BF317" s="79"/>
      <c r="BG317" s="79"/>
      <c r="BH317" s="79"/>
      <c r="BI317" s="79"/>
      <c r="BJ317" s="79"/>
      <c r="BK317" s="79"/>
    </row>
    <row r="318" spans="2:63" s="76" customFormat="1" ht="12.75">
      <c r="B318" s="5" t="s">
        <v>82</v>
      </c>
      <c r="C318" s="5"/>
      <c r="D318" s="5" t="s">
        <v>17</v>
      </c>
      <c r="G318" s="79">
        <v>9.1</v>
      </c>
      <c r="H318" s="79"/>
      <c r="I318" s="79">
        <v>8.8</v>
      </c>
      <c r="J318" s="79"/>
      <c r="K318" s="79">
        <v>9</v>
      </c>
      <c r="L318" s="79"/>
      <c r="M318" s="79"/>
      <c r="N318" s="79"/>
      <c r="O318" s="79"/>
      <c r="P318" s="79"/>
      <c r="Q318" s="79"/>
      <c r="R318" s="79"/>
      <c r="S318" s="79"/>
      <c r="T318" s="79"/>
      <c r="U318" s="79"/>
      <c r="V318" s="79"/>
      <c r="W318" s="79"/>
      <c r="X318" s="79"/>
      <c r="Y318" s="79"/>
      <c r="Z318" s="79"/>
      <c r="AA318" s="79"/>
      <c r="AB318" s="79"/>
      <c r="AC318" s="79"/>
      <c r="AD318" s="79"/>
      <c r="AE318" s="79"/>
      <c r="AF318" s="79"/>
      <c r="AG318" s="79"/>
      <c r="AH318" s="79"/>
      <c r="AI318" s="79"/>
      <c r="AJ318" s="79"/>
      <c r="AK318" s="79"/>
      <c r="AL318" s="79"/>
      <c r="AM318" s="79"/>
      <c r="AN318" s="79"/>
      <c r="AO318" s="79"/>
      <c r="AP318" s="79"/>
      <c r="AQ318" s="79"/>
      <c r="AR318" s="79"/>
      <c r="AS318" s="79"/>
      <c r="AT318" s="79"/>
      <c r="AU318" s="79"/>
      <c r="AV318" s="79"/>
      <c r="AW318" s="79"/>
      <c r="AX318" s="79"/>
      <c r="AY318" s="79"/>
      <c r="AZ318" s="79"/>
      <c r="BA318" s="79"/>
      <c r="BB318" s="79"/>
      <c r="BC318" s="79"/>
      <c r="BD318" s="79"/>
      <c r="BE318" s="79"/>
      <c r="BF318" s="79"/>
      <c r="BG318" s="79"/>
      <c r="BH318" s="79"/>
      <c r="BI318" s="79"/>
      <c r="BJ318" s="79"/>
      <c r="BK318" s="79"/>
    </row>
    <row r="319" spans="2:63" s="76" customFormat="1" ht="12.75">
      <c r="B319" s="5" t="s">
        <v>76</v>
      </c>
      <c r="C319" s="5"/>
      <c r="D319" s="5" t="s">
        <v>18</v>
      </c>
      <c r="G319" s="79">
        <v>112</v>
      </c>
      <c r="H319" s="79"/>
      <c r="I319" s="79">
        <v>112.9</v>
      </c>
      <c r="J319" s="79"/>
      <c r="K319" s="79">
        <v>110.3</v>
      </c>
      <c r="L319" s="79"/>
      <c r="M319" s="79"/>
      <c r="N319" s="79"/>
      <c r="O319" s="79"/>
      <c r="P319" s="79"/>
      <c r="Q319" s="79"/>
      <c r="R319" s="79"/>
      <c r="S319" s="79"/>
      <c r="T319" s="79"/>
      <c r="U319" s="79"/>
      <c r="V319" s="79"/>
      <c r="W319" s="79"/>
      <c r="X319" s="79"/>
      <c r="Y319" s="79"/>
      <c r="Z319" s="79"/>
      <c r="AA319" s="79"/>
      <c r="AB319" s="79"/>
      <c r="AC319" s="79"/>
      <c r="AD319" s="79"/>
      <c r="AE319" s="79"/>
      <c r="AF319" s="79"/>
      <c r="AG319" s="79"/>
      <c r="AH319" s="79"/>
      <c r="AI319" s="79"/>
      <c r="AJ319" s="79"/>
      <c r="AK319" s="79"/>
      <c r="AL319" s="79"/>
      <c r="AM319" s="79"/>
      <c r="AN319" s="79"/>
      <c r="AO319" s="79"/>
      <c r="AP319" s="79"/>
      <c r="AQ319" s="79"/>
      <c r="AR319" s="79"/>
      <c r="AS319" s="79"/>
      <c r="AT319" s="79"/>
      <c r="AU319" s="79"/>
      <c r="AV319" s="79"/>
      <c r="AW319" s="79"/>
      <c r="AX319" s="79"/>
      <c r="AY319" s="79"/>
      <c r="AZ319" s="79"/>
      <c r="BA319" s="79"/>
      <c r="BB319" s="79"/>
      <c r="BC319" s="79"/>
      <c r="BD319" s="79"/>
      <c r="BE319" s="79"/>
      <c r="BF319" s="79"/>
      <c r="BG319" s="79"/>
      <c r="BH319" s="79"/>
      <c r="BI319" s="79"/>
      <c r="BJ319" s="79"/>
      <c r="BK319" s="79"/>
    </row>
    <row r="320" spans="7:63" s="76" customFormat="1" ht="12.75">
      <c r="G320" s="79"/>
      <c r="H320" s="79"/>
      <c r="I320" s="79"/>
      <c r="J320" s="79"/>
      <c r="K320" s="79"/>
      <c r="L320" s="79"/>
      <c r="M320" s="79"/>
      <c r="N320" s="79"/>
      <c r="O320" s="79"/>
      <c r="P320" s="79"/>
      <c r="Q320" s="79"/>
      <c r="R320" s="79"/>
      <c r="S320" s="79"/>
      <c r="T320" s="79"/>
      <c r="U320" s="79"/>
      <c r="V320" s="79"/>
      <c r="W320" s="79"/>
      <c r="X320" s="79"/>
      <c r="Y320" s="79"/>
      <c r="Z320" s="79"/>
      <c r="AA320" s="79"/>
      <c r="AB320" s="79"/>
      <c r="AC320" s="79"/>
      <c r="AD320" s="79"/>
      <c r="AE320" s="79"/>
      <c r="AF320" s="79"/>
      <c r="AG320" s="79"/>
      <c r="AH320" s="79"/>
      <c r="AI320" s="79"/>
      <c r="AJ320" s="79"/>
      <c r="AK320" s="79"/>
      <c r="AL320" s="79"/>
      <c r="AM320" s="79"/>
      <c r="AN320" s="79"/>
      <c r="AO320" s="79"/>
      <c r="AP320" s="79"/>
      <c r="AQ320" s="79"/>
      <c r="AR320" s="79"/>
      <c r="AS320" s="79"/>
      <c r="AT320" s="79"/>
      <c r="AU320" s="79"/>
      <c r="AV320" s="79"/>
      <c r="AW320" s="79"/>
      <c r="AX320" s="79"/>
      <c r="AY320" s="79"/>
      <c r="AZ320" s="79"/>
      <c r="BA320" s="79"/>
      <c r="BB320" s="79"/>
      <c r="BC320" s="79"/>
      <c r="BD320" s="79"/>
      <c r="BE320" s="79"/>
      <c r="BF320" s="79"/>
      <c r="BG320" s="79"/>
      <c r="BH320" s="79"/>
      <c r="BI320" s="79"/>
      <c r="BJ320" s="79"/>
      <c r="BK320" s="79"/>
    </row>
    <row r="321" spans="2:63" s="76" customFormat="1" ht="12.75">
      <c r="B321" s="76" t="s">
        <v>84</v>
      </c>
      <c r="C321" s="76" t="s">
        <v>215</v>
      </c>
      <c r="D321" s="80" t="s">
        <v>331</v>
      </c>
      <c r="G321" s="79"/>
      <c r="H321" s="79"/>
      <c r="I321" s="79"/>
      <c r="J321" s="79"/>
      <c r="K321" s="79"/>
      <c r="L321" s="79"/>
      <c r="M321" s="79"/>
      <c r="N321" s="79"/>
      <c r="O321" s="79"/>
      <c r="P321" s="79"/>
      <c r="Q321" s="79"/>
      <c r="R321" s="79"/>
      <c r="S321" s="79"/>
      <c r="T321" s="79"/>
      <c r="U321" s="79"/>
      <c r="V321" s="79"/>
      <c r="W321" s="79"/>
      <c r="X321" s="79"/>
      <c r="Y321" s="79"/>
      <c r="Z321" s="79"/>
      <c r="AA321" s="79"/>
      <c r="AB321" s="79"/>
      <c r="AC321" s="79"/>
      <c r="AD321" s="79"/>
      <c r="AE321" s="79"/>
      <c r="AF321" s="79"/>
      <c r="AG321" s="79"/>
      <c r="AH321" s="79"/>
      <c r="AI321" s="79"/>
      <c r="AJ321" s="79"/>
      <c r="AK321" s="79"/>
      <c r="AL321" s="79"/>
      <c r="AM321" s="79"/>
      <c r="AN321" s="79"/>
      <c r="AO321" s="79"/>
      <c r="AP321" s="79"/>
      <c r="AQ321" s="79"/>
      <c r="AR321" s="79"/>
      <c r="AS321" s="79"/>
      <c r="AT321" s="79"/>
      <c r="AU321" s="79"/>
      <c r="AV321" s="79"/>
      <c r="AW321" s="79"/>
      <c r="AX321" s="79"/>
      <c r="AY321" s="79"/>
      <c r="AZ321" s="79"/>
      <c r="BA321" s="79"/>
      <c r="BB321" s="79"/>
      <c r="BC321" s="79"/>
      <c r="BD321" s="79"/>
      <c r="BE321" s="79"/>
      <c r="BF321" s="79"/>
      <c r="BG321" s="79"/>
      <c r="BH321" s="79"/>
      <c r="BI321" s="79"/>
      <c r="BJ321" s="79"/>
      <c r="BK321" s="79"/>
    </row>
    <row r="322" spans="2:63" s="76" customFormat="1" ht="12.75">
      <c r="B322" s="5" t="s">
        <v>77</v>
      </c>
      <c r="C322" s="5"/>
      <c r="D322" s="5" t="s">
        <v>16</v>
      </c>
      <c r="G322" s="79">
        <v>36053</v>
      </c>
      <c r="H322" s="79"/>
      <c r="I322" s="79">
        <v>34091</v>
      </c>
      <c r="J322" s="79"/>
      <c r="K322" s="79">
        <v>35564</v>
      </c>
      <c r="L322" s="79"/>
      <c r="M322" s="79"/>
      <c r="N322" s="79"/>
      <c r="O322" s="79"/>
      <c r="P322" s="79"/>
      <c r="Q322" s="79"/>
      <c r="R322" s="79"/>
      <c r="S322" s="79"/>
      <c r="T322" s="79"/>
      <c r="U322" s="79"/>
      <c r="V322" s="79"/>
      <c r="W322" s="79"/>
      <c r="X322" s="79"/>
      <c r="Y322" s="79"/>
      <c r="Z322" s="79"/>
      <c r="AA322" s="79"/>
      <c r="AB322" s="79"/>
      <c r="AC322" s="79"/>
      <c r="AD322" s="79"/>
      <c r="AE322" s="79"/>
      <c r="AF322" s="79"/>
      <c r="AG322" s="79"/>
      <c r="AH322" s="79"/>
      <c r="AI322" s="79"/>
      <c r="AJ322" s="79"/>
      <c r="AK322" s="79"/>
      <c r="AL322" s="79"/>
      <c r="AM322" s="79"/>
      <c r="AN322" s="79"/>
      <c r="AO322" s="79"/>
      <c r="AP322" s="79"/>
      <c r="AQ322" s="79"/>
      <c r="AR322" s="79"/>
      <c r="AS322" s="79"/>
      <c r="AT322" s="79"/>
      <c r="AU322" s="79"/>
      <c r="AV322" s="79"/>
      <c r="AW322" s="79"/>
      <c r="AX322" s="79"/>
      <c r="AY322" s="79"/>
      <c r="AZ322" s="79"/>
      <c r="BA322" s="79"/>
      <c r="BB322" s="79"/>
      <c r="BC322" s="79"/>
      <c r="BD322" s="79"/>
      <c r="BE322" s="79"/>
      <c r="BF322" s="79"/>
      <c r="BG322" s="79"/>
      <c r="BH322" s="79"/>
      <c r="BI322" s="79"/>
      <c r="BJ322" s="79"/>
      <c r="BK322" s="79"/>
    </row>
    <row r="323" spans="2:63" s="76" customFormat="1" ht="12.75">
      <c r="B323" s="5" t="s">
        <v>81</v>
      </c>
      <c r="C323" s="5"/>
      <c r="D323" s="5" t="s">
        <v>17</v>
      </c>
      <c r="G323" s="79">
        <v>8.8</v>
      </c>
      <c r="H323" s="79"/>
      <c r="I323" s="79">
        <v>8.6</v>
      </c>
      <c r="J323" s="79"/>
      <c r="K323" s="79">
        <v>8.7</v>
      </c>
      <c r="L323" s="79"/>
      <c r="M323" s="79"/>
      <c r="N323" s="79"/>
      <c r="O323" s="79"/>
      <c r="P323" s="79"/>
      <c r="Q323" s="79"/>
      <c r="R323" s="79"/>
      <c r="S323" s="79"/>
      <c r="T323" s="79"/>
      <c r="U323" s="79"/>
      <c r="V323" s="79"/>
      <c r="W323" s="79"/>
      <c r="X323" s="79"/>
      <c r="Y323" s="79"/>
      <c r="Z323" s="79"/>
      <c r="AA323" s="79"/>
      <c r="AB323" s="79"/>
      <c r="AC323" s="79"/>
      <c r="AD323" s="79"/>
      <c r="AE323" s="79"/>
      <c r="AF323" s="79"/>
      <c r="AG323" s="79"/>
      <c r="AH323" s="79"/>
      <c r="AI323" s="79"/>
      <c r="AJ323" s="79"/>
      <c r="AK323" s="79"/>
      <c r="AL323" s="79"/>
      <c r="AM323" s="79"/>
      <c r="AN323" s="79"/>
      <c r="AO323" s="79"/>
      <c r="AP323" s="79"/>
      <c r="AQ323" s="79"/>
      <c r="AR323" s="79"/>
      <c r="AS323" s="79"/>
      <c r="AT323" s="79"/>
      <c r="AU323" s="79"/>
      <c r="AV323" s="79"/>
      <c r="AW323" s="79"/>
      <c r="AX323" s="79"/>
      <c r="AY323" s="79"/>
      <c r="AZ323" s="79"/>
      <c r="BA323" s="79"/>
      <c r="BB323" s="79"/>
      <c r="BC323" s="79"/>
      <c r="BD323" s="79"/>
      <c r="BE323" s="79"/>
      <c r="BF323" s="79"/>
      <c r="BG323" s="79"/>
      <c r="BH323" s="79"/>
      <c r="BI323" s="79"/>
      <c r="BJ323" s="79"/>
      <c r="BK323" s="79"/>
    </row>
    <row r="324" spans="2:63" s="76" customFormat="1" ht="12.75">
      <c r="B324" s="5" t="s">
        <v>82</v>
      </c>
      <c r="C324" s="5"/>
      <c r="D324" s="5" t="s">
        <v>17</v>
      </c>
      <c r="G324" s="79">
        <v>8.5</v>
      </c>
      <c r="H324" s="79"/>
      <c r="I324" s="79">
        <v>9.2</v>
      </c>
      <c r="J324" s="79"/>
      <c r="K324" s="79">
        <v>7</v>
      </c>
      <c r="L324" s="79"/>
      <c r="M324" s="79"/>
      <c r="N324" s="79"/>
      <c r="O324" s="79"/>
      <c r="P324" s="79"/>
      <c r="Q324" s="79"/>
      <c r="R324" s="79"/>
      <c r="S324" s="79"/>
      <c r="T324" s="79"/>
      <c r="U324" s="79"/>
      <c r="V324" s="79"/>
      <c r="W324" s="79"/>
      <c r="X324" s="79"/>
      <c r="Y324" s="79"/>
      <c r="Z324" s="79"/>
      <c r="AA324" s="79"/>
      <c r="AB324" s="79"/>
      <c r="AC324" s="79"/>
      <c r="AD324" s="79"/>
      <c r="AE324" s="79"/>
      <c r="AF324" s="79"/>
      <c r="AG324" s="79"/>
      <c r="AH324" s="79"/>
      <c r="AI324" s="79"/>
      <c r="AJ324" s="79"/>
      <c r="AK324" s="79"/>
      <c r="AL324" s="79"/>
      <c r="AM324" s="79"/>
      <c r="AN324" s="79"/>
      <c r="AO324" s="79"/>
      <c r="AP324" s="79"/>
      <c r="AQ324" s="79"/>
      <c r="AR324" s="79"/>
      <c r="AS324" s="79"/>
      <c r="AT324" s="79"/>
      <c r="AU324" s="79"/>
      <c r="AV324" s="79"/>
      <c r="AW324" s="79"/>
      <c r="AX324" s="79"/>
      <c r="AY324" s="79"/>
      <c r="AZ324" s="79"/>
      <c r="BA324" s="79"/>
      <c r="BB324" s="79"/>
      <c r="BC324" s="79"/>
      <c r="BD324" s="79"/>
      <c r="BE324" s="79"/>
      <c r="BF324" s="79"/>
      <c r="BG324" s="79"/>
      <c r="BH324" s="79"/>
      <c r="BI324" s="79"/>
      <c r="BJ324" s="79"/>
      <c r="BK324" s="79"/>
    </row>
    <row r="325" spans="2:63" s="76" customFormat="1" ht="12.75">
      <c r="B325" s="5" t="s">
        <v>76</v>
      </c>
      <c r="C325" s="5"/>
      <c r="D325" s="5" t="s">
        <v>18</v>
      </c>
      <c r="G325" s="79">
        <v>114</v>
      </c>
      <c r="H325" s="79"/>
      <c r="I325" s="79">
        <v>114.75</v>
      </c>
      <c r="J325" s="79"/>
      <c r="K325" s="79">
        <v>111.79</v>
      </c>
      <c r="L325" s="79"/>
      <c r="M325" s="79"/>
      <c r="N325" s="79"/>
      <c r="O325" s="79"/>
      <c r="P325" s="79"/>
      <c r="Q325" s="79"/>
      <c r="R325" s="79"/>
      <c r="S325" s="79"/>
      <c r="T325" s="79"/>
      <c r="U325" s="79"/>
      <c r="V325" s="79"/>
      <c r="W325" s="79"/>
      <c r="X325" s="79"/>
      <c r="Y325" s="79"/>
      <c r="Z325" s="79"/>
      <c r="AA325" s="79"/>
      <c r="AB325" s="79"/>
      <c r="AC325" s="79"/>
      <c r="AD325" s="79"/>
      <c r="AE325" s="79"/>
      <c r="AF325" s="79"/>
      <c r="AG325" s="79"/>
      <c r="AH325" s="79"/>
      <c r="AI325" s="79"/>
      <c r="AJ325" s="79"/>
      <c r="AK325" s="79"/>
      <c r="AL325" s="79"/>
      <c r="AM325" s="79"/>
      <c r="AN325" s="79"/>
      <c r="AO325" s="79"/>
      <c r="AP325" s="79"/>
      <c r="AQ325" s="79"/>
      <c r="AR325" s="79"/>
      <c r="AS325" s="79"/>
      <c r="AT325" s="79"/>
      <c r="AU325" s="79"/>
      <c r="AV325" s="79"/>
      <c r="AW325" s="79"/>
      <c r="AX325" s="79"/>
      <c r="AY325" s="79"/>
      <c r="AZ325" s="79"/>
      <c r="BA325" s="79"/>
      <c r="BB325" s="79"/>
      <c r="BC325" s="79"/>
      <c r="BD325" s="79"/>
      <c r="BE325" s="79"/>
      <c r="BF325" s="79"/>
      <c r="BG325" s="79"/>
      <c r="BH325" s="79"/>
      <c r="BI325" s="79"/>
      <c r="BJ325" s="79"/>
      <c r="BK325" s="79"/>
    </row>
    <row r="327" spans="1:57" s="80" customFormat="1" ht="12.75">
      <c r="A327" s="80" t="s">
        <v>205</v>
      </c>
      <c r="B327" s="80" t="s">
        <v>217</v>
      </c>
      <c r="C327" s="80" t="s">
        <v>51</v>
      </c>
      <c r="D327" s="80" t="s">
        <v>17</v>
      </c>
      <c r="G327" s="81">
        <v>99.999995</v>
      </c>
      <c r="H327" s="81"/>
      <c r="I327" s="81">
        <v>99.999996</v>
      </c>
      <c r="J327" s="81"/>
      <c r="K327" s="81">
        <v>99.999993</v>
      </c>
      <c r="L327" s="81"/>
      <c r="M327" s="81"/>
      <c r="N327" s="81"/>
      <c r="O327" s="81"/>
      <c r="P327" s="81"/>
      <c r="Q327" s="81"/>
      <c r="R327" s="81"/>
      <c r="S327" s="81"/>
      <c r="T327" s="81"/>
      <c r="U327" s="81"/>
      <c r="V327" s="81"/>
      <c r="W327" s="81"/>
      <c r="X327" s="81"/>
      <c r="Y327" s="81"/>
      <c r="Z327" s="81"/>
      <c r="AA327" s="81"/>
      <c r="AB327" s="81"/>
      <c r="AC327" s="81"/>
      <c r="AD327" s="81"/>
      <c r="AE327" s="81"/>
      <c r="AF327" s="81"/>
      <c r="AG327" s="81"/>
      <c r="AH327" s="81"/>
      <c r="AI327" s="81"/>
      <c r="AJ327" s="81"/>
      <c r="AK327" s="81"/>
      <c r="AL327" s="81"/>
      <c r="AM327" s="81"/>
      <c r="AN327" s="81"/>
      <c r="AO327" s="81"/>
      <c r="AP327" s="81"/>
      <c r="AQ327" s="81"/>
      <c r="AR327" s="81"/>
      <c r="AS327" s="81"/>
      <c r="AT327" s="81"/>
      <c r="AU327" s="81"/>
      <c r="AV327" s="81"/>
      <c r="AW327" s="81"/>
      <c r="AX327" s="81"/>
      <c r="AY327" s="81"/>
      <c r="AZ327" s="81"/>
      <c r="BA327" s="81"/>
      <c r="BB327" s="81"/>
      <c r="BC327" s="81"/>
      <c r="BD327" s="81"/>
      <c r="BE327" s="81"/>
    </row>
    <row r="328" spans="1:57" s="80" customFormat="1" ht="12.75">
      <c r="A328" s="80" t="s">
        <v>205</v>
      </c>
      <c r="B328" s="80" t="s">
        <v>148</v>
      </c>
      <c r="C328" s="80" t="s">
        <v>51</v>
      </c>
      <c r="D328" s="80" t="s">
        <v>17</v>
      </c>
      <c r="G328" s="81">
        <v>99.99996</v>
      </c>
      <c r="H328" s="81"/>
      <c r="I328" s="81">
        <v>99.999961</v>
      </c>
      <c r="J328" s="81"/>
      <c r="K328" s="81">
        <v>99.999959</v>
      </c>
      <c r="L328" s="81"/>
      <c r="M328" s="81"/>
      <c r="N328" s="81"/>
      <c r="O328" s="81"/>
      <c r="P328" s="81"/>
      <c r="Q328" s="81"/>
      <c r="R328" s="81"/>
      <c r="S328" s="81"/>
      <c r="T328" s="81"/>
      <c r="U328" s="81"/>
      <c r="V328" s="81"/>
      <c r="W328" s="81"/>
      <c r="X328" s="81"/>
      <c r="Y328" s="81"/>
      <c r="Z328" s="81"/>
      <c r="AA328" s="81"/>
      <c r="AB328" s="81"/>
      <c r="AC328" s="81"/>
      <c r="AD328" s="81"/>
      <c r="AE328" s="81"/>
      <c r="AF328" s="81"/>
      <c r="AG328" s="81"/>
      <c r="AH328" s="81"/>
      <c r="AI328" s="81"/>
      <c r="AJ328" s="81"/>
      <c r="AK328" s="81"/>
      <c r="AL328" s="81"/>
      <c r="AM328" s="81"/>
      <c r="AN328" s="81"/>
      <c r="AO328" s="81"/>
      <c r="AP328" s="81"/>
      <c r="AQ328" s="81"/>
      <c r="AR328" s="81"/>
      <c r="AS328" s="81"/>
      <c r="AT328" s="81"/>
      <c r="AU328" s="81"/>
      <c r="AV328" s="81"/>
      <c r="AW328" s="81"/>
      <c r="AX328" s="81"/>
      <c r="AY328" s="81"/>
      <c r="AZ328" s="81"/>
      <c r="BA328" s="81"/>
      <c r="BB328" s="81"/>
      <c r="BC328" s="81"/>
      <c r="BD328" s="81"/>
      <c r="BE328" s="81"/>
    </row>
    <row r="329" spans="1:57" s="80" customFormat="1" ht="12.75">
      <c r="A329" s="80" t="s">
        <v>205</v>
      </c>
      <c r="B329" s="80" t="s">
        <v>151</v>
      </c>
      <c r="C329" s="80" t="s">
        <v>51</v>
      </c>
      <c r="D329" s="80" t="s">
        <v>17</v>
      </c>
      <c r="G329" s="81">
        <v>99.999941</v>
      </c>
      <c r="H329" s="81"/>
      <c r="I329" s="81">
        <v>99.999976</v>
      </c>
      <c r="J329" s="81"/>
      <c r="K329" s="81">
        <v>99.99997</v>
      </c>
      <c r="L329" s="81"/>
      <c r="M329" s="81"/>
      <c r="N329" s="81"/>
      <c r="O329" s="81"/>
      <c r="P329" s="81"/>
      <c r="Q329" s="81"/>
      <c r="R329" s="81"/>
      <c r="S329" s="81"/>
      <c r="T329" s="81"/>
      <c r="U329" s="81"/>
      <c r="V329" s="81"/>
      <c r="W329" s="81"/>
      <c r="X329" s="81"/>
      <c r="Y329" s="81"/>
      <c r="Z329" s="81"/>
      <c r="AA329" s="81"/>
      <c r="AB329" s="81"/>
      <c r="AC329" s="81"/>
      <c r="AD329" s="81"/>
      <c r="AE329" s="81"/>
      <c r="AF329" s="81"/>
      <c r="AG329" s="81"/>
      <c r="AH329" s="81"/>
      <c r="AI329" s="81"/>
      <c r="AJ329" s="81"/>
      <c r="AK329" s="81"/>
      <c r="AL329" s="81"/>
      <c r="AM329" s="81"/>
      <c r="AN329" s="81"/>
      <c r="AO329" s="81"/>
      <c r="AP329" s="81"/>
      <c r="AQ329" s="81"/>
      <c r="AR329" s="81"/>
      <c r="AS329" s="81"/>
      <c r="AT329" s="81"/>
      <c r="AU329" s="81"/>
      <c r="AV329" s="81"/>
      <c r="AW329" s="81"/>
      <c r="AX329" s="81"/>
      <c r="AY329" s="81"/>
      <c r="AZ329" s="81"/>
      <c r="BA329" s="81"/>
      <c r="BB329" s="81"/>
      <c r="BC329" s="81"/>
      <c r="BD329" s="81"/>
      <c r="BE329" s="81"/>
    </row>
    <row r="331" spans="2:19" ht="12.75">
      <c r="B331" s="3" t="s">
        <v>207</v>
      </c>
      <c r="G331" s="46" t="s">
        <v>209</v>
      </c>
      <c r="H331" s="46"/>
      <c r="I331" s="46" t="s">
        <v>210</v>
      </c>
      <c r="J331" s="46"/>
      <c r="K331" s="46" t="s">
        <v>211</v>
      </c>
      <c r="L331" s="46"/>
      <c r="S331" s="46" t="s">
        <v>46</v>
      </c>
    </row>
    <row r="332" ht="12.75">
      <c r="B332" s="3"/>
    </row>
    <row r="333" spans="2:4" ht="12.75">
      <c r="B333" s="76" t="s">
        <v>84</v>
      </c>
      <c r="C333" s="76" t="s">
        <v>221</v>
      </c>
      <c r="D333" t="s">
        <v>324</v>
      </c>
    </row>
    <row r="334" spans="2:63" s="76" customFormat="1" ht="12.75">
      <c r="B334" s="5" t="s">
        <v>77</v>
      </c>
      <c r="C334" s="5"/>
      <c r="D334" s="5" t="s">
        <v>16</v>
      </c>
      <c r="G334" s="79">
        <v>19500</v>
      </c>
      <c r="H334" s="79"/>
      <c r="I334" s="79">
        <v>24200</v>
      </c>
      <c r="J334" s="79"/>
      <c r="K334" s="79">
        <v>26600</v>
      </c>
      <c r="L334" s="79"/>
      <c r="M334" s="79"/>
      <c r="N334" s="79"/>
      <c r="O334" s="79"/>
      <c r="P334" s="79"/>
      <c r="Q334" s="79"/>
      <c r="R334" s="79"/>
      <c r="S334" s="79"/>
      <c r="T334" s="79"/>
      <c r="U334" s="79"/>
      <c r="V334" s="79"/>
      <c r="W334" s="79"/>
      <c r="X334" s="79"/>
      <c r="Y334" s="79"/>
      <c r="Z334" s="79"/>
      <c r="AA334" s="79"/>
      <c r="AB334" s="79"/>
      <c r="AC334" s="79"/>
      <c r="AD334" s="79"/>
      <c r="AE334" s="79"/>
      <c r="AF334" s="79"/>
      <c r="AG334" s="79"/>
      <c r="AH334" s="79"/>
      <c r="AI334" s="79"/>
      <c r="AJ334" s="79"/>
      <c r="AK334" s="79"/>
      <c r="AL334" s="79"/>
      <c r="AM334" s="79"/>
      <c r="AN334" s="79"/>
      <c r="AO334" s="79"/>
      <c r="AP334" s="79"/>
      <c r="AQ334" s="79"/>
      <c r="AR334" s="79"/>
      <c r="AS334" s="79"/>
      <c r="AT334" s="79"/>
      <c r="AU334" s="79"/>
      <c r="AV334" s="79"/>
      <c r="AW334" s="79"/>
      <c r="AX334" s="79"/>
      <c r="AY334" s="79"/>
      <c r="AZ334" s="79"/>
      <c r="BA334" s="79"/>
      <c r="BB334" s="79"/>
      <c r="BC334" s="79"/>
      <c r="BD334" s="79"/>
      <c r="BE334" s="79"/>
      <c r="BF334" s="79"/>
      <c r="BG334" s="79"/>
      <c r="BH334" s="79"/>
      <c r="BI334" s="79"/>
      <c r="BJ334" s="79"/>
      <c r="BK334" s="79"/>
    </row>
    <row r="335" spans="2:63" s="76" customFormat="1" ht="12.75">
      <c r="B335" s="5" t="s">
        <v>81</v>
      </c>
      <c r="C335" s="5"/>
      <c r="D335" s="5" t="s">
        <v>17</v>
      </c>
      <c r="G335" s="79">
        <v>12.5</v>
      </c>
      <c r="H335" s="79"/>
      <c r="I335" s="79">
        <v>10.5</v>
      </c>
      <c r="J335" s="79"/>
      <c r="K335" s="79">
        <v>10.5</v>
      </c>
      <c r="L335" s="79"/>
      <c r="M335" s="79"/>
      <c r="N335" s="79"/>
      <c r="O335" s="79"/>
      <c r="P335" s="79"/>
      <c r="Q335" s="79"/>
      <c r="R335" s="79"/>
      <c r="S335" s="79"/>
      <c r="T335" s="79"/>
      <c r="U335" s="79"/>
      <c r="V335" s="79"/>
      <c r="W335" s="79"/>
      <c r="X335" s="79"/>
      <c r="Y335" s="79"/>
      <c r="Z335" s="79"/>
      <c r="AA335" s="79"/>
      <c r="AB335" s="79"/>
      <c r="AC335" s="79"/>
      <c r="AD335" s="79"/>
      <c r="AE335" s="79"/>
      <c r="AF335" s="79"/>
      <c r="AG335" s="79"/>
      <c r="AH335" s="79"/>
      <c r="AI335" s="79"/>
      <c r="AJ335" s="79"/>
      <c r="AK335" s="79"/>
      <c r="AL335" s="79"/>
      <c r="AM335" s="79"/>
      <c r="AN335" s="79"/>
      <c r="AO335" s="79"/>
      <c r="AP335" s="79"/>
      <c r="AQ335" s="79"/>
      <c r="AR335" s="79"/>
      <c r="AS335" s="79"/>
      <c r="AT335" s="79"/>
      <c r="AU335" s="79"/>
      <c r="AV335" s="79"/>
      <c r="AW335" s="79"/>
      <c r="AX335" s="79"/>
      <c r="AY335" s="79"/>
      <c r="AZ335" s="79"/>
      <c r="BA335" s="79"/>
      <c r="BB335" s="79"/>
      <c r="BC335" s="79"/>
      <c r="BD335" s="79"/>
      <c r="BE335" s="79"/>
      <c r="BF335" s="79"/>
      <c r="BG335" s="79"/>
      <c r="BH335" s="79"/>
      <c r="BI335" s="79"/>
      <c r="BJ335" s="79"/>
      <c r="BK335" s="79"/>
    </row>
    <row r="336" spans="1:63" s="76" customFormat="1" ht="12.75">
      <c r="A336" s="76" t="s">
        <v>207</v>
      </c>
      <c r="B336" s="5" t="s">
        <v>82</v>
      </c>
      <c r="C336" s="5"/>
      <c r="D336" s="5" t="s">
        <v>17</v>
      </c>
      <c r="G336" s="79">
        <v>7.4</v>
      </c>
      <c r="H336" s="79"/>
      <c r="I336" s="79">
        <v>8.4</v>
      </c>
      <c r="J336" s="79"/>
      <c r="K336" s="79">
        <v>8.1</v>
      </c>
      <c r="L336" s="79"/>
      <c r="M336" s="79"/>
      <c r="N336" s="79"/>
      <c r="O336" s="79"/>
      <c r="P336" s="79"/>
      <c r="Q336" s="79"/>
      <c r="R336" s="79"/>
      <c r="S336" s="79"/>
      <c r="T336" s="79"/>
      <c r="U336" s="79"/>
      <c r="V336" s="79"/>
      <c r="W336" s="79"/>
      <c r="X336" s="79"/>
      <c r="Y336" s="79"/>
      <c r="Z336" s="79"/>
      <c r="AA336" s="79"/>
      <c r="AB336" s="79"/>
      <c r="AC336" s="79"/>
      <c r="AD336" s="79"/>
      <c r="AE336" s="79"/>
      <c r="AF336" s="79"/>
      <c r="AG336" s="79"/>
      <c r="AH336" s="79"/>
      <c r="AI336" s="79"/>
      <c r="AJ336" s="79"/>
      <c r="AK336" s="79"/>
      <c r="AL336" s="79"/>
      <c r="AM336" s="79"/>
      <c r="AN336" s="79"/>
      <c r="AO336" s="79"/>
      <c r="AP336" s="79"/>
      <c r="AQ336" s="79"/>
      <c r="AR336" s="79"/>
      <c r="AS336" s="79"/>
      <c r="AT336" s="79"/>
      <c r="AU336" s="79"/>
      <c r="AV336" s="79"/>
      <c r="AW336" s="79"/>
      <c r="AX336" s="79"/>
      <c r="AY336" s="79"/>
      <c r="AZ336" s="79"/>
      <c r="BA336" s="79"/>
      <c r="BB336" s="79"/>
      <c r="BC336" s="79"/>
      <c r="BD336" s="79"/>
      <c r="BE336" s="79"/>
      <c r="BF336" s="79"/>
      <c r="BG336" s="79"/>
      <c r="BH336" s="79"/>
      <c r="BI336" s="79"/>
      <c r="BJ336" s="79"/>
      <c r="BK336" s="79"/>
    </row>
    <row r="337" spans="2:63" s="76" customFormat="1" ht="12.75">
      <c r="B337" s="5" t="s">
        <v>76</v>
      </c>
      <c r="C337" s="5"/>
      <c r="D337" s="5" t="s">
        <v>18</v>
      </c>
      <c r="G337" s="79">
        <v>111</v>
      </c>
      <c r="H337" s="79"/>
      <c r="I337" s="79">
        <v>111</v>
      </c>
      <c r="J337" s="79"/>
      <c r="K337" s="79">
        <v>111</v>
      </c>
      <c r="L337" s="79"/>
      <c r="M337" s="79"/>
      <c r="N337" s="79"/>
      <c r="O337" s="79"/>
      <c r="P337" s="79"/>
      <c r="Q337" s="79"/>
      <c r="R337" s="79"/>
      <c r="S337" s="79"/>
      <c r="T337" s="79"/>
      <c r="U337" s="79"/>
      <c r="V337" s="79"/>
      <c r="W337" s="79"/>
      <c r="X337" s="79"/>
      <c r="Y337" s="79"/>
      <c r="Z337" s="79"/>
      <c r="AA337" s="79"/>
      <c r="AB337" s="79"/>
      <c r="AC337" s="79"/>
      <c r="AD337" s="79"/>
      <c r="AE337" s="79"/>
      <c r="AF337" s="79"/>
      <c r="AG337" s="79"/>
      <c r="AH337" s="79"/>
      <c r="AI337" s="79"/>
      <c r="AJ337" s="79"/>
      <c r="AK337" s="79"/>
      <c r="AL337" s="79"/>
      <c r="AM337" s="79"/>
      <c r="AN337" s="79"/>
      <c r="AO337" s="79"/>
      <c r="AP337" s="79"/>
      <c r="AQ337" s="79"/>
      <c r="AR337" s="79"/>
      <c r="AS337" s="79"/>
      <c r="AT337" s="79"/>
      <c r="AU337" s="79"/>
      <c r="AV337" s="79"/>
      <c r="AW337" s="79"/>
      <c r="AX337" s="79"/>
      <c r="AY337" s="79"/>
      <c r="AZ337" s="79"/>
      <c r="BA337" s="79"/>
      <c r="BB337" s="79"/>
      <c r="BC337" s="79"/>
      <c r="BD337" s="79"/>
      <c r="BE337" s="79"/>
      <c r="BF337" s="79"/>
      <c r="BG337" s="79"/>
      <c r="BH337" s="79"/>
      <c r="BI337" s="79"/>
      <c r="BJ337" s="79"/>
      <c r="BK337" s="79"/>
    </row>
    <row r="338" spans="7:63" s="76" customFormat="1" ht="12.75">
      <c r="G338" s="79"/>
      <c r="H338" s="79"/>
      <c r="I338" s="79"/>
      <c r="J338" s="79"/>
      <c r="K338" s="79"/>
      <c r="L338" s="79"/>
      <c r="M338" s="79"/>
      <c r="N338" s="79"/>
      <c r="O338" s="79"/>
      <c r="P338" s="79"/>
      <c r="Q338" s="79"/>
      <c r="R338" s="79"/>
      <c r="S338" s="79"/>
      <c r="T338" s="79"/>
      <c r="U338" s="79"/>
      <c r="V338" s="79"/>
      <c r="W338" s="79"/>
      <c r="X338" s="79"/>
      <c r="Y338" s="79"/>
      <c r="Z338" s="79"/>
      <c r="AA338" s="79"/>
      <c r="AB338" s="79"/>
      <c r="AC338" s="79"/>
      <c r="AD338" s="79"/>
      <c r="AE338" s="79"/>
      <c r="AF338" s="79"/>
      <c r="AG338" s="79"/>
      <c r="AH338" s="79"/>
      <c r="AI338" s="79"/>
      <c r="AJ338" s="79"/>
      <c r="AK338" s="79"/>
      <c r="AL338" s="79"/>
      <c r="AM338" s="79"/>
      <c r="AN338" s="79"/>
      <c r="AO338" s="79"/>
      <c r="AP338" s="79"/>
      <c r="AQ338" s="79"/>
      <c r="AR338" s="79"/>
      <c r="AS338" s="79"/>
      <c r="AT338" s="79"/>
      <c r="AU338" s="79"/>
      <c r="AV338" s="79"/>
      <c r="AW338" s="79"/>
      <c r="AX338" s="79"/>
      <c r="AY338" s="79"/>
      <c r="AZ338" s="79"/>
      <c r="BA338" s="79"/>
      <c r="BB338" s="79"/>
      <c r="BC338" s="79"/>
      <c r="BD338" s="79"/>
      <c r="BE338" s="79"/>
      <c r="BF338" s="79"/>
      <c r="BG338" s="79"/>
      <c r="BH338" s="79"/>
      <c r="BI338" s="79"/>
      <c r="BJ338" s="79"/>
      <c r="BK338" s="79"/>
    </row>
    <row r="339" spans="1:57" s="80" customFormat="1" ht="12.75">
      <c r="A339" s="80" t="s">
        <v>207</v>
      </c>
      <c r="B339" s="80" t="s">
        <v>217</v>
      </c>
      <c r="C339" s="80" t="s">
        <v>51</v>
      </c>
      <c r="D339" s="80" t="s">
        <v>17</v>
      </c>
      <c r="G339" s="81">
        <v>99.99993</v>
      </c>
      <c r="H339" s="81"/>
      <c r="I339" s="81">
        <v>99.99995</v>
      </c>
      <c r="J339" s="81"/>
      <c r="K339" s="81">
        <v>99.99994</v>
      </c>
      <c r="L339" s="81"/>
      <c r="M339" s="81"/>
      <c r="N339" s="81"/>
      <c r="O339" s="81"/>
      <c r="P339" s="81"/>
      <c r="Q339" s="81"/>
      <c r="R339" s="81"/>
      <c r="S339" s="81"/>
      <c r="T339" s="81"/>
      <c r="U339" s="81"/>
      <c r="V339" s="81"/>
      <c r="W339" s="81"/>
      <c r="X339" s="81"/>
      <c r="Y339" s="81"/>
      <c r="Z339" s="81"/>
      <c r="AA339" s="81"/>
      <c r="AB339" s="81"/>
      <c r="AC339" s="81"/>
      <c r="AD339" s="81"/>
      <c r="AE339" s="81"/>
      <c r="AF339" s="81"/>
      <c r="AG339" s="81"/>
      <c r="AH339" s="81"/>
      <c r="AI339" s="81"/>
      <c r="AJ339" s="81"/>
      <c r="AK339" s="81"/>
      <c r="AL339" s="81"/>
      <c r="AM339" s="81"/>
      <c r="AN339" s="81"/>
      <c r="AO339" s="81"/>
      <c r="AP339" s="81"/>
      <c r="AQ339" s="81"/>
      <c r="AR339" s="81"/>
      <c r="AS339" s="81"/>
      <c r="AT339" s="81"/>
      <c r="AU339" s="81"/>
      <c r="AV339" s="81"/>
      <c r="AW339" s="81"/>
      <c r="AX339" s="81"/>
      <c r="AY339" s="81"/>
      <c r="AZ339" s="81"/>
      <c r="BA339" s="81"/>
      <c r="BB339" s="81"/>
      <c r="BC339" s="81"/>
      <c r="BD339" s="81"/>
      <c r="BE339" s="81"/>
    </row>
    <row r="340" spans="1:57" s="80" customFormat="1" ht="12.75">
      <c r="A340" s="80" t="s">
        <v>207</v>
      </c>
      <c r="B340" s="80" t="s">
        <v>218</v>
      </c>
      <c r="C340" s="80" t="s">
        <v>51</v>
      </c>
      <c r="D340" s="80" t="s">
        <v>17</v>
      </c>
      <c r="G340" s="81">
        <v>99.99998</v>
      </c>
      <c r="H340" s="81"/>
      <c r="I340" s="81">
        <v>99.99999</v>
      </c>
      <c r="J340" s="81"/>
      <c r="K340" s="81">
        <v>99.99992</v>
      </c>
      <c r="L340" s="81"/>
      <c r="M340" s="81"/>
      <c r="N340" s="81"/>
      <c r="O340" s="81"/>
      <c r="P340" s="81"/>
      <c r="Q340" s="81"/>
      <c r="R340" s="81"/>
      <c r="S340" s="81"/>
      <c r="T340" s="81"/>
      <c r="U340" s="81"/>
      <c r="V340" s="81"/>
      <c r="W340" s="81"/>
      <c r="X340" s="81"/>
      <c r="Y340" s="81"/>
      <c r="Z340" s="81"/>
      <c r="AA340" s="81"/>
      <c r="AB340" s="81"/>
      <c r="AC340" s="81"/>
      <c r="AD340" s="81"/>
      <c r="AE340" s="81"/>
      <c r="AF340" s="81"/>
      <c r="AG340" s="81"/>
      <c r="AH340" s="81"/>
      <c r="AI340" s="81"/>
      <c r="AJ340" s="81"/>
      <c r="AK340" s="81"/>
      <c r="AL340" s="81"/>
      <c r="AM340" s="81"/>
      <c r="AN340" s="81"/>
      <c r="AO340" s="81"/>
      <c r="AP340" s="81"/>
      <c r="AQ340" s="81"/>
      <c r="AR340" s="81"/>
      <c r="AS340" s="81"/>
      <c r="AT340" s="81"/>
      <c r="AU340" s="81"/>
      <c r="AV340" s="81"/>
      <c r="AW340" s="81"/>
      <c r="AX340" s="81"/>
      <c r="AY340" s="81"/>
      <c r="AZ340" s="81"/>
      <c r="BA340" s="81"/>
      <c r="BB340" s="81"/>
      <c r="BC340" s="81"/>
      <c r="BD340" s="81"/>
      <c r="BE340" s="81"/>
    </row>
    <row r="341" spans="1:57" s="80" customFormat="1" ht="12.75">
      <c r="A341" s="80" t="s">
        <v>207</v>
      </c>
      <c r="B341" s="80" t="s">
        <v>148</v>
      </c>
      <c r="C341" s="80" t="s">
        <v>51</v>
      </c>
      <c r="D341" s="80" t="s">
        <v>17</v>
      </c>
      <c r="G341" s="81">
        <v>99.9986</v>
      </c>
      <c r="H341" s="81"/>
      <c r="I341" s="81">
        <v>99.99999</v>
      </c>
      <c r="J341" s="81"/>
      <c r="K341" s="81">
        <v>99.999995</v>
      </c>
      <c r="L341" s="81"/>
      <c r="M341" s="81"/>
      <c r="N341" s="81"/>
      <c r="O341" s="81"/>
      <c r="P341" s="81"/>
      <c r="Q341" s="81"/>
      <c r="R341" s="81"/>
      <c r="S341" s="81"/>
      <c r="T341" s="81"/>
      <c r="U341" s="81"/>
      <c r="V341" s="81"/>
      <c r="W341" s="81"/>
      <c r="X341" s="81"/>
      <c r="Y341" s="81"/>
      <c r="Z341" s="81"/>
      <c r="AA341" s="81"/>
      <c r="AB341" s="81"/>
      <c r="AC341" s="81"/>
      <c r="AD341" s="81"/>
      <c r="AE341" s="81"/>
      <c r="AF341" s="81"/>
      <c r="AG341" s="81"/>
      <c r="AH341" s="81"/>
      <c r="AI341" s="81"/>
      <c r="AJ341" s="81"/>
      <c r="AK341" s="81"/>
      <c r="AL341" s="81"/>
      <c r="AM341" s="81"/>
      <c r="AN341" s="81"/>
      <c r="AO341" s="81"/>
      <c r="AP341" s="81"/>
      <c r="AQ341" s="81"/>
      <c r="AR341" s="81"/>
      <c r="AS341" s="81"/>
      <c r="AT341" s="81"/>
      <c r="AU341" s="81"/>
      <c r="AV341" s="81"/>
      <c r="AW341" s="81"/>
      <c r="AX341" s="81"/>
      <c r="AY341" s="81"/>
      <c r="AZ341" s="81"/>
      <c r="BA341" s="81"/>
      <c r="BB341" s="81"/>
      <c r="BC341" s="81"/>
      <c r="BD341" s="81"/>
      <c r="BE341" s="81"/>
    </row>
    <row r="342" spans="1:57" s="80" customFormat="1" ht="12.75">
      <c r="A342" s="80" t="s">
        <v>207</v>
      </c>
      <c r="B342" s="80" t="s">
        <v>151</v>
      </c>
      <c r="C342" s="80" t="s">
        <v>51</v>
      </c>
      <c r="D342" s="80" t="s">
        <v>17</v>
      </c>
      <c r="G342" s="81">
        <v>99.999995</v>
      </c>
      <c r="H342" s="81"/>
      <c r="I342" s="81">
        <v>99.99999</v>
      </c>
      <c r="J342" s="81"/>
      <c r="K342" s="81">
        <v>99.999993</v>
      </c>
      <c r="L342" s="81"/>
      <c r="M342" s="81"/>
      <c r="N342" s="81"/>
      <c r="O342" s="81"/>
      <c r="P342" s="81"/>
      <c r="Q342" s="81"/>
      <c r="R342" s="81"/>
      <c r="S342" s="81"/>
      <c r="T342" s="81"/>
      <c r="U342" s="81"/>
      <c r="V342" s="81"/>
      <c r="W342" s="81"/>
      <c r="X342" s="81"/>
      <c r="Y342" s="81"/>
      <c r="Z342" s="81"/>
      <c r="AA342" s="81"/>
      <c r="AB342" s="81"/>
      <c r="AC342" s="81"/>
      <c r="AD342" s="81"/>
      <c r="AE342" s="81"/>
      <c r="AF342" s="81"/>
      <c r="AG342" s="81"/>
      <c r="AH342" s="81"/>
      <c r="AI342" s="81"/>
      <c r="AJ342" s="81"/>
      <c r="AK342" s="81"/>
      <c r="AL342" s="81"/>
      <c r="AM342" s="81"/>
      <c r="AN342" s="81"/>
      <c r="AO342" s="81"/>
      <c r="AP342" s="81"/>
      <c r="AQ342" s="81"/>
      <c r="AR342" s="81"/>
      <c r="AS342" s="81"/>
      <c r="AT342" s="81"/>
      <c r="AU342" s="81"/>
      <c r="AV342" s="81"/>
      <c r="AW342" s="81"/>
      <c r="AX342" s="81"/>
      <c r="AY342" s="81"/>
      <c r="AZ342" s="81"/>
      <c r="BA342" s="81"/>
      <c r="BB342" s="81"/>
      <c r="BC342" s="81"/>
      <c r="BD342" s="81"/>
      <c r="BE342" s="81"/>
    </row>
    <row r="344" spans="2:19" ht="12.75">
      <c r="B344" s="3" t="s">
        <v>208</v>
      </c>
      <c r="G344" s="46" t="s">
        <v>209</v>
      </c>
      <c r="H344" s="46"/>
      <c r="I344" s="46" t="s">
        <v>210</v>
      </c>
      <c r="J344" s="46"/>
      <c r="K344" s="46" t="s">
        <v>211</v>
      </c>
      <c r="L344" s="46"/>
      <c r="S344" s="46" t="s">
        <v>46</v>
      </c>
    </row>
    <row r="345" ht="12.75">
      <c r="B345" s="3"/>
    </row>
    <row r="346" spans="2:4" ht="12.75">
      <c r="B346" s="76" t="s">
        <v>84</v>
      </c>
      <c r="C346" s="76" t="s">
        <v>221</v>
      </c>
      <c r="D346" t="s">
        <v>324</v>
      </c>
    </row>
    <row r="347" spans="2:63" s="76" customFormat="1" ht="12.75">
      <c r="B347" s="5" t="s">
        <v>77</v>
      </c>
      <c r="C347" s="5"/>
      <c r="D347" s="5" t="s">
        <v>16</v>
      </c>
      <c r="G347" s="79">
        <v>14900</v>
      </c>
      <c r="H347" s="79"/>
      <c r="I347" s="79">
        <v>26500</v>
      </c>
      <c r="J347" s="79"/>
      <c r="K347" s="79">
        <v>27100</v>
      </c>
      <c r="L347" s="79"/>
      <c r="M347" s="79"/>
      <c r="N347" s="79"/>
      <c r="O347" s="79"/>
      <c r="P347" s="79"/>
      <c r="Q347" s="79"/>
      <c r="R347" s="79"/>
      <c r="S347" s="79"/>
      <c r="T347" s="79"/>
      <c r="U347" s="79"/>
      <c r="V347" s="79"/>
      <c r="W347" s="79"/>
      <c r="X347" s="79"/>
      <c r="Y347" s="79"/>
      <c r="Z347" s="79"/>
      <c r="AA347" s="79"/>
      <c r="AB347" s="79"/>
      <c r="AC347" s="79"/>
      <c r="AD347" s="79"/>
      <c r="AE347" s="79"/>
      <c r="AF347" s="79"/>
      <c r="AG347" s="79"/>
      <c r="AH347" s="79"/>
      <c r="AI347" s="79"/>
      <c r="AJ347" s="79"/>
      <c r="AK347" s="79"/>
      <c r="AL347" s="79"/>
      <c r="AM347" s="79"/>
      <c r="AN347" s="79"/>
      <c r="AO347" s="79"/>
      <c r="AP347" s="79"/>
      <c r="AQ347" s="79"/>
      <c r="AR347" s="79"/>
      <c r="AS347" s="79"/>
      <c r="AT347" s="79"/>
      <c r="AU347" s="79"/>
      <c r="AV347" s="79"/>
      <c r="AW347" s="79"/>
      <c r="AX347" s="79"/>
      <c r="AY347" s="79"/>
      <c r="AZ347" s="79"/>
      <c r="BA347" s="79"/>
      <c r="BB347" s="79"/>
      <c r="BC347" s="79"/>
      <c r="BD347" s="79"/>
      <c r="BE347" s="79"/>
      <c r="BF347" s="79"/>
      <c r="BG347" s="79"/>
      <c r="BH347" s="79"/>
      <c r="BI347" s="79"/>
      <c r="BJ347" s="79"/>
      <c r="BK347" s="79"/>
    </row>
    <row r="348" spans="2:63" s="76" customFormat="1" ht="12.75">
      <c r="B348" s="5" t="s">
        <v>81</v>
      </c>
      <c r="C348" s="5"/>
      <c r="D348" s="5" t="s">
        <v>17</v>
      </c>
      <c r="G348" s="79">
        <v>8.5</v>
      </c>
      <c r="H348" s="79"/>
      <c r="I348" s="79">
        <v>9</v>
      </c>
      <c r="J348" s="79"/>
      <c r="K348" s="79">
        <v>9</v>
      </c>
      <c r="L348" s="79"/>
      <c r="M348" s="79"/>
      <c r="N348" s="79"/>
      <c r="O348" s="79"/>
      <c r="P348" s="79"/>
      <c r="Q348" s="79"/>
      <c r="R348" s="79"/>
      <c r="S348" s="79"/>
      <c r="T348" s="79"/>
      <c r="U348" s="79"/>
      <c r="V348" s="79"/>
      <c r="W348" s="79"/>
      <c r="X348" s="79"/>
      <c r="Y348" s="79"/>
      <c r="Z348" s="79"/>
      <c r="AA348" s="79"/>
      <c r="AB348" s="79"/>
      <c r="AC348" s="79"/>
      <c r="AD348" s="79"/>
      <c r="AE348" s="79"/>
      <c r="AF348" s="79"/>
      <c r="AG348" s="79"/>
      <c r="AH348" s="79"/>
      <c r="AI348" s="79"/>
      <c r="AJ348" s="79"/>
      <c r="AK348" s="79"/>
      <c r="AL348" s="79"/>
      <c r="AM348" s="79"/>
      <c r="AN348" s="79"/>
      <c r="AO348" s="79"/>
      <c r="AP348" s="79"/>
      <c r="AQ348" s="79"/>
      <c r="AR348" s="79"/>
      <c r="AS348" s="79"/>
      <c r="AT348" s="79"/>
      <c r="AU348" s="79"/>
      <c r="AV348" s="79"/>
      <c r="AW348" s="79"/>
      <c r="AX348" s="79"/>
      <c r="AY348" s="79"/>
      <c r="AZ348" s="79"/>
      <c r="BA348" s="79"/>
      <c r="BB348" s="79"/>
      <c r="BC348" s="79"/>
      <c r="BD348" s="79"/>
      <c r="BE348" s="79"/>
      <c r="BF348" s="79"/>
      <c r="BG348" s="79"/>
      <c r="BH348" s="79"/>
      <c r="BI348" s="79"/>
      <c r="BJ348" s="79"/>
      <c r="BK348" s="79"/>
    </row>
    <row r="349" spans="1:63" s="76" customFormat="1" ht="12.75">
      <c r="A349" s="76" t="s">
        <v>208</v>
      </c>
      <c r="B349" s="5" t="s">
        <v>82</v>
      </c>
      <c r="C349" s="5"/>
      <c r="D349" s="5" t="s">
        <v>17</v>
      </c>
      <c r="G349" s="79">
        <v>8.7</v>
      </c>
      <c r="H349" s="79"/>
      <c r="I349" s="79">
        <v>8.8</v>
      </c>
      <c r="J349" s="79"/>
      <c r="K349" s="79">
        <v>8.7</v>
      </c>
      <c r="L349" s="79"/>
      <c r="M349" s="79"/>
      <c r="N349" s="79"/>
      <c r="O349" s="79"/>
      <c r="P349" s="79"/>
      <c r="Q349" s="79"/>
      <c r="R349" s="79"/>
      <c r="S349" s="79"/>
      <c r="T349" s="79"/>
      <c r="U349" s="79"/>
      <c r="V349" s="79"/>
      <c r="W349" s="79"/>
      <c r="X349" s="79"/>
      <c r="Y349" s="79"/>
      <c r="Z349" s="79"/>
      <c r="AA349" s="79"/>
      <c r="AB349" s="79"/>
      <c r="AC349" s="79"/>
      <c r="AD349" s="79"/>
      <c r="AE349" s="79"/>
      <c r="AF349" s="79"/>
      <c r="AG349" s="79"/>
      <c r="AH349" s="79"/>
      <c r="AI349" s="79"/>
      <c r="AJ349" s="79"/>
      <c r="AK349" s="79"/>
      <c r="AL349" s="79"/>
      <c r="AM349" s="79"/>
      <c r="AN349" s="79"/>
      <c r="AO349" s="79"/>
      <c r="AP349" s="79"/>
      <c r="AQ349" s="79"/>
      <c r="AR349" s="79"/>
      <c r="AS349" s="79"/>
      <c r="AT349" s="79"/>
      <c r="AU349" s="79"/>
      <c r="AV349" s="79"/>
      <c r="AW349" s="79"/>
      <c r="AX349" s="79"/>
      <c r="AY349" s="79"/>
      <c r="AZ349" s="79"/>
      <c r="BA349" s="79"/>
      <c r="BB349" s="79"/>
      <c r="BC349" s="79"/>
      <c r="BD349" s="79"/>
      <c r="BE349" s="79"/>
      <c r="BF349" s="79"/>
      <c r="BG349" s="79"/>
      <c r="BH349" s="79"/>
      <c r="BI349" s="79"/>
      <c r="BJ349" s="79"/>
      <c r="BK349" s="79"/>
    </row>
    <row r="350" spans="2:63" s="76" customFormat="1" ht="12.75">
      <c r="B350" s="5" t="s">
        <v>76</v>
      </c>
      <c r="C350" s="5"/>
      <c r="D350" s="5" t="s">
        <v>18</v>
      </c>
      <c r="G350" s="79">
        <v>114</v>
      </c>
      <c r="H350" s="79"/>
      <c r="I350" s="79">
        <v>113</v>
      </c>
      <c r="J350" s="79"/>
      <c r="K350" s="79">
        <v>114</v>
      </c>
      <c r="L350" s="79"/>
      <c r="M350" s="79"/>
      <c r="N350" s="79"/>
      <c r="O350" s="79"/>
      <c r="P350" s="79"/>
      <c r="Q350" s="79"/>
      <c r="R350" s="79"/>
      <c r="S350" s="79"/>
      <c r="T350" s="79"/>
      <c r="U350" s="79"/>
      <c r="V350" s="79"/>
      <c r="W350" s="79"/>
      <c r="X350" s="79"/>
      <c r="Y350" s="79"/>
      <c r="Z350" s="79"/>
      <c r="AA350" s="79"/>
      <c r="AB350" s="79"/>
      <c r="AC350" s="79"/>
      <c r="AD350" s="79"/>
      <c r="AE350" s="79"/>
      <c r="AF350" s="79"/>
      <c r="AG350" s="79"/>
      <c r="AH350" s="79"/>
      <c r="AI350" s="79"/>
      <c r="AJ350" s="79"/>
      <c r="AK350" s="79"/>
      <c r="AL350" s="79"/>
      <c r="AM350" s="79"/>
      <c r="AN350" s="79"/>
      <c r="AO350" s="79"/>
      <c r="AP350" s="79"/>
      <c r="AQ350" s="79"/>
      <c r="AR350" s="79"/>
      <c r="AS350" s="79"/>
      <c r="AT350" s="79"/>
      <c r="AU350" s="79"/>
      <c r="AV350" s="79"/>
      <c r="AW350" s="79"/>
      <c r="AX350" s="79"/>
      <c r="AY350" s="79"/>
      <c r="AZ350" s="79"/>
      <c r="BA350" s="79"/>
      <c r="BB350" s="79"/>
      <c r="BC350" s="79"/>
      <c r="BD350" s="79"/>
      <c r="BE350" s="79"/>
      <c r="BF350" s="79"/>
      <c r="BG350" s="79"/>
      <c r="BH350" s="79"/>
      <c r="BI350" s="79"/>
      <c r="BJ350" s="79"/>
      <c r="BK350" s="79"/>
    </row>
    <row r="352" spans="1:57" s="80" customFormat="1" ht="12.75">
      <c r="A352" s="80" t="s">
        <v>208</v>
      </c>
      <c r="B352" s="80" t="s">
        <v>217</v>
      </c>
      <c r="C352" s="80" t="s">
        <v>51</v>
      </c>
      <c r="D352" s="80" t="s">
        <v>17</v>
      </c>
      <c r="G352" s="81">
        <v>99.99995</v>
      </c>
      <c r="H352" s="81"/>
      <c r="I352" s="81">
        <v>99.99994</v>
      </c>
      <c r="J352" s="81"/>
      <c r="K352" s="81">
        <v>99.99994</v>
      </c>
      <c r="L352" s="81"/>
      <c r="M352" s="81"/>
      <c r="N352" s="81"/>
      <c r="O352" s="81"/>
      <c r="P352" s="81"/>
      <c r="Q352" s="81"/>
      <c r="R352" s="81"/>
      <c r="S352" s="81"/>
      <c r="T352" s="81"/>
      <c r="U352" s="81"/>
      <c r="V352" s="81"/>
      <c r="W352" s="81"/>
      <c r="X352" s="81"/>
      <c r="Y352" s="81"/>
      <c r="Z352" s="81"/>
      <c r="AA352" s="81"/>
      <c r="AB352" s="81"/>
      <c r="AC352" s="81"/>
      <c r="AD352" s="81"/>
      <c r="AE352" s="81"/>
      <c r="AF352" s="81"/>
      <c r="AG352" s="81"/>
      <c r="AH352" s="81"/>
      <c r="AI352" s="81"/>
      <c r="AJ352" s="81"/>
      <c r="AK352" s="81"/>
      <c r="AL352" s="81"/>
      <c r="AM352" s="81"/>
      <c r="AN352" s="81"/>
      <c r="AO352" s="81"/>
      <c r="AP352" s="81"/>
      <c r="AQ352" s="81"/>
      <c r="AR352" s="81"/>
      <c r="AS352" s="81"/>
      <c r="AT352" s="81"/>
      <c r="AU352" s="81"/>
      <c r="AV352" s="81"/>
      <c r="AW352" s="81"/>
      <c r="AX352" s="81"/>
      <c r="AY352" s="81"/>
      <c r="AZ352" s="81"/>
      <c r="BA352" s="81"/>
      <c r="BB352" s="81"/>
      <c r="BC352" s="81"/>
      <c r="BD352" s="81"/>
      <c r="BE352" s="81"/>
    </row>
    <row r="353" spans="1:57" s="80" customFormat="1" ht="12.75">
      <c r="A353" s="80" t="s">
        <v>208</v>
      </c>
      <c r="B353" s="80" t="s">
        <v>218</v>
      </c>
      <c r="C353" s="80" t="s">
        <v>51</v>
      </c>
      <c r="D353" s="80" t="s">
        <v>17</v>
      </c>
      <c r="G353" s="81">
        <v>99.99998</v>
      </c>
      <c r="H353" s="81"/>
      <c r="I353" s="81">
        <v>99.99996</v>
      </c>
      <c r="J353" s="81"/>
      <c r="K353" s="81">
        <v>99.99995</v>
      </c>
      <c r="L353" s="81"/>
      <c r="M353" s="81"/>
      <c r="N353" s="81"/>
      <c r="O353" s="81"/>
      <c r="P353" s="81"/>
      <c r="Q353" s="81"/>
      <c r="R353" s="81"/>
      <c r="S353" s="81"/>
      <c r="T353" s="81"/>
      <c r="U353" s="81"/>
      <c r="V353" s="81"/>
      <c r="W353" s="81"/>
      <c r="X353" s="81"/>
      <c r="Y353" s="81"/>
      <c r="Z353" s="81"/>
      <c r="AA353" s="81"/>
      <c r="AB353" s="81"/>
      <c r="AC353" s="81"/>
      <c r="AD353" s="81"/>
      <c r="AE353" s="81"/>
      <c r="AF353" s="81"/>
      <c r="AG353" s="81"/>
      <c r="AH353" s="81"/>
      <c r="AI353" s="81"/>
      <c r="AJ353" s="81"/>
      <c r="AK353" s="81"/>
      <c r="AL353" s="81"/>
      <c r="AM353" s="81"/>
      <c r="AN353" s="81"/>
      <c r="AO353" s="81"/>
      <c r="AP353" s="81"/>
      <c r="AQ353" s="81"/>
      <c r="AR353" s="81"/>
      <c r="AS353" s="81"/>
      <c r="AT353" s="81"/>
      <c r="AU353" s="81"/>
      <c r="AV353" s="81"/>
      <c r="AW353" s="81"/>
      <c r="AX353" s="81"/>
      <c r="AY353" s="81"/>
      <c r="AZ353" s="81"/>
      <c r="BA353" s="81"/>
      <c r="BB353" s="81"/>
      <c r="BC353" s="81"/>
      <c r="BD353" s="81"/>
      <c r="BE353" s="81"/>
    </row>
    <row r="354" spans="1:57" s="80" customFormat="1" ht="12.75">
      <c r="A354" s="80" t="s">
        <v>208</v>
      </c>
      <c r="B354" s="80" t="s">
        <v>148</v>
      </c>
      <c r="C354" s="80" t="s">
        <v>51</v>
      </c>
      <c r="D354" s="80" t="s">
        <v>17</v>
      </c>
      <c r="G354" s="81">
        <v>99.999991</v>
      </c>
      <c r="H354" s="81"/>
      <c r="I354" s="81">
        <v>99.999988</v>
      </c>
      <c r="J354" s="81"/>
      <c r="K354" s="81">
        <v>99.999989</v>
      </c>
      <c r="L354" s="81"/>
      <c r="M354" s="81"/>
      <c r="N354" s="81"/>
      <c r="O354" s="81"/>
      <c r="P354" s="81"/>
      <c r="Q354" s="81"/>
      <c r="R354" s="81"/>
      <c r="S354" s="81"/>
      <c r="T354" s="81"/>
      <c r="U354" s="81"/>
      <c r="V354" s="81"/>
      <c r="W354" s="81"/>
      <c r="X354" s="81"/>
      <c r="Y354" s="81"/>
      <c r="Z354" s="81"/>
      <c r="AA354" s="81"/>
      <c r="AB354" s="81"/>
      <c r="AC354" s="81"/>
      <c r="AD354" s="81"/>
      <c r="AE354" s="81"/>
      <c r="AF354" s="81"/>
      <c r="AG354" s="81"/>
      <c r="AH354" s="81"/>
      <c r="AI354" s="81"/>
      <c r="AJ354" s="81"/>
      <c r="AK354" s="81"/>
      <c r="AL354" s="81"/>
      <c r="AM354" s="81"/>
      <c r="AN354" s="81"/>
      <c r="AO354" s="81"/>
      <c r="AP354" s="81"/>
      <c r="AQ354" s="81"/>
      <c r="AR354" s="81"/>
      <c r="AS354" s="81"/>
      <c r="AT354" s="81"/>
      <c r="AU354" s="81"/>
      <c r="AV354" s="81"/>
      <c r="AW354" s="81"/>
      <c r="AX354" s="81"/>
      <c r="AY354" s="81"/>
      <c r="AZ354" s="81"/>
      <c r="BA354" s="81"/>
      <c r="BB354" s="81"/>
      <c r="BC354" s="81"/>
      <c r="BD354" s="81"/>
      <c r="BE354" s="81"/>
    </row>
    <row r="355" spans="1:57" s="80" customFormat="1" ht="12.75">
      <c r="A355" s="80" t="s">
        <v>208</v>
      </c>
      <c r="B355" s="80" t="s">
        <v>151</v>
      </c>
      <c r="C355" s="80" t="s">
        <v>51</v>
      </c>
      <c r="D355" s="80" t="s">
        <v>17</v>
      </c>
      <c r="G355" s="81">
        <v>99.999991</v>
      </c>
      <c r="H355" s="81"/>
      <c r="I355" s="81">
        <v>99.999988</v>
      </c>
      <c r="J355" s="81"/>
      <c r="K355" s="81">
        <v>99.999989</v>
      </c>
      <c r="L355" s="81"/>
      <c r="M355" s="81"/>
      <c r="N355" s="81"/>
      <c r="O355" s="81"/>
      <c r="P355" s="81"/>
      <c r="Q355" s="81"/>
      <c r="R355" s="81"/>
      <c r="S355" s="81"/>
      <c r="T355" s="81"/>
      <c r="U355" s="81"/>
      <c r="V355" s="81"/>
      <c r="W355" s="81"/>
      <c r="X355" s="81"/>
      <c r="Y355" s="81"/>
      <c r="Z355" s="81"/>
      <c r="AA355" s="81"/>
      <c r="AB355" s="81"/>
      <c r="AC355" s="81"/>
      <c r="AD355" s="81"/>
      <c r="AE355" s="81"/>
      <c r="AF355" s="81"/>
      <c r="AG355" s="81"/>
      <c r="AH355" s="81"/>
      <c r="AI355" s="81"/>
      <c r="AJ355" s="81"/>
      <c r="AK355" s="81"/>
      <c r="AL355" s="81"/>
      <c r="AM355" s="81"/>
      <c r="AN355" s="81"/>
      <c r="AO355" s="81"/>
      <c r="AP355" s="81"/>
      <c r="AQ355" s="81"/>
      <c r="AR355" s="81"/>
      <c r="AS355" s="81"/>
      <c r="AT355" s="81"/>
      <c r="AU355" s="81"/>
      <c r="AV355" s="81"/>
      <c r="AW355" s="81"/>
      <c r="AX355" s="81"/>
      <c r="AY355" s="81"/>
      <c r="AZ355" s="81"/>
      <c r="BA355" s="81"/>
      <c r="BB355" s="81"/>
      <c r="BC355" s="81"/>
      <c r="BD355" s="81"/>
      <c r="BE355" s="81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Q160"/>
  <sheetViews>
    <sheetView workbookViewId="0" topLeftCell="B1">
      <selection activeCell="B35" sqref="B35"/>
    </sheetView>
  </sheetViews>
  <sheetFormatPr defaultColWidth="9.140625" defaultRowHeight="12.75"/>
  <cols>
    <col min="1" max="1" width="2.28125" style="23" hidden="1" customWidth="1"/>
    <col min="2" max="2" width="24.28125" style="6" customWidth="1"/>
    <col min="3" max="3" width="3.28125" style="6" customWidth="1"/>
    <col min="4" max="4" width="9.28125" style="6" customWidth="1"/>
    <col min="5" max="5" width="4.140625" style="6" customWidth="1"/>
    <col min="6" max="6" width="2.8515625" style="23" customWidth="1"/>
    <col min="7" max="7" width="10.28125" style="24" customWidth="1"/>
    <col min="8" max="8" width="3.140625" style="24" customWidth="1"/>
    <col min="9" max="9" width="10.7109375" style="23" customWidth="1"/>
    <col min="10" max="10" width="3.140625" style="23" customWidth="1"/>
    <col min="11" max="11" width="9.421875" style="23" customWidth="1"/>
    <col min="12" max="12" width="2.140625" style="23" customWidth="1"/>
    <col min="13" max="13" width="9.421875" style="23" customWidth="1"/>
    <col min="14" max="14" width="2.57421875" style="23" customWidth="1"/>
    <col min="15" max="15" width="10.00390625" style="23" customWidth="1"/>
    <col min="16" max="16" width="2.28125" style="23" customWidth="1"/>
    <col min="17" max="17" width="10.57421875" style="23" customWidth="1"/>
    <col min="18" max="18" width="1.8515625" style="23" customWidth="1"/>
    <col min="19" max="19" width="9.57421875" style="23" customWidth="1"/>
    <col min="20" max="20" width="2.140625" style="23" customWidth="1"/>
    <col min="21" max="21" width="14.28125" style="23" customWidth="1"/>
    <col min="22" max="22" width="3.421875" style="23" customWidth="1"/>
    <col min="23" max="23" width="8.8515625" style="23" customWidth="1"/>
    <col min="24" max="24" width="2.00390625" style="23" customWidth="1"/>
    <col min="25" max="25" width="8.8515625" style="23" customWidth="1"/>
    <col min="26" max="26" width="3.28125" style="23" customWidth="1"/>
    <col min="27" max="27" width="8.8515625" style="23" customWidth="1"/>
    <col min="28" max="28" width="2.00390625" style="23" customWidth="1"/>
    <col min="29" max="29" width="8.8515625" style="23" customWidth="1"/>
    <col min="30" max="30" width="2.421875" style="23" customWidth="1"/>
    <col min="31" max="31" width="8.8515625" style="23" customWidth="1"/>
    <col min="32" max="32" width="2.421875" style="23" customWidth="1"/>
    <col min="33" max="33" width="8.8515625" style="23" customWidth="1"/>
    <col min="34" max="34" width="1.8515625" style="23" customWidth="1"/>
    <col min="35" max="35" width="8.8515625" style="23" customWidth="1"/>
    <col min="36" max="36" width="2.28125" style="23" customWidth="1"/>
    <col min="37" max="37" width="8.8515625" style="23" customWidth="1"/>
    <col min="38" max="38" width="2.140625" style="23" customWidth="1"/>
    <col min="39" max="39" width="10.140625" style="23" customWidth="1"/>
    <col min="40" max="40" width="2.57421875" style="23" customWidth="1"/>
    <col min="41" max="41" width="10.421875" style="23" customWidth="1"/>
    <col min="42" max="42" width="2.28125" style="23" customWidth="1"/>
    <col min="43" max="43" width="10.00390625" style="23" customWidth="1"/>
    <col min="44" max="44" width="2.28125" style="23" customWidth="1"/>
    <col min="45" max="45" width="10.57421875" style="23" customWidth="1"/>
    <col min="46" max="46" width="2.140625" style="23" customWidth="1"/>
    <col min="47" max="47" width="8.8515625" style="23" customWidth="1"/>
    <col min="48" max="48" width="2.140625" style="23" customWidth="1"/>
    <col min="49" max="49" width="8.8515625" style="23" customWidth="1"/>
    <col min="50" max="50" width="2.7109375" style="23" customWidth="1"/>
    <col min="51" max="51" width="8.8515625" style="23" customWidth="1"/>
    <col min="52" max="52" width="1.8515625" style="23" customWidth="1"/>
    <col min="53" max="53" width="8.28125" style="23" customWidth="1"/>
    <col min="54" max="54" width="2.7109375" style="23" customWidth="1"/>
    <col min="55" max="55" width="10.8515625" style="23" customWidth="1"/>
    <col min="56" max="56" width="3.00390625" style="23" customWidth="1"/>
    <col min="57" max="57" width="11.140625" style="23" customWidth="1"/>
    <col min="58" max="58" width="2.421875" style="23" customWidth="1"/>
    <col min="59" max="59" width="10.28125" style="23" customWidth="1"/>
    <col min="60" max="60" width="2.140625" style="23" customWidth="1"/>
    <col min="61" max="61" width="11.140625" style="23" customWidth="1"/>
    <col min="62" max="62" width="2.57421875" style="23" customWidth="1"/>
    <col min="63" max="63" width="10.00390625" style="23" customWidth="1"/>
    <col min="64" max="64" width="2.57421875" style="23" customWidth="1"/>
    <col min="65" max="65" width="9.7109375" style="23" customWidth="1"/>
    <col min="66" max="66" width="2.57421875" style="23" customWidth="1"/>
    <col min="67" max="67" width="10.00390625" style="23" customWidth="1"/>
    <col min="68" max="68" width="2.57421875" style="23" customWidth="1"/>
    <col min="69" max="69" width="8.8515625" style="23" customWidth="1"/>
    <col min="70" max="70" width="2.57421875" style="23" customWidth="1"/>
    <col min="71" max="16384" width="8.8515625" style="23" customWidth="1"/>
  </cols>
  <sheetData>
    <row r="1" spans="2:3" ht="12.75">
      <c r="B1" s="22" t="s">
        <v>293</v>
      </c>
      <c r="C1" s="22"/>
    </row>
    <row r="4" spans="1:69" ht="12.75">
      <c r="A4" s="23" t="s">
        <v>85</v>
      </c>
      <c r="B4" s="22" t="s">
        <v>134</v>
      </c>
      <c r="C4" s="22"/>
      <c r="G4" s="25" t="s">
        <v>209</v>
      </c>
      <c r="H4" s="25"/>
      <c r="I4" s="25" t="s">
        <v>210</v>
      </c>
      <c r="J4" s="25"/>
      <c r="K4" s="25" t="s">
        <v>211</v>
      </c>
      <c r="L4" s="25"/>
      <c r="M4" s="25" t="s">
        <v>46</v>
      </c>
      <c r="O4" s="25" t="s">
        <v>209</v>
      </c>
      <c r="P4" s="25"/>
      <c r="Q4" s="25" t="s">
        <v>210</v>
      </c>
      <c r="R4" s="25"/>
      <c r="S4" s="25" t="s">
        <v>211</v>
      </c>
      <c r="T4" s="25"/>
      <c r="U4" s="25" t="s">
        <v>46</v>
      </c>
      <c r="W4" s="25" t="s">
        <v>209</v>
      </c>
      <c r="X4" s="25"/>
      <c r="Y4" s="25" t="s">
        <v>210</v>
      </c>
      <c r="Z4" s="25"/>
      <c r="AA4" s="25" t="s">
        <v>211</v>
      </c>
      <c r="AB4" s="25"/>
      <c r="AC4" s="25" t="s">
        <v>46</v>
      </c>
      <c r="AE4" s="25" t="s">
        <v>209</v>
      </c>
      <c r="AF4" s="25"/>
      <c r="AG4" s="25" t="s">
        <v>210</v>
      </c>
      <c r="AH4" s="25"/>
      <c r="AI4" s="25" t="s">
        <v>211</v>
      </c>
      <c r="AJ4" s="25"/>
      <c r="AK4" s="25" t="s">
        <v>46</v>
      </c>
      <c r="AM4" s="25" t="s">
        <v>209</v>
      </c>
      <c r="AN4" s="25"/>
      <c r="AO4" s="25" t="s">
        <v>210</v>
      </c>
      <c r="AP4" s="25"/>
      <c r="AQ4" s="25" t="s">
        <v>211</v>
      </c>
      <c r="AR4" s="25"/>
      <c r="AS4" s="25" t="s">
        <v>46</v>
      </c>
      <c r="AU4" s="25" t="s">
        <v>209</v>
      </c>
      <c r="AV4" s="25"/>
      <c r="AW4" s="25" t="s">
        <v>210</v>
      </c>
      <c r="AX4" s="25"/>
      <c r="AY4" s="25" t="s">
        <v>211</v>
      </c>
      <c r="AZ4" s="25"/>
      <c r="BA4" s="25" t="s">
        <v>46</v>
      </c>
      <c r="BC4" s="25" t="s">
        <v>209</v>
      </c>
      <c r="BD4" s="25"/>
      <c r="BE4" s="25" t="s">
        <v>210</v>
      </c>
      <c r="BF4" s="25"/>
      <c r="BG4" s="25" t="s">
        <v>211</v>
      </c>
      <c r="BH4" s="25"/>
      <c r="BI4" s="25" t="s">
        <v>46</v>
      </c>
      <c r="BK4" s="23" t="s">
        <v>209</v>
      </c>
      <c r="BM4" s="23" t="s">
        <v>210</v>
      </c>
      <c r="BO4" s="23" t="s">
        <v>211</v>
      </c>
      <c r="BQ4" s="23" t="s">
        <v>46</v>
      </c>
    </row>
    <row r="5" ht="12.75">
      <c r="Q5" s="45"/>
    </row>
    <row r="6" spans="2:61" ht="12.75">
      <c r="B6" s="6" t="s">
        <v>358</v>
      </c>
      <c r="G6" s="24" t="s">
        <v>360</v>
      </c>
      <c r="I6" s="24" t="s">
        <v>360</v>
      </c>
      <c r="K6" s="24" t="s">
        <v>360</v>
      </c>
      <c r="M6" s="24" t="s">
        <v>360</v>
      </c>
      <c r="O6" s="24" t="s">
        <v>362</v>
      </c>
      <c r="Q6" s="24" t="s">
        <v>362</v>
      </c>
      <c r="S6" s="24" t="s">
        <v>362</v>
      </c>
      <c r="U6" s="24" t="s">
        <v>362</v>
      </c>
      <c r="W6" s="24" t="s">
        <v>363</v>
      </c>
      <c r="Y6" s="24" t="s">
        <v>363</v>
      </c>
      <c r="AA6" s="24" t="s">
        <v>363</v>
      </c>
      <c r="AC6" s="24" t="s">
        <v>363</v>
      </c>
      <c r="AE6" s="23" t="s">
        <v>364</v>
      </c>
      <c r="AG6" s="23" t="s">
        <v>364</v>
      </c>
      <c r="AI6" s="23" t="s">
        <v>364</v>
      </c>
      <c r="AK6" s="23" t="s">
        <v>364</v>
      </c>
      <c r="AM6" s="23" t="s">
        <v>366</v>
      </c>
      <c r="AO6" s="23" t="s">
        <v>366</v>
      </c>
      <c r="AQ6" s="23" t="s">
        <v>366</v>
      </c>
      <c r="AS6" s="23" t="s">
        <v>366</v>
      </c>
      <c r="AU6" s="23" t="s">
        <v>367</v>
      </c>
      <c r="AW6" s="23" t="s">
        <v>367</v>
      </c>
      <c r="AY6" s="23" t="s">
        <v>367</v>
      </c>
      <c r="BA6" s="23" t="s">
        <v>367</v>
      </c>
      <c r="BC6" s="23" t="s">
        <v>369</v>
      </c>
      <c r="BE6" s="23" t="s">
        <v>369</v>
      </c>
      <c r="BG6" s="23" t="s">
        <v>369</v>
      </c>
      <c r="BI6" s="23" t="s">
        <v>369</v>
      </c>
    </row>
    <row r="7" spans="2:61" ht="12.75">
      <c r="B7" s="6" t="s">
        <v>359</v>
      </c>
      <c r="G7" s="24" t="s">
        <v>361</v>
      </c>
      <c r="I7" s="24" t="s">
        <v>361</v>
      </c>
      <c r="K7" s="24" t="s">
        <v>361</v>
      </c>
      <c r="M7" s="24" t="s">
        <v>361</v>
      </c>
      <c r="O7" s="24" t="s">
        <v>361</v>
      </c>
      <c r="Q7" s="24" t="s">
        <v>361</v>
      </c>
      <c r="S7" s="24" t="s">
        <v>361</v>
      </c>
      <c r="U7" s="24" t="s">
        <v>361</v>
      </c>
      <c r="W7" s="24" t="s">
        <v>361</v>
      </c>
      <c r="Y7" s="24" t="s">
        <v>361</v>
      </c>
      <c r="AA7" s="24" t="s">
        <v>361</v>
      </c>
      <c r="AC7" s="24" t="s">
        <v>361</v>
      </c>
      <c r="AE7" s="23" t="s">
        <v>365</v>
      </c>
      <c r="AG7" s="23" t="s">
        <v>365</v>
      </c>
      <c r="AI7" s="23" t="s">
        <v>365</v>
      </c>
      <c r="AK7" s="23" t="s">
        <v>365</v>
      </c>
      <c r="AM7" s="23" t="s">
        <v>365</v>
      </c>
      <c r="AO7" s="23" t="s">
        <v>365</v>
      </c>
      <c r="AQ7" s="23" t="s">
        <v>365</v>
      </c>
      <c r="AS7" s="23" t="s">
        <v>365</v>
      </c>
      <c r="AU7" s="23" t="s">
        <v>368</v>
      </c>
      <c r="AW7" s="23" t="s">
        <v>368</v>
      </c>
      <c r="AY7" s="23" t="s">
        <v>368</v>
      </c>
      <c r="BA7" s="23" t="s">
        <v>368</v>
      </c>
      <c r="BC7" s="23" t="s">
        <v>24</v>
      </c>
      <c r="BE7" s="23" t="s">
        <v>24</v>
      </c>
      <c r="BG7" s="23" t="s">
        <v>24</v>
      </c>
      <c r="BI7" s="23" t="s">
        <v>24</v>
      </c>
    </row>
    <row r="8" spans="2:69" ht="12.75">
      <c r="B8" s="5" t="s">
        <v>371</v>
      </c>
      <c r="I8" s="24"/>
      <c r="K8" s="24"/>
      <c r="M8" s="24"/>
      <c r="O8" s="24"/>
      <c r="Q8" s="24"/>
      <c r="S8" s="24"/>
      <c r="U8" s="24"/>
      <c r="W8" s="24"/>
      <c r="Y8" s="24"/>
      <c r="AA8" s="24"/>
      <c r="AC8" s="24"/>
      <c r="AU8" s="23" t="s">
        <v>370</v>
      </c>
      <c r="AW8" s="23" t="s">
        <v>370</v>
      </c>
      <c r="AY8" s="23" t="s">
        <v>370</v>
      </c>
      <c r="BA8" s="23" t="s">
        <v>370</v>
      </c>
      <c r="BC8" s="23" t="s">
        <v>24</v>
      </c>
      <c r="BE8" s="23" t="s">
        <v>24</v>
      </c>
      <c r="BG8" s="23" t="s">
        <v>24</v>
      </c>
      <c r="BI8" s="23" t="s">
        <v>24</v>
      </c>
      <c r="BK8" s="23" t="s">
        <v>61</v>
      </c>
      <c r="BM8" s="23" t="s">
        <v>61</v>
      </c>
      <c r="BO8" s="23" t="s">
        <v>61</v>
      </c>
      <c r="BQ8" s="23" t="s">
        <v>61</v>
      </c>
    </row>
    <row r="9" spans="2:55" s="45" customFormat="1" ht="12.75">
      <c r="B9" s="45" t="s">
        <v>47</v>
      </c>
      <c r="F9" s="44"/>
      <c r="G9" s="86" t="s">
        <v>165</v>
      </c>
      <c r="H9" s="10"/>
      <c r="I9" s="10"/>
      <c r="J9" s="10"/>
      <c r="K9" s="10"/>
      <c r="L9" s="10"/>
      <c r="M9" s="10"/>
      <c r="O9" s="86" t="s">
        <v>166</v>
      </c>
      <c r="R9" s="49"/>
      <c r="W9" s="97" t="s">
        <v>288</v>
      </c>
      <c r="AE9" s="97" t="s">
        <v>289</v>
      </c>
      <c r="AM9" s="97" t="s">
        <v>294</v>
      </c>
      <c r="AU9" s="97" t="s">
        <v>119</v>
      </c>
      <c r="BC9" s="45" t="s">
        <v>24</v>
      </c>
    </row>
    <row r="10" spans="2:53" ht="14.25">
      <c r="B10" s="6" t="s">
        <v>290</v>
      </c>
      <c r="C10" s="45"/>
      <c r="D10" s="6" t="s">
        <v>52</v>
      </c>
      <c r="F10" s="5"/>
      <c r="G10" s="9">
        <v>1102</v>
      </c>
      <c r="H10" s="9"/>
      <c r="I10" s="9">
        <v>1107</v>
      </c>
      <c r="J10" s="9"/>
      <c r="K10" s="9">
        <v>1031</v>
      </c>
      <c r="L10" s="9"/>
      <c r="M10" s="64">
        <f aca="true" t="shared" si="0" ref="M10:M17">AVERAGE(G10,I10,K10)</f>
        <v>1080</v>
      </c>
      <c r="N10" s="36"/>
      <c r="O10" s="104">
        <v>2697</v>
      </c>
      <c r="P10" s="55"/>
      <c r="Q10" s="104">
        <v>2698</v>
      </c>
      <c r="R10" s="56"/>
      <c r="S10" s="104">
        <v>2701</v>
      </c>
      <c r="T10" s="104"/>
      <c r="U10" s="64">
        <f>AVERAGE(O10,Q10,S10)</f>
        <v>2698.6666666666665</v>
      </c>
      <c r="W10" s="55">
        <v>17000</v>
      </c>
      <c r="X10" s="55"/>
      <c r="Y10" s="55">
        <v>17000</v>
      </c>
      <c r="Z10" s="56"/>
      <c r="AA10" s="55">
        <v>17000</v>
      </c>
      <c r="AB10" s="55"/>
      <c r="AC10" s="64">
        <f>AVERAGE(W10,Y10,AA10)</f>
        <v>17000</v>
      </c>
      <c r="AE10" s="55">
        <v>10030</v>
      </c>
      <c r="AF10" s="55"/>
      <c r="AG10" s="55">
        <v>10614</v>
      </c>
      <c r="AH10" s="56"/>
      <c r="AI10" s="55">
        <v>10620</v>
      </c>
      <c r="AJ10" s="55"/>
      <c r="AK10" s="64">
        <f>AVERAGE(AE10,AG10,AI10)</f>
        <v>10421.333333333334</v>
      </c>
      <c r="AL10" s="97"/>
      <c r="AM10" s="55">
        <v>2060</v>
      </c>
      <c r="AN10" s="55"/>
      <c r="AO10" s="55">
        <v>1950</v>
      </c>
      <c r="AP10" s="56"/>
      <c r="AQ10" s="55">
        <v>2710</v>
      </c>
      <c r="AR10" s="55"/>
      <c r="AS10" s="64">
        <f>AVERAGE(AM10,AO10,AQ10)</f>
        <v>2240</v>
      </c>
      <c r="AU10" s="55">
        <v>2400</v>
      </c>
      <c r="AV10" s="55"/>
      <c r="AW10" s="55">
        <v>2400</v>
      </c>
      <c r="AX10" s="56"/>
      <c r="AY10" s="55">
        <v>2400</v>
      </c>
      <c r="AZ10" s="55"/>
      <c r="BA10" s="64">
        <f>AVERAGE(AU10,AW10,AY10)</f>
        <v>2400</v>
      </c>
    </row>
    <row r="11" spans="2:53" ht="12.75">
      <c r="B11" s="6" t="s">
        <v>291</v>
      </c>
      <c r="D11" s="6" t="s">
        <v>164</v>
      </c>
      <c r="F11" s="9"/>
      <c r="G11" s="9">
        <v>1.342</v>
      </c>
      <c r="H11" s="9"/>
      <c r="I11" s="9">
        <v>1.342</v>
      </c>
      <c r="J11" s="9"/>
      <c r="K11" s="9">
        <v>1.342</v>
      </c>
      <c r="L11" s="9"/>
      <c r="M11" s="7">
        <f t="shared" si="0"/>
        <v>1.3419999999999999</v>
      </c>
      <c r="N11" s="36"/>
      <c r="O11" s="55">
        <v>1.21</v>
      </c>
      <c r="P11" s="55"/>
      <c r="Q11" s="55">
        <v>1.21</v>
      </c>
      <c r="R11" s="56"/>
      <c r="S11" s="55">
        <v>1.21</v>
      </c>
      <c r="T11" s="55"/>
      <c r="U11" s="7">
        <f>AVERAGE(O11,Q11,S11)</f>
        <v>1.21</v>
      </c>
      <c r="W11" s="55">
        <v>0.999</v>
      </c>
      <c r="X11" s="55"/>
      <c r="Y11" s="55">
        <v>0.999</v>
      </c>
      <c r="Z11" s="56"/>
      <c r="AA11" s="55">
        <v>0.999</v>
      </c>
      <c r="AB11" s="55"/>
      <c r="AC11" s="64">
        <f>AVERAGE(W11,Y11,AA11)</f>
        <v>0.999</v>
      </c>
      <c r="AE11" s="55">
        <v>2.1</v>
      </c>
      <c r="AF11" s="55"/>
      <c r="AG11" s="55">
        <v>2.1</v>
      </c>
      <c r="AH11" s="56"/>
      <c r="AI11" s="55">
        <v>2.1</v>
      </c>
      <c r="AJ11" s="55"/>
      <c r="AK11" s="7">
        <f>AVERAGE(AE11,AG11,AI11)</f>
        <v>2.1</v>
      </c>
      <c r="AM11" s="55"/>
      <c r="AN11" s="55"/>
      <c r="AO11" s="55"/>
      <c r="AP11" s="56"/>
      <c r="AQ11" s="55"/>
      <c r="AR11" s="55"/>
      <c r="AS11" s="64"/>
      <c r="AU11" s="55"/>
      <c r="AV11" s="55"/>
      <c r="AW11" s="55"/>
      <c r="AX11" s="56"/>
      <c r="AY11" s="55"/>
      <c r="AZ11" s="55"/>
      <c r="BA11" s="64"/>
    </row>
    <row r="12" spans="2:45" ht="12.75">
      <c r="B12" s="6" t="s">
        <v>48</v>
      </c>
      <c r="D12" s="6" t="s">
        <v>17</v>
      </c>
      <c r="F12" s="25"/>
      <c r="G12" s="55">
        <v>0.57</v>
      </c>
      <c r="H12" s="55"/>
      <c r="I12" s="55">
        <v>0.77</v>
      </c>
      <c r="J12" s="55"/>
      <c r="K12" s="55">
        <v>0.78</v>
      </c>
      <c r="L12" s="55"/>
      <c r="M12" s="7">
        <f t="shared" si="0"/>
        <v>0.7066666666666667</v>
      </c>
      <c r="N12" s="56"/>
      <c r="O12" s="55">
        <v>0.24</v>
      </c>
      <c r="P12" s="55"/>
      <c r="Q12" s="55">
        <v>0.29</v>
      </c>
      <c r="R12" s="56"/>
      <c r="S12" s="55">
        <v>0.29</v>
      </c>
      <c r="T12" s="55"/>
      <c r="U12" s="7">
        <f>AVERAGE(O12,Q12,S12)</f>
        <v>0.2733333333333334</v>
      </c>
      <c r="W12" s="55">
        <v>0.04</v>
      </c>
      <c r="X12" s="55"/>
      <c r="Y12" s="55">
        <v>0.04</v>
      </c>
      <c r="Z12" s="56"/>
      <c r="AA12" s="55">
        <v>0.03</v>
      </c>
      <c r="AB12" s="55"/>
      <c r="AC12" s="72">
        <f>AVERAGE(W12,Y12,AA12)</f>
        <v>0.03666666666666667</v>
      </c>
      <c r="AE12" s="55">
        <v>82.4</v>
      </c>
      <c r="AF12" s="55"/>
      <c r="AG12" s="55">
        <v>70.6</v>
      </c>
      <c r="AH12" s="56"/>
      <c r="AI12" s="55">
        <v>71.5</v>
      </c>
      <c r="AJ12" s="55"/>
      <c r="AK12" s="7">
        <f>AVERAGE(AE12,AG12,AI12)</f>
        <v>74.83333333333333</v>
      </c>
      <c r="AM12" s="55">
        <v>0.06</v>
      </c>
      <c r="AN12" s="55"/>
      <c r="AO12" s="55">
        <v>0.07</v>
      </c>
      <c r="AP12" s="55"/>
      <c r="AQ12" s="55">
        <v>0.16</v>
      </c>
      <c r="AR12" s="55"/>
      <c r="AS12" s="72">
        <f>AVERAGE(AM12,AO12,AQ12)</f>
        <v>0.09666666666666668</v>
      </c>
    </row>
    <row r="13" spans="2:45" ht="12.75">
      <c r="B13" s="6" t="s">
        <v>222</v>
      </c>
      <c r="D13" s="6" t="s">
        <v>17</v>
      </c>
      <c r="G13" s="55">
        <v>44.5</v>
      </c>
      <c r="H13" s="55"/>
      <c r="I13" s="55">
        <v>49.6</v>
      </c>
      <c r="J13" s="56"/>
      <c r="K13" s="55">
        <v>46.2</v>
      </c>
      <c r="L13" s="55"/>
      <c r="M13" s="64">
        <f t="shared" si="0"/>
        <v>46.76666666666667</v>
      </c>
      <c r="N13" s="56"/>
      <c r="O13" s="55">
        <v>35.5</v>
      </c>
      <c r="P13" s="55"/>
      <c r="Q13" s="55">
        <v>34.8</v>
      </c>
      <c r="R13" s="55"/>
      <c r="S13" s="55">
        <v>28.5</v>
      </c>
      <c r="T13" s="55"/>
      <c r="U13" s="7">
        <f>AVERAGE(O13,Q13,S13)</f>
        <v>32.93333333333333</v>
      </c>
      <c r="V13" s="23" t="s">
        <v>97</v>
      </c>
      <c r="W13" s="55">
        <v>0.025</v>
      </c>
      <c r="X13" s="55" t="s">
        <v>97</v>
      </c>
      <c r="Y13" s="55">
        <v>0.025</v>
      </c>
      <c r="Z13" s="56" t="s">
        <v>97</v>
      </c>
      <c r="AA13" s="55">
        <v>0.025</v>
      </c>
      <c r="AB13" s="55"/>
      <c r="AC13" s="73">
        <f>AVERAGE(W13,Y13,AA13)</f>
        <v>0.025000000000000005</v>
      </c>
      <c r="AE13" s="55">
        <v>0.025</v>
      </c>
      <c r="AF13" s="55"/>
      <c r="AG13" s="55">
        <v>0.025</v>
      </c>
      <c r="AH13" s="56"/>
      <c r="AI13" s="55">
        <v>0.025</v>
      </c>
      <c r="AJ13" s="55"/>
      <c r="AK13" s="73">
        <f>AVERAGE(AE13,AG13,AI13)</f>
        <v>0.025000000000000005</v>
      </c>
      <c r="AM13" s="55">
        <v>36.8</v>
      </c>
      <c r="AN13" s="55"/>
      <c r="AO13" s="55">
        <v>37.5</v>
      </c>
      <c r="AP13" s="56"/>
      <c r="AQ13" s="55">
        <v>34.2</v>
      </c>
      <c r="AR13" s="55"/>
      <c r="AS13" s="72">
        <f>AVERAGE(AM13,AO13,AQ13)</f>
        <v>36.166666666666664</v>
      </c>
    </row>
    <row r="14" spans="2:45" ht="12.75">
      <c r="B14" s="6" t="s">
        <v>292</v>
      </c>
      <c r="D14" s="6" t="s">
        <v>163</v>
      </c>
      <c r="G14" s="55">
        <v>9016</v>
      </c>
      <c r="H14" s="55"/>
      <c r="I14" s="55">
        <v>8846</v>
      </c>
      <c r="J14" s="56"/>
      <c r="K14" s="55">
        <v>8751</v>
      </c>
      <c r="L14" s="55"/>
      <c r="M14" s="64">
        <f t="shared" si="0"/>
        <v>8871</v>
      </c>
      <c r="N14" s="56"/>
      <c r="O14" s="55">
        <v>11134</v>
      </c>
      <c r="P14" s="55"/>
      <c r="Q14" s="55">
        <v>11245</v>
      </c>
      <c r="R14" s="55"/>
      <c r="S14" s="55">
        <v>11253</v>
      </c>
      <c r="T14" s="55"/>
      <c r="U14" s="64">
        <f>AVERAGE(O14,Q14,S14)</f>
        <v>11210.666666666666</v>
      </c>
      <c r="W14" s="55">
        <v>476</v>
      </c>
      <c r="X14" s="55"/>
      <c r="Y14" s="55">
        <v>760</v>
      </c>
      <c r="Z14" s="56"/>
      <c r="AA14" s="55">
        <v>811</v>
      </c>
      <c r="AB14" s="55"/>
      <c r="AC14" s="64">
        <f>AVERAGE(W14,Y14,AA14)</f>
        <v>682.3333333333334</v>
      </c>
      <c r="AD14" s="23" t="s">
        <v>97</v>
      </c>
      <c r="AE14" s="55">
        <f>325/2</f>
        <v>162.5</v>
      </c>
      <c r="AF14" s="55"/>
      <c r="AG14" s="55">
        <f>325/2</f>
        <v>162.5</v>
      </c>
      <c r="AH14" s="55"/>
      <c r="AI14" s="55">
        <f>325/2</f>
        <v>162.5</v>
      </c>
      <c r="AJ14" s="55"/>
      <c r="AK14" s="64">
        <f>AVERAGE(AE14,AG14,AI14)</f>
        <v>162.5</v>
      </c>
      <c r="AM14" s="55">
        <v>8206</v>
      </c>
      <c r="AN14" s="55"/>
      <c r="AO14" s="55">
        <v>8050</v>
      </c>
      <c r="AP14" s="56"/>
      <c r="AQ14" s="55">
        <v>8199</v>
      </c>
      <c r="AR14" s="55"/>
      <c r="AS14" s="64">
        <f>AVERAGE(AM14,AO14,AQ14)</f>
        <v>8151.666666666667</v>
      </c>
    </row>
    <row r="15" spans="7:17" ht="12.75">
      <c r="G15" s="55"/>
      <c r="H15" s="55"/>
      <c r="I15" s="55"/>
      <c r="J15" s="56"/>
      <c r="K15" s="55"/>
      <c r="L15" s="55"/>
      <c r="M15" s="64"/>
      <c r="N15" s="56"/>
      <c r="O15" s="56"/>
      <c r="P15" s="56"/>
      <c r="Q15" s="105"/>
    </row>
    <row r="16" spans="2:61" ht="12.75">
      <c r="B16" s="6" t="s">
        <v>125</v>
      </c>
      <c r="D16" s="6" t="s">
        <v>16</v>
      </c>
      <c r="G16" s="55">
        <v>39600</v>
      </c>
      <c r="H16" s="55"/>
      <c r="I16" s="55">
        <v>39700</v>
      </c>
      <c r="J16" s="56"/>
      <c r="K16" s="55">
        <v>40100</v>
      </c>
      <c r="L16" s="55"/>
      <c r="M16" s="64">
        <f t="shared" si="0"/>
        <v>39800</v>
      </c>
      <c r="N16" s="56"/>
      <c r="O16" s="55">
        <v>39600</v>
      </c>
      <c r="P16" s="55"/>
      <c r="Q16" s="55">
        <v>39700</v>
      </c>
      <c r="R16" s="56"/>
      <c r="S16" s="55">
        <v>40100</v>
      </c>
      <c r="T16" s="55"/>
      <c r="U16" s="64">
        <f>AVERAGE(O16,Q16,S16)</f>
        <v>39800</v>
      </c>
      <c r="W16" s="55">
        <v>39600</v>
      </c>
      <c r="X16" s="55"/>
      <c r="Y16" s="55">
        <v>39700</v>
      </c>
      <c r="Z16" s="56"/>
      <c r="AA16" s="55">
        <v>40100</v>
      </c>
      <c r="AB16" s="55"/>
      <c r="AC16" s="64">
        <f>AVERAGE(W16,Y16,AA16)</f>
        <v>39800</v>
      </c>
      <c r="AE16" s="55">
        <v>39600</v>
      </c>
      <c r="AF16" s="55"/>
      <c r="AG16" s="55">
        <v>39700</v>
      </c>
      <c r="AH16" s="56"/>
      <c r="AI16" s="55">
        <v>40100</v>
      </c>
      <c r="AJ16" s="55"/>
      <c r="AK16" s="64">
        <f>AVERAGE(AE16,AG16,AI16)</f>
        <v>39800</v>
      </c>
      <c r="AM16" s="55">
        <v>39600</v>
      </c>
      <c r="AN16" s="55"/>
      <c r="AO16" s="55">
        <v>39700</v>
      </c>
      <c r="AP16" s="56"/>
      <c r="AQ16" s="55">
        <v>40100</v>
      </c>
      <c r="AR16" s="55"/>
      <c r="AS16" s="64">
        <f>AVERAGE(AM16,AO16,AQ16)</f>
        <v>39800</v>
      </c>
      <c r="BC16" s="55">
        <v>39600</v>
      </c>
      <c r="BD16" s="55"/>
      <c r="BE16" s="55">
        <v>39700</v>
      </c>
      <c r="BF16" s="56"/>
      <c r="BG16" s="55">
        <v>40100</v>
      </c>
      <c r="BH16" s="55"/>
      <c r="BI16" s="64">
        <f>AVERAGE(BC16,BE16,BG16)</f>
        <v>39800</v>
      </c>
    </row>
    <row r="17" spans="2:61" ht="12.75">
      <c r="B17" s="6" t="s">
        <v>126</v>
      </c>
      <c r="D17" s="6" t="s">
        <v>17</v>
      </c>
      <c r="G17" s="7">
        <v>6.7</v>
      </c>
      <c r="H17" s="7"/>
      <c r="I17" s="7">
        <v>6.9</v>
      </c>
      <c r="K17" s="7">
        <v>8.1</v>
      </c>
      <c r="L17" s="7"/>
      <c r="M17" s="7">
        <f t="shared" si="0"/>
        <v>7.233333333333334</v>
      </c>
      <c r="O17" s="7">
        <v>6.7</v>
      </c>
      <c r="P17" s="7"/>
      <c r="Q17" s="7">
        <v>6.9</v>
      </c>
      <c r="S17" s="7">
        <v>8.1</v>
      </c>
      <c r="T17" s="7"/>
      <c r="U17" s="7">
        <f>AVERAGE(O17,Q17,S17)</f>
        <v>7.233333333333334</v>
      </c>
      <c r="W17" s="7">
        <v>6.7</v>
      </c>
      <c r="X17" s="7"/>
      <c r="Y17" s="7">
        <v>6.9</v>
      </c>
      <c r="AA17" s="7">
        <v>8.1</v>
      </c>
      <c r="AB17" s="7"/>
      <c r="AC17" s="7">
        <f>AVERAGE(W17,Y17,AA17)</f>
        <v>7.233333333333334</v>
      </c>
      <c r="AE17" s="7">
        <v>6.7</v>
      </c>
      <c r="AF17" s="7"/>
      <c r="AG17" s="7">
        <v>6.9</v>
      </c>
      <c r="AI17" s="7">
        <v>8.1</v>
      </c>
      <c r="AJ17" s="7"/>
      <c r="AK17" s="7">
        <f>AVERAGE(AE17,AG17,AI17)</f>
        <v>7.233333333333334</v>
      </c>
      <c r="AM17" s="7">
        <v>6.7</v>
      </c>
      <c r="AN17" s="7"/>
      <c r="AO17" s="7">
        <v>6.9</v>
      </c>
      <c r="AQ17" s="7">
        <v>8.1</v>
      </c>
      <c r="AR17" s="7"/>
      <c r="AS17" s="7">
        <f>AVERAGE(AM17,AO17,AQ17)</f>
        <v>7.233333333333334</v>
      </c>
      <c r="BC17" s="7">
        <v>6.7</v>
      </c>
      <c r="BD17" s="7"/>
      <c r="BE17" s="7">
        <v>6.9</v>
      </c>
      <c r="BG17" s="7">
        <v>8.1</v>
      </c>
      <c r="BH17" s="7"/>
      <c r="BI17" s="7">
        <f>AVERAGE(BC17,BE17,BG17)</f>
        <v>7.233333333333334</v>
      </c>
    </row>
    <row r="18" spans="7:61" ht="12.75">
      <c r="G18" s="7"/>
      <c r="H18" s="7"/>
      <c r="I18" s="7"/>
      <c r="K18" s="7"/>
      <c r="L18" s="7"/>
      <c r="M18" s="7"/>
      <c r="O18" s="7"/>
      <c r="P18" s="7"/>
      <c r="Q18" s="7"/>
      <c r="S18" s="7"/>
      <c r="T18" s="7"/>
      <c r="U18" s="7"/>
      <c r="W18" s="7"/>
      <c r="X18" s="7"/>
      <c r="Y18" s="7"/>
      <c r="AA18" s="7"/>
      <c r="AB18" s="7"/>
      <c r="AC18" s="7"/>
      <c r="AE18" s="7"/>
      <c r="AF18" s="7"/>
      <c r="AG18" s="7"/>
      <c r="AI18" s="7"/>
      <c r="AJ18" s="7"/>
      <c r="AK18" s="7"/>
      <c r="AM18" s="7"/>
      <c r="AN18" s="7"/>
      <c r="AO18" s="7"/>
      <c r="AQ18" s="7"/>
      <c r="AR18" s="7"/>
      <c r="AS18" s="7"/>
      <c r="BC18" s="7"/>
      <c r="BD18" s="7"/>
      <c r="BE18" s="7"/>
      <c r="BG18" s="7"/>
      <c r="BH18" s="7"/>
      <c r="BI18" s="7"/>
    </row>
    <row r="19" spans="2:61" ht="12.75">
      <c r="B19" s="5" t="s">
        <v>372</v>
      </c>
      <c r="D19" s="5" t="s">
        <v>373</v>
      </c>
      <c r="G19" s="7">
        <f>G10*G14/1000000</f>
        <v>9.935632</v>
      </c>
      <c r="H19" s="7"/>
      <c r="I19" s="7">
        <f>I10*I14/1000000</f>
        <v>9.792522</v>
      </c>
      <c r="K19" s="7">
        <f>K10*K14/1000000</f>
        <v>9.022281</v>
      </c>
      <c r="L19" s="7"/>
      <c r="M19" s="7">
        <f>M10*M14/1000000</f>
        <v>9.58068</v>
      </c>
      <c r="O19" s="7">
        <f>O10*O14/1000000</f>
        <v>30.028398</v>
      </c>
      <c r="P19" s="7"/>
      <c r="Q19" s="7">
        <f>Q10*Q14/1000000</f>
        <v>30.33901</v>
      </c>
      <c r="S19" s="7">
        <f>S10*S14/1000000</f>
        <v>30.394353</v>
      </c>
      <c r="T19" s="7"/>
      <c r="U19" s="7">
        <f>U10*U14/1000000</f>
        <v>30.25385244444444</v>
      </c>
      <c r="W19" s="7">
        <f>W10*W14/1000000</f>
        <v>8.092</v>
      </c>
      <c r="X19" s="7"/>
      <c r="Y19" s="7">
        <f>Y10*Y14/1000000</f>
        <v>12.92</v>
      </c>
      <c r="AA19" s="7">
        <f>AA10*AA14/1000000</f>
        <v>13.787</v>
      </c>
      <c r="AB19" s="7"/>
      <c r="AC19" s="7">
        <f>AC10*AC14/1000000</f>
        <v>11.599666666666668</v>
      </c>
      <c r="AE19" s="7">
        <f>AE10*AE14/1000000</f>
        <v>1.629875</v>
      </c>
      <c r="AF19" s="7"/>
      <c r="AG19" s="7">
        <f>AG10*AG14/1000000</f>
        <v>1.724775</v>
      </c>
      <c r="AI19" s="7">
        <f>AI10*AI14/1000000</f>
        <v>1.72575</v>
      </c>
      <c r="AJ19" s="7"/>
      <c r="AK19" s="7">
        <f>AK10*AK14/1000000</f>
        <v>1.6934666666666667</v>
      </c>
      <c r="AM19" s="7">
        <f>AM10*AM14/1000000</f>
        <v>16.90436</v>
      </c>
      <c r="AN19" s="7"/>
      <c r="AO19" s="7">
        <f>AO10*AO14/1000000</f>
        <v>15.6975</v>
      </c>
      <c r="AQ19" s="7">
        <f>AQ10*AQ14/1000000</f>
        <v>22.21929</v>
      </c>
      <c r="AR19" s="7"/>
      <c r="AS19" s="7">
        <f>AS10*AS14/1000000</f>
        <v>18.259733333333337</v>
      </c>
      <c r="AU19" s="7"/>
      <c r="BC19" s="26">
        <f>G19+O19+W19+AE19+AM19</f>
        <v>66.590265</v>
      </c>
      <c r="BD19" s="7"/>
      <c r="BE19" s="26">
        <f>I19+Q19+Y19+AG19+AO19</f>
        <v>70.47380700000001</v>
      </c>
      <c r="BG19" s="26">
        <f>K19+S19+AA19+AI19+AQ19</f>
        <v>77.148674</v>
      </c>
      <c r="BH19" s="7"/>
      <c r="BI19" s="26">
        <f>M19+U19+AC19+AK19+AS19</f>
        <v>71.38739911111111</v>
      </c>
    </row>
    <row r="20" spans="2:61" ht="12.75">
      <c r="B20" s="5" t="s">
        <v>374</v>
      </c>
      <c r="D20" s="5" t="s">
        <v>373</v>
      </c>
      <c r="G20" s="7"/>
      <c r="H20" s="7"/>
      <c r="I20" s="7"/>
      <c r="K20" s="7"/>
      <c r="L20" s="7"/>
      <c r="M20" s="7"/>
      <c r="O20" s="7"/>
      <c r="P20" s="7"/>
      <c r="Q20" s="7"/>
      <c r="S20" s="7"/>
      <c r="T20" s="7"/>
      <c r="U20" s="7"/>
      <c r="W20" s="7"/>
      <c r="X20" s="7"/>
      <c r="Y20" s="7"/>
      <c r="AA20" s="7"/>
      <c r="AB20" s="7"/>
      <c r="AC20" s="7"/>
      <c r="AE20" s="7"/>
      <c r="AF20" s="7"/>
      <c r="AG20" s="7"/>
      <c r="AI20" s="7"/>
      <c r="AJ20" s="7"/>
      <c r="AK20" s="7"/>
      <c r="AM20" s="7"/>
      <c r="AN20" s="7"/>
      <c r="AO20" s="7"/>
      <c r="AQ20" s="7"/>
      <c r="AR20" s="7"/>
      <c r="AS20" s="7"/>
      <c r="BC20" s="51">
        <f>BC16/9000*60*(21-BC17)/21</f>
        <v>179.77142857142857</v>
      </c>
      <c r="BD20" s="7"/>
      <c r="BE20" s="51">
        <f>BE16/9000*60*(21-BE17)/21</f>
        <v>177.7047619047619</v>
      </c>
      <c r="BG20" s="51">
        <f>BG16/9000*60*(21-BG17)/21</f>
        <v>164.21904761904764</v>
      </c>
      <c r="BH20" s="7"/>
      <c r="BI20" s="51">
        <f>BI16/9000*60*(21-BI17)/21</f>
        <v>173.94074074074075</v>
      </c>
    </row>
    <row r="21" spans="2:13" ht="12.75">
      <c r="B21" s="23"/>
      <c r="C21" s="23"/>
      <c r="D21" s="23"/>
      <c r="F21" s="25"/>
      <c r="G21" s="7"/>
      <c r="H21" s="7"/>
      <c r="I21" s="7"/>
      <c r="K21" s="7"/>
      <c r="L21" s="7"/>
      <c r="M21" s="64"/>
    </row>
    <row r="22" spans="2:13" ht="12.75">
      <c r="B22" s="41" t="s">
        <v>127</v>
      </c>
      <c r="D22" s="23"/>
      <c r="F22" s="25"/>
      <c r="G22" s="7"/>
      <c r="H22" s="7"/>
      <c r="I22" s="7"/>
      <c r="K22" s="7"/>
      <c r="L22" s="7"/>
      <c r="M22" s="64"/>
    </row>
    <row r="23" spans="6:13" ht="12.75">
      <c r="F23" s="25"/>
      <c r="G23" s="7"/>
      <c r="H23" s="7"/>
      <c r="I23" s="7"/>
      <c r="K23" s="7"/>
      <c r="L23" s="7"/>
      <c r="M23" s="64"/>
    </row>
    <row r="24" spans="2:69" ht="12.75">
      <c r="B24" s="6" t="s">
        <v>48</v>
      </c>
      <c r="D24" s="6" t="s">
        <v>60</v>
      </c>
      <c r="E24" s="6" t="s">
        <v>14</v>
      </c>
      <c r="G24" s="7">
        <f>(G$10*G12/100)/(G$16*0.0283*60)*14/(21-G$17)*454000</f>
        <v>41.521346555076065</v>
      </c>
      <c r="H24" s="7"/>
      <c r="I24" s="7">
        <f>(I$10*I12/100)/(I$16*0.0283*60)*14/(21-I$17)*454000</f>
        <v>57.00000965818178</v>
      </c>
      <c r="J24" s="7"/>
      <c r="K24" s="7">
        <f>(K$10*K12/100)/(K$16*0.0283*60)*14/(21-K$17)*454000</f>
        <v>58.19228191607704</v>
      </c>
      <c r="L24" s="7"/>
      <c r="M24" s="7">
        <f>(M$10*M12/100)/(M$16*0.0283*60)*14/(21-M$17)*454000</f>
        <v>52.14020031281762</v>
      </c>
      <c r="O24" s="7">
        <f>(O$10*O12/100)/(O$16*0.0283*60)*14/(21-O$17)*454000</f>
        <v>42.7865399404108</v>
      </c>
      <c r="Q24" s="7">
        <f>(Q$10*Q12/100)/(Q$16*0.0283*60)*14/(21-Q$17)*454000</f>
        <v>52.32105908886143</v>
      </c>
      <c r="R24" s="26"/>
      <c r="S24" s="7">
        <f>(S$10*S12/100)/(S$16*0.0283*60)*14/(21-S$17)*454000</f>
        <v>56.680634313268165</v>
      </c>
      <c r="U24" s="7">
        <f>(U$10*U12/100)/(U$16*0.0283*60)*14/(21-U$17)*454000</f>
        <v>50.39369185603141</v>
      </c>
      <c r="W24" s="7">
        <f>(W$10*W12/100)/(W$16*0.0283*60)*14/(21-W$17)*454000</f>
        <v>44.94939926999033</v>
      </c>
      <c r="Y24" s="7">
        <f>(Y$10*Y12/100)/(Y$16*0.0283*60)*14/(21-Y$17)*454000</f>
        <v>45.47215073799976</v>
      </c>
      <c r="AA24" s="7">
        <f>(AA$10*AA12/100)/(AA$16*0.0283*60)*14/(21-AA$17)*454000</f>
        <v>36.90475239026001</v>
      </c>
      <c r="AC24" s="7">
        <f>(AC$10*AC12/100)/(AC$16*0.0283*60)*14/(21-AC$17)*454000</f>
        <v>42.58480720866918</v>
      </c>
      <c r="AE24" s="7">
        <f>(AE$10*AE12/100)/(AE$16*0.0283*60)*14/(21-AE$17)*454000</f>
        <v>54631.49987274625</v>
      </c>
      <c r="AG24" s="7">
        <f>(AG$10*AG12/100)/(AG$16*0.0283*60)*14/(21-AG$17)*454000</f>
        <v>50109.5344118808</v>
      </c>
      <c r="AI24" s="7">
        <f>(AI$10*AI12/100)/(AI$16*0.0283*60)*14/(21-AI$17)*454000</f>
        <v>54946.83457352183</v>
      </c>
      <c r="AK24" s="7">
        <f>(AK$10*AK12/100)/(AK$16*0.0283*60)*14/(21-AK$17)*454000</f>
        <v>53278.588613614345</v>
      </c>
      <c r="AM24" s="7">
        <f>(AM$10*AM12/100)/(AM$16*0.0283*60)*14/(21-AM$17)*454000</f>
        <v>8.170214337898244</v>
      </c>
      <c r="AO24" s="7">
        <f>(AO$10*AO12/100)/(AO$16*0.0283*60)*14/(21-AO$17)*454000</f>
        <v>9.127865552554363</v>
      </c>
      <c r="AQ24" s="7">
        <f>(AQ$10*AQ12/100)/(AQ$16*0.0283*60)*14/(21-AQ$17)*454000</f>
        <v>31.376275757679885</v>
      </c>
      <c r="AS24" s="7">
        <f>(AS$10*AS12/100)/(AS$16*0.0283*60)*14/(21-AS$17)*454000</f>
        <v>14.793096664572994</v>
      </c>
      <c r="AU24" s="7"/>
      <c r="AW24" s="7"/>
      <c r="AY24" s="7"/>
      <c r="BA24" s="7"/>
      <c r="BC24" s="26">
        <f>G24+O24+W24+AE24+AM24</f>
        <v>54768.92737284963</v>
      </c>
      <c r="BE24" s="26">
        <f>I24+Q24+Y24+AG24+AO24</f>
        <v>50273.455496918396</v>
      </c>
      <c r="BG24" s="26">
        <f>K24+S24+AA24+AI24+AQ24</f>
        <v>55129.98851789912</v>
      </c>
      <c r="BI24" s="26">
        <f>M24+U24+AC24+AK24+AS24</f>
        <v>53438.50040965644</v>
      </c>
      <c r="BK24" s="26">
        <f>G24+O24+W24+AE24+AM24</f>
        <v>54768.92737284963</v>
      </c>
      <c r="BM24" s="26">
        <f>I24+Q24+Y24+AG24+AO24</f>
        <v>50273.455496918396</v>
      </c>
      <c r="BO24" s="26">
        <f>K24+S24+AA24+AI24+AQ24</f>
        <v>55129.98851789912</v>
      </c>
      <c r="BQ24" s="26">
        <f>M24+U24+AC24+AK24+AS24</f>
        <v>53438.50040965644</v>
      </c>
    </row>
    <row r="25" spans="2:61" ht="12.75">
      <c r="B25" s="6" t="s">
        <v>222</v>
      </c>
      <c r="D25" s="6" t="s">
        <v>54</v>
      </c>
      <c r="E25" s="6" t="s">
        <v>14</v>
      </c>
      <c r="G25" s="7">
        <f>(G$10*G13/100)/(G$16*0.0283*60)*14/(21-G$17)*454000000</f>
        <v>3241578.810001553</v>
      </c>
      <c r="H25" s="64"/>
      <c r="I25" s="7">
        <f>(I$10*I13/100)/(I$16*0.0283*60)*14/(21-I$17)*454000000</f>
        <v>3671688.933825736</v>
      </c>
      <c r="J25" s="64"/>
      <c r="K25" s="7">
        <f>(K$10*K13/100)/(K$16*0.0283*60)*14/(21-K$17)*454000000</f>
        <v>3446773.6211830257</v>
      </c>
      <c r="L25" s="64"/>
      <c r="M25" s="7">
        <f>(M$10*M13/100)/(M$16*0.0283*60)*14/(21-M$17)*454000000</f>
        <v>3450599.105607695</v>
      </c>
      <c r="O25" s="7">
        <f>(O$10*O13/100)/(O$16*0.0283*60)*14/(21-O$17)*454000000</f>
        <v>6328842.366185764</v>
      </c>
      <c r="Q25" s="7">
        <f>(Q$10*Q13/100)/(Q$16*0.0283*60)*14/(21-Q$17)*454000000</f>
        <v>6278527.090663372</v>
      </c>
      <c r="R25" s="26"/>
      <c r="S25" s="7">
        <f>(S$10*S13/100)/(S$16*0.0283*60)*14/(21-S$17)*454000000</f>
        <v>5570338.199752215</v>
      </c>
      <c r="U25" s="7">
        <f>(U$10*U13/100)/(U$16*0.0283*60)*14/(21-U$17)*454000000</f>
        <v>6071825.311434027</v>
      </c>
      <c r="W25" s="7">
        <f>(W$10*W13/100)/(W$16*0.0283*60)*14/(21-W$17)*454000000</f>
        <v>28093.37454374396</v>
      </c>
      <c r="Y25" s="7">
        <f>(Y$10*Y13/100)/(Y$16*0.0283*60)*14/(21-Y$17)*454000000</f>
        <v>28420.094211249852</v>
      </c>
      <c r="AA25" s="7">
        <f>(AA$10*AA13/100)/(AA$16*0.0283*60)*14/(21-AA$17)*454000000</f>
        <v>30753.960325216674</v>
      </c>
      <c r="AC25" s="7">
        <f>(AC$10*AC13/100)/(AC$16*0.0283*60)*14/(21-AC$17)*454000000</f>
        <v>29035.09582409262</v>
      </c>
      <c r="AE25" s="7">
        <f>(AE$10*AE13/100)/(AE$16*0.0283*60)*14/(21-AE$17)*454000000</f>
        <v>16575.090980808935</v>
      </c>
      <c r="AG25" s="7">
        <f>(AG$10*AG13/100)/(AG$16*0.0283*60)*14/(21-AG$17)*454000000</f>
        <v>17744.169409306232</v>
      </c>
      <c r="AI25" s="7">
        <f>(AI$10*AI13/100)/(AI$16*0.0283*60)*14/(21-AI$17)*454000000</f>
        <v>19212.179920811825</v>
      </c>
      <c r="AK25" s="7">
        <f>(AK$10*AK13/100)/(AK$16*0.0283*60)*14/(21-AK$17)*454000000</f>
        <v>17799.08305577317</v>
      </c>
      <c r="AM25" s="7">
        <f>(AM$10*AM13/100)/(AM$16*0.0283*60)*14/(21-AM$17)*454000000</f>
        <v>5011064.7939109225</v>
      </c>
      <c r="AO25" s="7">
        <f>(AO$10*AO13/100)/(AO$16*0.0283*60)*14/(21-AO$17)*454000000</f>
        <v>4889927.974582695</v>
      </c>
      <c r="AQ25" s="7">
        <f>(AQ$10*AQ13/100)/(AQ$16*0.0283*60)*14/(21-AQ$17)*454000000</f>
        <v>6706678.943204076</v>
      </c>
      <c r="AS25" s="7">
        <f>(AS$10*AS13/100)/(AS$16*0.0283*60)*14/(21-AS$17)*454000000</f>
        <v>5534658.5796764465</v>
      </c>
      <c r="AU25" s="64"/>
      <c r="AW25" s="64"/>
      <c r="AY25" s="64"/>
      <c r="BA25" s="64"/>
      <c r="BC25" s="26">
        <f>G25+O25+W25+AE25+AM25</f>
        <v>14626154.435622793</v>
      </c>
      <c r="BE25" s="26">
        <f>I25+Q25+Y25+AG25+AO25</f>
        <v>14886308.262692362</v>
      </c>
      <c r="BG25" s="26">
        <f>K25+S25+AA25+AI25+AQ25</f>
        <v>15773756.904385347</v>
      </c>
      <c r="BI25" s="26">
        <f>M25+U25+AC25+AK25+AS25</f>
        <v>15103917.175598036</v>
      </c>
    </row>
    <row r="26" ht="12.75">
      <c r="M26" s="64"/>
    </row>
    <row r="27" spans="1:18" ht="12.75">
      <c r="A27" s="37" t="str">
        <f>cond!C13</f>
        <v>603C11</v>
      </c>
      <c r="B27" s="22" t="s">
        <v>139</v>
      </c>
      <c r="C27" s="22"/>
      <c r="G27" s="25" t="s">
        <v>209</v>
      </c>
      <c r="H27" s="25"/>
      <c r="I27" s="25" t="s">
        <v>210</v>
      </c>
      <c r="J27" s="25"/>
      <c r="K27" s="25" t="s">
        <v>211</v>
      </c>
      <c r="L27" s="25"/>
      <c r="M27" s="25" t="s">
        <v>46</v>
      </c>
      <c r="R27" s="26"/>
    </row>
    <row r="28" ht="12.75">
      <c r="M28" s="64"/>
    </row>
    <row r="29" spans="2:13" ht="12.75">
      <c r="B29" s="6" t="s">
        <v>358</v>
      </c>
      <c r="G29" s="24" t="s">
        <v>360</v>
      </c>
      <c r="I29" s="24" t="s">
        <v>360</v>
      </c>
      <c r="K29" s="24" t="s">
        <v>360</v>
      </c>
      <c r="M29" s="24" t="s">
        <v>360</v>
      </c>
    </row>
    <row r="30" spans="2:13" ht="12.75">
      <c r="B30" s="6" t="s">
        <v>359</v>
      </c>
      <c r="G30" s="24" t="s">
        <v>24</v>
      </c>
      <c r="I30" s="24" t="s">
        <v>24</v>
      </c>
      <c r="K30" s="24" t="s">
        <v>24</v>
      </c>
      <c r="M30" s="24" t="s">
        <v>24</v>
      </c>
    </row>
    <row r="31" spans="2:13" ht="12.75">
      <c r="B31" s="5" t="s">
        <v>371</v>
      </c>
      <c r="G31" s="24" t="s">
        <v>24</v>
      </c>
      <c r="I31" s="24" t="s">
        <v>24</v>
      </c>
      <c r="K31" s="24" t="s">
        <v>24</v>
      </c>
      <c r="M31" s="24" t="s">
        <v>24</v>
      </c>
    </row>
    <row r="32" spans="2:13" ht="12.75">
      <c r="B32" s="6" t="s">
        <v>281</v>
      </c>
      <c r="G32" s="24" t="s">
        <v>24</v>
      </c>
      <c r="I32" s="24" t="s">
        <v>24</v>
      </c>
      <c r="K32" s="24" t="s">
        <v>24</v>
      </c>
      <c r="M32" s="24" t="s">
        <v>24</v>
      </c>
    </row>
    <row r="33" spans="2:13" ht="12.75">
      <c r="B33" s="6" t="s">
        <v>105</v>
      </c>
      <c r="D33" s="6" t="s">
        <v>52</v>
      </c>
      <c r="G33" s="24">
        <v>19.8</v>
      </c>
      <c r="I33" s="23">
        <v>17.7</v>
      </c>
      <c r="K33" s="23">
        <v>15.6</v>
      </c>
      <c r="M33" s="7">
        <f>AVERAGE(G33,I33,K33)</f>
        <v>17.7</v>
      </c>
    </row>
    <row r="34" spans="2:13" ht="12.75">
      <c r="B34" s="6" t="s">
        <v>167</v>
      </c>
      <c r="D34" s="6" t="s">
        <v>16</v>
      </c>
      <c r="G34" s="24">
        <v>39400</v>
      </c>
      <c r="I34" s="24">
        <v>39300</v>
      </c>
      <c r="K34" s="23">
        <v>37500</v>
      </c>
      <c r="M34" s="64">
        <f>AVERAGE(G34,I34,K34)</f>
        <v>38733.333333333336</v>
      </c>
    </row>
    <row r="35" spans="9:13" ht="12.75">
      <c r="I35" s="24"/>
      <c r="M35" s="64"/>
    </row>
    <row r="36" spans="2:13" ht="12.75">
      <c r="B36" s="41" t="s">
        <v>127</v>
      </c>
      <c r="I36" s="24"/>
      <c r="M36" s="64"/>
    </row>
    <row r="37" spans="1:13" ht="12.75">
      <c r="A37" s="23" t="s">
        <v>85</v>
      </c>
      <c r="B37" s="6" t="s">
        <v>105</v>
      </c>
      <c r="C37" s="22"/>
      <c r="D37" s="6" t="s">
        <v>54</v>
      </c>
      <c r="E37" s="6" t="s">
        <v>14</v>
      </c>
      <c r="G37" s="106">
        <f>(G33/60)*1000000*454/(G$34*0.0283)*(21-7)/(21-7.2)</f>
        <v>136312.62609444323</v>
      </c>
      <c r="H37" s="29"/>
      <c r="I37" s="106">
        <f>(I33/60)*1000000*454/(I$34*0.0283)*(21-7)/(21-7.2)</f>
        <v>122165.29054635773</v>
      </c>
      <c r="J37" s="29"/>
      <c r="K37" s="106">
        <f>(K33/60)*1000000*454/(K$34*0.0283)*(21-7)/(21-7.2)</f>
        <v>112839.31650193749</v>
      </c>
      <c r="L37" s="106"/>
      <c r="M37" s="64">
        <f>AVERAGE(G37,I37,K37)</f>
        <v>123772.41104757949</v>
      </c>
    </row>
    <row r="38" spans="7:17" ht="12.75">
      <c r="G38" s="25"/>
      <c r="H38" s="25"/>
      <c r="I38" s="25"/>
      <c r="J38" s="25"/>
      <c r="K38" s="25"/>
      <c r="L38" s="25"/>
      <c r="M38" s="64"/>
      <c r="Q38" s="45"/>
    </row>
    <row r="39" spans="2:21" ht="12.75">
      <c r="B39" s="22" t="s">
        <v>170</v>
      </c>
      <c r="F39" s="9"/>
      <c r="G39" s="25" t="s">
        <v>209</v>
      </c>
      <c r="H39" s="25"/>
      <c r="I39" s="25" t="s">
        <v>210</v>
      </c>
      <c r="J39" s="25"/>
      <c r="K39" s="25" t="s">
        <v>211</v>
      </c>
      <c r="L39" s="25"/>
      <c r="M39" s="25" t="s">
        <v>46</v>
      </c>
      <c r="N39" s="36"/>
      <c r="O39" s="25" t="s">
        <v>209</v>
      </c>
      <c r="P39" s="25"/>
      <c r="Q39" s="25" t="s">
        <v>210</v>
      </c>
      <c r="R39" s="25"/>
      <c r="S39" s="25" t="s">
        <v>211</v>
      </c>
      <c r="T39" s="25"/>
      <c r="U39" s="25" t="s">
        <v>46</v>
      </c>
    </row>
    <row r="40" spans="6:17" ht="12.75">
      <c r="F40" s="9"/>
      <c r="G40" s="9"/>
      <c r="H40" s="9"/>
      <c r="I40" s="9"/>
      <c r="J40" s="9"/>
      <c r="K40" s="9"/>
      <c r="L40" s="9"/>
      <c r="M40" s="105"/>
      <c r="N40" s="36"/>
      <c r="O40" s="36"/>
      <c r="P40" s="36"/>
      <c r="Q40" s="105"/>
    </row>
    <row r="41" spans="2:19" ht="12.75">
      <c r="B41" s="6" t="s">
        <v>358</v>
      </c>
      <c r="F41" s="9"/>
      <c r="G41" s="9" t="s">
        <v>360</v>
      </c>
      <c r="H41" s="9"/>
      <c r="I41" s="9" t="s">
        <v>360</v>
      </c>
      <c r="J41" s="9"/>
      <c r="K41" s="9" t="s">
        <v>360</v>
      </c>
      <c r="L41" s="9"/>
      <c r="M41" s="9" t="s">
        <v>360</v>
      </c>
      <c r="N41" s="36"/>
      <c r="O41" s="36" t="s">
        <v>362</v>
      </c>
      <c r="P41" s="36"/>
      <c r="Q41" s="36" t="s">
        <v>362</v>
      </c>
      <c r="S41" s="36" t="s">
        <v>362</v>
      </c>
    </row>
    <row r="42" spans="2:19" ht="12.75">
      <c r="B42" s="6" t="s">
        <v>359</v>
      </c>
      <c r="F42" s="9"/>
      <c r="G42" s="9" t="s">
        <v>24</v>
      </c>
      <c r="H42" s="9"/>
      <c r="I42" s="9" t="s">
        <v>24</v>
      </c>
      <c r="J42" s="9"/>
      <c r="K42" s="9" t="s">
        <v>24</v>
      </c>
      <c r="L42" s="9"/>
      <c r="M42" s="9" t="s">
        <v>24</v>
      </c>
      <c r="N42" s="36"/>
      <c r="O42" s="36" t="s">
        <v>393</v>
      </c>
      <c r="P42" s="36"/>
      <c r="Q42" s="36" t="s">
        <v>393</v>
      </c>
      <c r="S42" s="36" t="s">
        <v>393</v>
      </c>
    </row>
    <row r="43" spans="2:19" ht="12.75">
      <c r="B43" s="5" t="s">
        <v>371</v>
      </c>
      <c r="F43" s="9"/>
      <c r="G43" s="9" t="s">
        <v>24</v>
      </c>
      <c r="H43" s="9"/>
      <c r="I43" s="9" t="s">
        <v>24</v>
      </c>
      <c r="J43" s="9"/>
      <c r="K43" s="9" t="s">
        <v>24</v>
      </c>
      <c r="L43" s="9"/>
      <c r="M43" s="9" t="s">
        <v>24</v>
      </c>
      <c r="N43" s="36"/>
      <c r="O43" s="36" t="s">
        <v>61</v>
      </c>
      <c r="P43" s="36"/>
      <c r="Q43" s="36" t="s">
        <v>61</v>
      </c>
      <c r="S43" s="36" t="s">
        <v>61</v>
      </c>
    </row>
    <row r="44" spans="2:19" ht="12.75">
      <c r="B44" s="6" t="s">
        <v>178</v>
      </c>
      <c r="F44" s="9"/>
      <c r="G44" s="9" t="s">
        <v>24</v>
      </c>
      <c r="H44" s="9"/>
      <c r="I44" s="9" t="s">
        <v>24</v>
      </c>
      <c r="J44" s="9"/>
      <c r="K44" s="9" t="s">
        <v>24</v>
      </c>
      <c r="L44" s="9"/>
      <c r="M44" s="9" t="s">
        <v>24</v>
      </c>
      <c r="N44" s="36"/>
      <c r="O44" s="36" t="s">
        <v>289</v>
      </c>
      <c r="P44" s="36"/>
      <c r="Q44" s="36" t="s">
        <v>289</v>
      </c>
      <c r="S44" s="36" t="s">
        <v>289</v>
      </c>
    </row>
    <row r="45" spans="2:19" ht="12.75">
      <c r="B45" s="6" t="s">
        <v>230</v>
      </c>
      <c r="D45" s="6" t="s">
        <v>52</v>
      </c>
      <c r="F45" s="9"/>
      <c r="G45" s="23"/>
      <c r="H45" s="23"/>
      <c r="L45" s="9"/>
      <c r="M45" s="9"/>
      <c r="N45" s="36"/>
      <c r="O45" s="9">
        <f>9283</f>
        <v>9283</v>
      </c>
      <c r="P45" s="9"/>
      <c r="Q45" s="9">
        <f>8978</f>
        <v>8978</v>
      </c>
      <c r="R45" s="9"/>
      <c r="S45" s="9">
        <f>8208</f>
        <v>8208</v>
      </c>
    </row>
    <row r="46" spans="2:17" ht="12.75">
      <c r="B46" s="6" t="s">
        <v>48</v>
      </c>
      <c r="D46" s="6" t="s">
        <v>52</v>
      </c>
      <c r="F46" s="9"/>
      <c r="G46" s="9">
        <f>0.484*O45</f>
        <v>4492.972</v>
      </c>
      <c r="H46" s="9"/>
      <c r="I46" s="9">
        <f>0.311*Q45</f>
        <v>2792.158</v>
      </c>
      <c r="J46" s="9"/>
      <c r="K46" s="9">
        <f>0.269*S45</f>
        <v>2207.952</v>
      </c>
      <c r="L46" s="9"/>
      <c r="M46" s="9"/>
      <c r="N46" s="36"/>
      <c r="O46" s="36"/>
      <c r="P46" s="36"/>
      <c r="Q46" s="105"/>
    </row>
    <row r="47" spans="2:17" ht="12.75">
      <c r="B47" s="6" t="s">
        <v>222</v>
      </c>
      <c r="D47" s="6" t="s">
        <v>52</v>
      </c>
      <c r="F47" s="9"/>
      <c r="G47" s="9">
        <v>2240</v>
      </c>
      <c r="H47" s="9"/>
      <c r="I47" s="9">
        <v>2770</v>
      </c>
      <c r="J47" s="9"/>
      <c r="K47" s="9">
        <v>2870</v>
      </c>
      <c r="L47" s="9"/>
      <c r="M47" s="9"/>
      <c r="N47" s="36"/>
      <c r="O47" s="36"/>
      <c r="P47" s="36"/>
      <c r="Q47" s="105"/>
    </row>
    <row r="48" spans="2:17" ht="12.75">
      <c r="B48" s="6" t="s">
        <v>174</v>
      </c>
      <c r="D48" s="6" t="s">
        <v>52</v>
      </c>
      <c r="E48" s="9"/>
      <c r="F48" s="25"/>
      <c r="G48" s="9">
        <v>2.77</v>
      </c>
      <c r="H48" s="9"/>
      <c r="I48" s="9">
        <v>2.69</v>
      </c>
      <c r="J48" s="9"/>
      <c r="K48" s="9">
        <v>2.7</v>
      </c>
      <c r="L48" s="30"/>
      <c r="M48" s="9"/>
      <c r="N48" s="56"/>
      <c r="O48" s="56"/>
      <c r="P48" s="56"/>
      <c r="Q48" s="105"/>
    </row>
    <row r="49" spans="2:17" ht="12.75">
      <c r="B49" s="6" t="s">
        <v>103</v>
      </c>
      <c r="D49" s="6" t="s">
        <v>52</v>
      </c>
      <c r="E49" s="9"/>
      <c r="G49" s="9">
        <v>2.93</v>
      </c>
      <c r="H49" s="9"/>
      <c r="I49" s="9">
        <v>2.78</v>
      </c>
      <c r="J49" s="9"/>
      <c r="K49" s="9">
        <v>2.81</v>
      </c>
      <c r="L49" s="30"/>
      <c r="M49" s="9"/>
      <c r="N49" s="56"/>
      <c r="O49" s="56"/>
      <c r="P49" s="56"/>
      <c r="Q49" s="105"/>
    </row>
    <row r="50" spans="2:17" ht="12.75">
      <c r="B50" s="6" t="s">
        <v>175</v>
      </c>
      <c r="D50" s="6" t="s">
        <v>52</v>
      </c>
      <c r="E50" s="9"/>
      <c r="G50" s="9">
        <v>6.79</v>
      </c>
      <c r="H50" s="9"/>
      <c r="I50" s="9">
        <v>5.35</v>
      </c>
      <c r="J50" s="9"/>
      <c r="K50" s="9">
        <v>5.47</v>
      </c>
      <c r="L50" s="30"/>
      <c r="M50" s="9"/>
      <c r="N50" s="56"/>
      <c r="O50" s="56"/>
      <c r="P50" s="56"/>
      <c r="Q50" s="105"/>
    </row>
    <row r="51" spans="2:17" ht="12.75">
      <c r="B51" s="6" t="s">
        <v>79</v>
      </c>
      <c r="D51" s="6" t="s">
        <v>52</v>
      </c>
      <c r="E51" s="9"/>
      <c r="G51" s="9">
        <v>0.973</v>
      </c>
      <c r="H51" s="9"/>
      <c r="I51" s="9">
        <v>0.997</v>
      </c>
      <c r="J51" s="9"/>
      <c r="K51" s="9">
        <v>0.985</v>
      </c>
      <c r="L51" s="21"/>
      <c r="M51" s="9"/>
      <c r="N51" s="56"/>
      <c r="O51" s="56"/>
      <c r="P51" s="56"/>
      <c r="Q51" s="105"/>
    </row>
    <row r="52" spans="2:17" ht="12.75">
      <c r="B52" s="6" t="s">
        <v>104</v>
      </c>
      <c r="D52" s="6" t="s">
        <v>52</v>
      </c>
      <c r="E52" s="9"/>
      <c r="G52" s="9">
        <v>2.88</v>
      </c>
      <c r="H52" s="9"/>
      <c r="I52" s="9">
        <v>2.8</v>
      </c>
      <c r="J52" s="9"/>
      <c r="K52" s="9">
        <v>2.82</v>
      </c>
      <c r="L52" s="21"/>
      <c r="M52" s="9"/>
      <c r="N52" s="56"/>
      <c r="O52" s="56"/>
      <c r="P52" s="56"/>
      <c r="Q52" s="105"/>
    </row>
    <row r="53" spans="2:17" ht="12.75">
      <c r="B53" s="6" t="s">
        <v>83</v>
      </c>
      <c r="D53" s="6" t="s">
        <v>52</v>
      </c>
      <c r="E53" s="9"/>
      <c r="F53" s="13"/>
      <c r="G53" s="9">
        <v>23.5</v>
      </c>
      <c r="H53" s="9"/>
      <c r="I53" s="9">
        <v>25.1</v>
      </c>
      <c r="J53" s="9"/>
      <c r="K53" s="9">
        <v>24.3</v>
      </c>
      <c r="L53" s="21"/>
      <c r="M53" s="9"/>
      <c r="N53" s="56"/>
      <c r="O53" s="56"/>
      <c r="P53" s="56"/>
      <c r="Q53" s="105"/>
    </row>
    <row r="54" spans="2:17" ht="12.75">
      <c r="B54" s="6" t="s">
        <v>78</v>
      </c>
      <c r="D54" s="6" t="s">
        <v>52</v>
      </c>
      <c r="E54" s="9"/>
      <c r="F54" s="13"/>
      <c r="G54" s="9">
        <v>53.4</v>
      </c>
      <c r="H54" s="9"/>
      <c r="I54" s="9">
        <v>55.9</v>
      </c>
      <c r="J54" s="9"/>
      <c r="K54" s="9">
        <v>79.8</v>
      </c>
      <c r="L54" s="21"/>
      <c r="M54" s="9"/>
      <c r="N54" s="56"/>
      <c r="O54" s="56"/>
      <c r="P54" s="56"/>
      <c r="Q54" s="105"/>
    </row>
    <row r="55" spans="2:17" ht="12.75">
      <c r="B55" s="6" t="s">
        <v>80</v>
      </c>
      <c r="D55" s="6" t="s">
        <v>52</v>
      </c>
      <c r="E55" s="9"/>
      <c r="G55" s="9">
        <v>0.144</v>
      </c>
      <c r="H55" s="9"/>
      <c r="I55" s="9">
        <v>0.14</v>
      </c>
      <c r="J55" s="9"/>
      <c r="K55" s="9">
        <v>0.14</v>
      </c>
      <c r="L55" s="21"/>
      <c r="M55" s="9"/>
      <c r="N55" s="56"/>
      <c r="O55" s="56"/>
      <c r="P55" s="56"/>
      <c r="Q55" s="105"/>
    </row>
    <row r="56" spans="2:17" ht="12.75">
      <c r="B56" s="6" t="s">
        <v>105</v>
      </c>
      <c r="D56" s="6" t="s">
        <v>52</v>
      </c>
      <c r="E56" s="9"/>
      <c r="F56" s="13"/>
      <c r="G56" s="9">
        <v>26.8</v>
      </c>
      <c r="H56" s="9"/>
      <c r="I56" s="9">
        <v>13.2</v>
      </c>
      <c r="J56" s="9"/>
      <c r="K56" s="9">
        <v>12.4</v>
      </c>
      <c r="L56" s="21"/>
      <c r="M56" s="9"/>
      <c r="N56" s="56"/>
      <c r="O56" s="56"/>
      <c r="P56" s="56"/>
      <c r="Q56" s="105"/>
    </row>
    <row r="57" spans="2:17" ht="12.75">
      <c r="B57" s="6" t="s">
        <v>107</v>
      </c>
      <c r="D57" s="6" t="s">
        <v>52</v>
      </c>
      <c r="E57" s="9"/>
      <c r="G57" s="9">
        <v>4.6</v>
      </c>
      <c r="H57" s="9"/>
      <c r="I57" s="9">
        <v>4.56</v>
      </c>
      <c r="J57" s="9"/>
      <c r="K57" s="9">
        <v>4.59</v>
      </c>
      <c r="L57" s="14"/>
      <c r="M57" s="9"/>
      <c r="N57" s="56"/>
      <c r="O57" s="56"/>
      <c r="P57" s="56"/>
      <c r="Q57" s="105"/>
    </row>
    <row r="58" spans="2:17" ht="12.75">
      <c r="B58" s="6" t="s">
        <v>102</v>
      </c>
      <c r="D58" s="6" t="s">
        <v>52</v>
      </c>
      <c r="E58" s="9"/>
      <c r="G58" s="9">
        <v>1.43</v>
      </c>
      <c r="H58" s="9"/>
      <c r="I58" s="9">
        <v>1.43</v>
      </c>
      <c r="J58" s="9"/>
      <c r="K58" s="9">
        <v>1.44</v>
      </c>
      <c r="L58" s="14"/>
      <c r="M58" s="9"/>
      <c r="N58" s="56"/>
      <c r="O58" s="56"/>
      <c r="P58" s="56"/>
      <c r="Q58" s="105"/>
    </row>
    <row r="59" spans="2:17" ht="12.75">
      <c r="B59" s="6" t="s">
        <v>109</v>
      </c>
      <c r="D59" s="6" t="s">
        <v>52</v>
      </c>
      <c r="E59" s="9"/>
      <c r="G59" s="9">
        <v>1.57</v>
      </c>
      <c r="H59" s="9"/>
      <c r="I59" s="9">
        <v>1.56</v>
      </c>
      <c r="J59" s="9"/>
      <c r="K59" s="9">
        <v>1.57</v>
      </c>
      <c r="L59" s="14"/>
      <c r="M59" s="9"/>
      <c r="N59" s="56"/>
      <c r="O59" s="56"/>
      <c r="P59" s="56"/>
      <c r="Q59" s="105"/>
    </row>
    <row r="60" spans="2:17" ht="12.75">
      <c r="B60" s="6" t="s">
        <v>110</v>
      </c>
      <c r="D60" s="6" t="s">
        <v>52</v>
      </c>
      <c r="E60" s="9"/>
      <c r="G60" s="9">
        <v>27.8</v>
      </c>
      <c r="H60" s="9"/>
      <c r="I60" s="9">
        <v>10.7</v>
      </c>
      <c r="J60" s="9"/>
      <c r="K60" s="9">
        <v>1.87</v>
      </c>
      <c r="L60" s="14"/>
      <c r="M60" s="9"/>
      <c r="N60" s="56"/>
      <c r="O60" s="56"/>
      <c r="P60" s="56"/>
      <c r="Q60" s="105"/>
    </row>
    <row r="61" spans="5:18" ht="12.75">
      <c r="E61" s="9"/>
      <c r="H61" s="55"/>
      <c r="I61" s="20"/>
      <c r="J61" s="56"/>
      <c r="K61" s="14"/>
      <c r="L61" s="14"/>
      <c r="M61" s="64"/>
      <c r="N61" s="56"/>
      <c r="O61" s="56"/>
      <c r="P61" s="56"/>
      <c r="Q61" s="105"/>
      <c r="R61" s="26"/>
    </row>
    <row r="62" spans="2:18" ht="12.75">
      <c r="B62" s="6" t="s">
        <v>125</v>
      </c>
      <c r="E62" s="9"/>
      <c r="G62" s="24">
        <f>'emiss 1'!G100</f>
        <v>41200</v>
      </c>
      <c r="H62" s="55"/>
      <c r="I62" s="24">
        <f>'emiss 1'!I100</f>
        <v>42100</v>
      </c>
      <c r="J62" s="56"/>
      <c r="K62" s="24">
        <f>'emiss 1'!K100</f>
        <v>40600</v>
      </c>
      <c r="L62" s="14"/>
      <c r="M62" s="64"/>
      <c r="N62" s="56"/>
      <c r="O62" s="56"/>
      <c r="P62" s="56"/>
      <c r="Q62" s="105"/>
      <c r="R62" s="26"/>
    </row>
    <row r="63" spans="2:18" ht="12.75">
      <c r="B63" s="6" t="s">
        <v>126</v>
      </c>
      <c r="E63" s="9"/>
      <c r="G63" s="24">
        <f>'emiss 1'!G101</f>
        <v>6.7</v>
      </c>
      <c r="H63" s="55"/>
      <c r="I63" s="24">
        <f>'emiss 1'!I101</f>
        <v>6.5</v>
      </c>
      <c r="J63" s="56"/>
      <c r="K63" s="24">
        <f>'emiss 1'!K101</f>
        <v>6.1</v>
      </c>
      <c r="L63" s="14"/>
      <c r="M63" s="64"/>
      <c r="N63" s="56"/>
      <c r="O63" s="56"/>
      <c r="P63" s="56"/>
      <c r="Q63" s="105"/>
      <c r="R63" s="26"/>
    </row>
    <row r="64" spans="5:18" ht="12.75">
      <c r="E64" s="9"/>
      <c r="H64" s="55"/>
      <c r="I64" s="20"/>
      <c r="J64" s="56"/>
      <c r="K64" s="14"/>
      <c r="L64" s="14"/>
      <c r="M64" s="64"/>
      <c r="N64" s="56"/>
      <c r="O64" s="56"/>
      <c r="P64" s="56"/>
      <c r="Q64" s="105"/>
      <c r="R64" s="26"/>
    </row>
    <row r="65" spans="2:18" ht="12.75">
      <c r="B65" s="41" t="s">
        <v>127</v>
      </c>
      <c r="E65" s="9"/>
      <c r="H65" s="55"/>
      <c r="I65" s="20"/>
      <c r="J65" s="56"/>
      <c r="K65" s="14"/>
      <c r="L65" s="14"/>
      <c r="M65" s="64"/>
      <c r="N65" s="56"/>
      <c r="O65" s="56"/>
      <c r="P65" s="56"/>
      <c r="Q65" s="105"/>
      <c r="R65" s="26"/>
    </row>
    <row r="66" spans="2:18" ht="12.75">
      <c r="B66" s="6" t="s">
        <v>48</v>
      </c>
      <c r="D66" s="6" t="s">
        <v>60</v>
      </c>
      <c r="E66" s="9" t="s">
        <v>14</v>
      </c>
      <c r="G66" s="64">
        <f>G46*454/60/0.0283*14/(21-G$63)*1000/G$62</f>
        <v>28546.092006498882</v>
      </c>
      <c r="H66" s="55"/>
      <c r="I66" s="64">
        <f>I46*454/60/0.0283*14/(21-I$63)*1000/I$62</f>
        <v>17121.274674179323</v>
      </c>
      <c r="J66" s="56"/>
      <c r="K66" s="64">
        <f>K46*454/60/0.0283*14/(21-K$63)*1000/K$62</f>
        <v>13662.290907336432</v>
      </c>
      <c r="L66" s="14"/>
      <c r="M66" s="106">
        <f>AVERAGE(G66,I66,K66)</f>
        <v>19776.552529338212</v>
      </c>
      <c r="N66" s="56"/>
      <c r="O66" s="56"/>
      <c r="P66" s="56"/>
      <c r="Q66" s="105"/>
      <c r="R66" s="26"/>
    </row>
    <row r="67" spans="2:18" ht="12.75">
      <c r="B67" s="6" t="s">
        <v>222</v>
      </c>
      <c r="D67" s="6" t="s">
        <v>54</v>
      </c>
      <c r="E67" s="6" t="s">
        <v>14</v>
      </c>
      <c r="G67" s="64">
        <f>G47*454/60/0.0283*14/(21-G$63)*1000000/G$62</f>
        <v>14231837.210327037</v>
      </c>
      <c r="H67" s="55"/>
      <c r="I67" s="64">
        <f>I47*454/60/0.0283*14/(21-I$63)*1000000/I$62</f>
        <v>16985403.708341982</v>
      </c>
      <c r="J67" s="55"/>
      <c r="K67" s="64">
        <f aca="true" t="shared" si="1" ref="K67:K80">K47*454/60/0.0283*14/(21-K$63)*1000000/K$62</f>
        <v>17758889.189645223</v>
      </c>
      <c r="L67" s="30"/>
      <c r="M67" s="106">
        <f>AVERAGE(G67,I67,K67)</f>
        <v>16325376.702771416</v>
      </c>
      <c r="N67" s="56"/>
      <c r="O67" s="56"/>
      <c r="P67" s="56"/>
      <c r="Q67" s="105"/>
      <c r="R67" s="26"/>
    </row>
    <row r="68" spans="2:17" ht="12.75">
      <c r="B68" s="6" t="s">
        <v>174</v>
      </c>
      <c r="D68" s="6" t="s">
        <v>54</v>
      </c>
      <c r="E68" s="6" t="s">
        <v>14</v>
      </c>
      <c r="F68" s="25"/>
      <c r="G68" s="64">
        <f aca="true" t="shared" si="2" ref="G68:I80">G48*454/60/0.0283*14/(21-G$63)*1000000/G$62</f>
        <v>17599.191550270494</v>
      </c>
      <c r="H68" s="55"/>
      <c r="I68" s="64">
        <f t="shared" si="2"/>
        <v>16494.850532649794</v>
      </c>
      <c r="J68" s="55"/>
      <c r="K68" s="64">
        <f t="shared" si="1"/>
        <v>16706.968924056484</v>
      </c>
      <c r="L68" s="30"/>
      <c r="M68" s="106">
        <f>AVERAGE(G68,I68,K68)</f>
        <v>16933.670335658924</v>
      </c>
      <c r="N68" s="56"/>
      <c r="O68" s="56"/>
      <c r="P68" s="56"/>
      <c r="Q68" s="105"/>
    </row>
    <row r="69" spans="2:17" ht="12.75">
      <c r="B69" s="6" t="s">
        <v>103</v>
      </c>
      <c r="D69" s="6" t="s">
        <v>54</v>
      </c>
      <c r="E69" s="6" t="s">
        <v>14</v>
      </c>
      <c r="G69" s="64">
        <f t="shared" si="2"/>
        <v>18615.751351008137</v>
      </c>
      <c r="H69" s="55"/>
      <c r="I69" s="64">
        <f t="shared" si="2"/>
        <v>17046.722855303502</v>
      </c>
      <c r="J69" s="56"/>
      <c r="K69" s="64">
        <f t="shared" si="1"/>
        <v>17387.623213555078</v>
      </c>
      <c r="L69" s="30"/>
      <c r="M69" s="106">
        <f aca="true" t="shared" si="3" ref="M69:M82">AVERAGE(G69,I69,K69)</f>
        <v>17683.36580662224</v>
      </c>
      <c r="N69" s="56"/>
      <c r="O69" s="56"/>
      <c r="P69" s="56"/>
      <c r="Q69" s="105"/>
    </row>
    <row r="70" spans="2:17" ht="12.75">
      <c r="B70" s="6" t="s">
        <v>175</v>
      </c>
      <c r="D70" s="6" t="s">
        <v>54</v>
      </c>
      <c r="E70" s="6" t="s">
        <v>14</v>
      </c>
      <c r="G70" s="64">
        <f t="shared" si="2"/>
        <v>43140.25654380384</v>
      </c>
      <c r="H70" s="55"/>
      <c r="I70" s="64">
        <f t="shared" si="2"/>
        <v>32805.74362441501</v>
      </c>
      <c r="J70" s="56"/>
      <c r="K70" s="64">
        <f t="shared" si="1"/>
        <v>33847.081486884796</v>
      </c>
      <c r="L70" s="30"/>
      <c r="M70" s="106">
        <f t="shared" si="3"/>
        <v>36597.69388503455</v>
      </c>
      <c r="N70" s="56"/>
      <c r="O70" s="56"/>
      <c r="P70" s="56"/>
      <c r="Q70" s="105"/>
    </row>
    <row r="71" spans="2:17" ht="12.75">
      <c r="B71" s="6" t="s">
        <v>79</v>
      </c>
      <c r="D71" s="6" t="s">
        <v>54</v>
      </c>
      <c r="E71" s="6" t="s">
        <v>14</v>
      </c>
      <c r="G71" s="64">
        <f t="shared" si="2"/>
        <v>6181.954288235807</v>
      </c>
      <c r="H71" s="55"/>
      <c r="I71" s="64">
        <f t="shared" si="2"/>
        <v>6113.518952063882</v>
      </c>
      <c r="J71" s="14"/>
      <c r="K71" s="64">
        <f t="shared" si="1"/>
        <v>6094.94977414653</v>
      </c>
      <c r="L71" s="21"/>
      <c r="M71" s="106">
        <f t="shared" si="3"/>
        <v>6130.141004815407</v>
      </c>
      <c r="N71" s="56"/>
      <c r="O71" s="56"/>
      <c r="P71" s="56"/>
      <c r="Q71" s="105"/>
    </row>
    <row r="72" spans="2:17" ht="12.75">
      <c r="B72" s="6" t="s">
        <v>104</v>
      </c>
      <c r="D72" s="6" t="s">
        <v>54</v>
      </c>
      <c r="E72" s="6" t="s">
        <v>14</v>
      </c>
      <c r="G72" s="64">
        <f t="shared" si="2"/>
        <v>18298.07641327762</v>
      </c>
      <c r="H72" s="55"/>
      <c r="I72" s="64">
        <f t="shared" si="2"/>
        <v>17169.361149226548</v>
      </c>
      <c r="J72" s="14"/>
      <c r="K72" s="64">
        <f t="shared" si="1"/>
        <v>17449.50087623677</v>
      </c>
      <c r="L72" s="21"/>
      <c r="M72" s="106">
        <f t="shared" si="3"/>
        <v>17638.979479580314</v>
      </c>
      <c r="N72" s="56"/>
      <c r="O72" s="56"/>
      <c r="P72" s="56"/>
      <c r="Q72" s="105"/>
    </row>
    <row r="73" spans="2:17" ht="12.75">
      <c r="B73" s="6" t="s">
        <v>83</v>
      </c>
      <c r="D73" s="6" t="s">
        <v>54</v>
      </c>
      <c r="E73" s="6" t="s">
        <v>14</v>
      </c>
      <c r="F73" s="13"/>
      <c r="G73" s="64">
        <f t="shared" si="2"/>
        <v>149307.22073334167</v>
      </c>
      <c r="H73" s="55"/>
      <c r="I73" s="64">
        <f t="shared" si="2"/>
        <v>153911.05887342372</v>
      </c>
      <c r="J73" s="14"/>
      <c r="K73" s="64">
        <f t="shared" si="1"/>
        <v>150362.72031650835</v>
      </c>
      <c r="L73" s="21"/>
      <c r="M73" s="106">
        <f t="shared" si="3"/>
        <v>151193.66664109123</v>
      </c>
      <c r="N73" s="56"/>
      <c r="O73" s="56"/>
      <c r="P73" s="56"/>
      <c r="Q73" s="105"/>
    </row>
    <row r="74" spans="2:17" ht="12.75">
      <c r="B74" s="6" t="s">
        <v>78</v>
      </c>
      <c r="D74" s="6" t="s">
        <v>54</v>
      </c>
      <c r="E74" s="6" t="s">
        <v>14</v>
      </c>
      <c r="F74" s="13"/>
      <c r="G74" s="64">
        <f t="shared" si="2"/>
        <v>339276.8334961892</v>
      </c>
      <c r="H74" s="55"/>
      <c r="I74" s="64">
        <f t="shared" si="2"/>
        <v>342774.03151491575</v>
      </c>
      <c r="J74" s="14"/>
      <c r="K74" s="64">
        <f t="shared" si="1"/>
        <v>493783.74819989153</v>
      </c>
      <c r="L74" s="21"/>
      <c r="M74" s="106">
        <f t="shared" si="3"/>
        <v>391944.8710703322</v>
      </c>
      <c r="N74" s="56"/>
      <c r="O74" s="56"/>
      <c r="P74" s="56"/>
      <c r="Q74" s="105"/>
    </row>
    <row r="75" spans="2:17" ht="12.75">
      <c r="B75" s="6" t="s">
        <v>80</v>
      </c>
      <c r="D75" s="6" t="s">
        <v>54</v>
      </c>
      <c r="E75" s="6" t="s">
        <v>14</v>
      </c>
      <c r="G75" s="64">
        <f t="shared" si="2"/>
        <v>914.9038206638808</v>
      </c>
      <c r="H75" s="55"/>
      <c r="I75" s="64">
        <f t="shared" si="2"/>
        <v>858.4680574613275</v>
      </c>
      <c r="J75" s="56"/>
      <c r="K75" s="64">
        <f t="shared" si="1"/>
        <v>866.2872775436693</v>
      </c>
      <c r="L75" s="21"/>
      <c r="M75" s="106">
        <f t="shared" si="3"/>
        <v>879.8863852229592</v>
      </c>
      <c r="N75" s="56"/>
      <c r="O75" s="56"/>
      <c r="P75" s="56"/>
      <c r="Q75" s="105"/>
    </row>
    <row r="76" spans="2:17" ht="12.75">
      <c r="B76" s="6" t="s">
        <v>105</v>
      </c>
      <c r="D76" s="6" t="s">
        <v>54</v>
      </c>
      <c r="E76" s="6" t="s">
        <v>14</v>
      </c>
      <c r="F76" s="13"/>
      <c r="G76" s="64">
        <f t="shared" si="2"/>
        <v>170273.76662355565</v>
      </c>
      <c r="H76" s="55"/>
      <c r="I76" s="64">
        <f t="shared" si="2"/>
        <v>80941.27398921085</v>
      </c>
      <c r="J76" s="55"/>
      <c r="K76" s="64">
        <f t="shared" si="1"/>
        <v>76728.30172529643</v>
      </c>
      <c r="L76" s="21"/>
      <c r="M76" s="106">
        <f t="shared" si="3"/>
        <v>109314.44744602097</v>
      </c>
      <c r="N76" s="56"/>
      <c r="O76" s="56"/>
      <c r="P76" s="56"/>
      <c r="Q76" s="105"/>
    </row>
    <row r="77" spans="2:17" ht="12.75">
      <c r="B77" s="6" t="s">
        <v>107</v>
      </c>
      <c r="D77" s="6" t="s">
        <v>54</v>
      </c>
      <c r="E77" s="6" t="s">
        <v>14</v>
      </c>
      <c r="G77" s="64">
        <f t="shared" si="2"/>
        <v>29226.0942712073</v>
      </c>
      <c r="H77" s="55"/>
      <c r="I77" s="64">
        <f t="shared" si="2"/>
        <v>27961.531014454664</v>
      </c>
      <c r="J77" s="55"/>
      <c r="K77" s="64">
        <f t="shared" si="1"/>
        <v>28401.84717089602</v>
      </c>
      <c r="L77" s="14"/>
      <c r="M77" s="106">
        <f t="shared" si="3"/>
        <v>28529.824152186</v>
      </c>
      <c r="N77" s="56"/>
      <c r="O77" s="56"/>
      <c r="P77" s="56"/>
      <c r="Q77" s="105"/>
    </row>
    <row r="78" spans="2:17" ht="12.75">
      <c r="B78" s="6" t="s">
        <v>102</v>
      </c>
      <c r="D78" s="6" t="s">
        <v>54</v>
      </c>
      <c r="E78" s="6" t="s">
        <v>14</v>
      </c>
      <c r="G78" s="64">
        <f t="shared" si="2"/>
        <v>9085.503219092707</v>
      </c>
      <c r="H78" s="55"/>
      <c r="I78" s="64">
        <f t="shared" si="2"/>
        <v>8768.638015497845</v>
      </c>
      <c r="J78" s="55"/>
      <c r="K78" s="64">
        <f t="shared" si="1"/>
        <v>8910.383426163457</v>
      </c>
      <c r="L78" s="14"/>
      <c r="M78" s="106">
        <f t="shared" si="3"/>
        <v>8921.508220251337</v>
      </c>
      <c r="N78" s="56"/>
      <c r="O78" s="56"/>
      <c r="P78" s="56"/>
      <c r="Q78" s="105"/>
    </row>
    <row r="79" spans="2:17" ht="12.75">
      <c r="B79" s="6" t="s">
        <v>109</v>
      </c>
      <c r="D79" s="6" t="s">
        <v>54</v>
      </c>
      <c r="E79" s="6" t="s">
        <v>14</v>
      </c>
      <c r="G79" s="64">
        <f t="shared" si="2"/>
        <v>9974.993044738147</v>
      </c>
      <c r="H79" s="55"/>
      <c r="I79" s="64">
        <f t="shared" si="2"/>
        <v>9565.786925997649</v>
      </c>
      <c r="J79" s="55"/>
      <c r="K79" s="64">
        <f t="shared" si="1"/>
        <v>9714.793041025436</v>
      </c>
      <c r="L79" s="14"/>
      <c r="M79" s="106">
        <f t="shared" si="3"/>
        <v>9751.857670587078</v>
      </c>
      <c r="N79" s="56"/>
      <c r="O79" s="56"/>
      <c r="P79" s="56"/>
      <c r="Q79" s="105"/>
    </row>
    <row r="80" spans="2:17" ht="12.75">
      <c r="B80" s="6" t="s">
        <v>110</v>
      </c>
      <c r="D80" s="6" t="s">
        <v>54</v>
      </c>
      <c r="E80" s="6" t="s">
        <v>14</v>
      </c>
      <c r="G80" s="64">
        <f t="shared" si="2"/>
        <v>176627.26537816596</v>
      </c>
      <c r="H80" s="55"/>
      <c r="I80" s="64">
        <f t="shared" si="2"/>
        <v>65611.48724883002</v>
      </c>
      <c r="J80" s="55"/>
      <c r="K80" s="64">
        <f t="shared" si="1"/>
        <v>11571.122921476155</v>
      </c>
      <c r="L80" s="14"/>
      <c r="M80" s="106">
        <f t="shared" si="3"/>
        <v>84603.2918494907</v>
      </c>
      <c r="N80" s="56"/>
      <c r="O80" s="56"/>
      <c r="P80" s="56"/>
      <c r="Q80" s="105"/>
    </row>
    <row r="81" spans="2:17" ht="12.75">
      <c r="B81" s="6" t="s">
        <v>55</v>
      </c>
      <c r="D81" s="6" t="s">
        <v>54</v>
      </c>
      <c r="E81" s="6" t="s">
        <v>14</v>
      </c>
      <c r="G81" s="64">
        <f>G72+G74</f>
        <v>357574.9099094668</v>
      </c>
      <c r="H81" s="55"/>
      <c r="I81" s="64">
        <f>I72+I74</f>
        <v>359943.3926641423</v>
      </c>
      <c r="J81" s="20"/>
      <c r="K81" s="64">
        <f>K72+K74</f>
        <v>511233.2490761283</v>
      </c>
      <c r="L81" s="21"/>
      <c r="M81" s="106">
        <f t="shared" si="3"/>
        <v>409583.8505499125</v>
      </c>
      <c r="N81" s="56"/>
      <c r="O81" s="56"/>
      <c r="P81" s="56"/>
      <c r="Q81" s="105"/>
    </row>
    <row r="82" spans="2:18" ht="12.75">
      <c r="B82" s="6" t="s">
        <v>56</v>
      </c>
      <c r="D82" s="6" t="s">
        <v>54</v>
      </c>
      <c r="E82" s="6" t="s">
        <v>14</v>
      </c>
      <c r="G82" s="64">
        <f>G69+G71+G73</f>
        <v>174104.9263725856</v>
      </c>
      <c r="H82" s="55"/>
      <c r="I82" s="64">
        <f>I69+I71+I73</f>
        <v>177071.30068079112</v>
      </c>
      <c r="J82" s="56"/>
      <c r="K82" s="64">
        <f>K69+K71+K73</f>
        <v>173845.29330420995</v>
      </c>
      <c r="L82" s="14"/>
      <c r="M82" s="106">
        <f t="shared" si="3"/>
        <v>175007.1734525289</v>
      </c>
      <c r="N82" s="56"/>
      <c r="O82" s="56"/>
      <c r="P82" s="56"/>
      <c r="Q82" s="105"/>
      <c r="R82" s="26"/>
    </row>
    <row r="83" spans="6:18" ht="12.75">
      <c r="F83" s="55"/>
      <c r="G83" s="63"/>
      <c r="H83" s="55"/>
      <c r="I83" s="54"/>
      <c r="J83" s="20"/>
      <c r="K83" s="21"/>
      <c r="L83" s="21"/>
      <c r="M83" s="105"/>
      <c r="N83" s="56"/>
      <c r="O83" s="56"/>
      <c r="P83" s="56"/>
      <c r="Q83" s="105"/>
      <c r="R83" s="7"/>
    </row>
    <row r="84" spans="2:17" ht="12.75">
      <c r="B84" s="22" t="s">
        <v>173</v>
      </c>
      <c r="F84" s="9"/>
      <c r="G84" s="25" t="s">
        <v>209</v>
      </c>
      <c r="H84" s="25"/>
      <c r="I84" s="25" t="s">
        <v>210</v>
      </c>
      <c r="J84" s="25"/>
      <c r="K84" s="25" t="s">
        <v>211</v>
      </c>
      <c r="L84" s="25"/>
      <c r="M84" s="25" t="s">
        <v>46</v>
      </c>
      <c r="N84" s="36"/>
      <c r="O84" s="36"/>
      <c r="P84" s="36"/>
      <c r="Q84" s="105"/>
    </row>
    <row r="85" spans="6:17" ht="12.75">
      <c r="F85" s="9"/>
      <c r="G85" s="9"/>
      <c r="H85" s="9"/>
      <c r="I85" s="9"/>
      <c r="J85" s="9"/>
      <c r="K85" s="9"/>
      <c r="L85" s="9"/>
      <c r="M85" s="105"/>
      <c r="N85" s="36"/>
      <c r="O85" s="36"/>
      <c r="P85" s="36"/>
      <c r="Q85" s="105"/>
    </row>
    <row r="86" spans="2:17" ht="12.75">
      <c r="B86" s="6" t="s">
        <v>358</v>
      </c>
      <c r="F86" s="9"/>
      <c r="G86" s="9" t="s">
        <v>360</v>
      </c>
      <c r="H86" s="9"/>
      <c r="I86" s="9" t="s">
        <v>360</v>
      </c>
      <c r="J86" s="9"/>
      <c r="K86" s="9" t="s">
        <v>360</v>
      </c>
      <c r="L86" s="9"/>
      <c r="M86" s="9" t="s">
        <v>360</v>
      </c>
      <c r="N86" s="36"/>
      <c r="O86" s="36"/>
      <c r="P86" s="36"/>
      <c r="Q86" s="105"/>
    </row>
    <row r="87" spans="2:17" ht="12.75">
      <c r="B87" s="6" t="s">
        <v>359</v>
      </c>
      <c r="F87" s="9"/>
      <c r="G87" s="9" t="s">
        <v>24</v>
      </c>
      <c r="H87" s="9"/>
      <c r="I87" s="9" t="s">
        <v>24</v>
      </c>
      <c r="J87" s="9"/>
      <c r="K87" s="9" t="s">
        <v>24</v>
      </c>
      <c r="L87" s="9"/>
      <c r="M87" s="9" t="s">
        <v>24</v>
      </c>
      <c r="N87" s="36"/>
      <c r="O87" s="36"/>
      <c r="P87" s="36"/>
      <c r="Q87" s="105"/>
    </row>
    <row r="88" spans="2:17" ht="12.75">
      <c r="B88" s="5" t="s">
        <v>371</v>
      </c>
      <c r="F88" s="9"/>
      <c r="G88" s="9" t="s">
        <v>24</v>
      </c>
      <c r="H88" s="9"/>
      <c r="I88" s="9" t="s">
        <v>24</v>
      </c>
      <c r="J88" s="9"/>
      <c r="K88" s="9" t="s">
        <v>24</v>
      </c>
      <c r="L88" s="9"/>
      <c r="M88" s="9" t="s">
        <v>24</v>
      </c>
      <c r="N88" s="36"/>
      <c r="O88" s="36"/>
      <c r="P88" s="36"/>
      <c r="Q88" s="105"/>
    </row>
    <row r="89" spans="2:17" ht="12.75">
      <c r="B89" s="6" t="s">
        <v>178</v>
      </c>
      <c r="F89" s="9"/>
      <c r="G89" s="9" t="s">
        <v>24</v>
      </c>
      <c r="H89" s="9"/>
      <c r="I89" s="9" t="s">
        <v>24</v>
      </c>
      <c r="J89" s="9"/>
      <c r="K89" s="9" t="s">
        <v>24</v>
      </c>
      <c r="L89" s="9"/>
      <c r="M89" s="9" t="s">
        <v>24</v>
      </c>
      <c r="N89" s="36"/>
      <c r="O89" s="36"/>
      <c r="P89" s="36"/>
      <c r="Q89" s="105"/>
    </row>
    <row r="90" spans="2:17" ht="12.75">
      <c r="B90" s="6" t="s">
        <v>48</v>
      </c>
      <c r="D90" s="6" t="s">
        <v>52</v>
      </c>
      <c r="F90" s="9"/>
      <c r="G90" s="106">
        <f>12364*0.66</f>
        <v>8160.240000000001</v>
      </c>
      <c r="H90" s="106"/>
      <c r="I90" s="106">
        <f>10272*0.49</f>
        <v>5033.28</v>
      </c>
      <c r="J90" s="106"/>
      <c r="K90" s="106">
        <f>10537*0.468</f>
        <v>4931.316000000001</v>
      </c>
      <c r="L90" s="9"/>
      <c r="M90" s="9"/>
      <c r="N90" s="36"/>
      <c r="O90" s="36"/>
      <c r="P90" s="36"/>
      <c r="Q90" s="105"/>
    </row>
    <row r="91" spans="2:17" ht="12.75">
      <c r="B91" s="6" t="s">
        <v>222</v>
      </c>
      <c r="D91" s="6" t="s">
        <v>52</v>
      </c>
      <c r="F91" s="9"/>
      <c r="G91" s="9">
        <v>2200</v>
      </c>
      <c r="H91" s="9"/>
      <c r="I91" s="9">
        <v>2290</v>
      </c>
      <c r="J91" s="9"/>
      <c r="K91" s="9">
        <v>2700</v>
      </c>
      <c r="L91" s="9"/>
      <c r="M91" s="9"/>
      <c r="N91" s="36"/>
      <c r="O91" s="36"/>
      <c r="P91" s="36"/>
      <c r="Q91" s="105"/>
    </row>
    <row r="92" spans="2:17" ht="12.75">
      <c r="B92" s="6" t="s">
        <v>174</v>
      </c>
      <c r="D92" s="6" t="s">
        <v>52</v>
      </c>
      <c r="E92" s="9"/>
      <c r="F92" s="25"/>
      <c r="G92" s="24">
        <v>3.19</v>
      </c>
      <c r="H92" s="55"/>
      <c r="I92" s="72">
        <v>2.75</v>
      </c>
      <c r="J92" s="55"/>
      <c r="K92" s="26">
        <v>3.01</v>
      </c>
      <c r="L92" s="30"/>
      <c r="M92" s="9"/>
      <c r="N92" s="56"/>
      <c r="O92" s="56"/>
      <c r="P92" s="56"/>
      <c r="Q92" s="105"/>
    </row>
    <row r="93" spans="2:17" ht="12.75">
      <c r="B93" s="6" t="s">
        <v>103</v>
      </c>
      <c r="D93" s="6" t="s">
        <v>52</v>
      </c>
      <c r="E93" s="9"/>
      <c r="G93" s="24">
        <v>2.53</v>
      </c>
      <c r="H93" s="55"/>
      <c r="I93" s="28">
        <v>2.47</v>
      </c>
      <c r="J93" s="56"/>
      <c r="K93" s="26">
        <v>2.58</v>
      </c>
      <c r="L93" s="30"/>
      <c r="M93" s="9"/>
      <c r="N93" s="56"/>
      <c r="O93" s="56"/>
      <c r="P93" s="56"/>
      <c r="Q93" s="105"/>
    </row>
    <row r="94" spans="2:17" ht="12.75">
      <c r="B94" s="6" t="s">
        <v>175</v>
      </c>
      <c r="D94" s="6" t="s">
        <v>52</v>
      </c>
      <c r="E94" s="9"/>
      <c r="G94" s="24">
        <v>5.79</v>
      </c>
      <c r="H94" s="55"/>
      <c r="I94" s="28">
        <v>5.62</v>
      </c>
      <c r="J94" s="56"/>
      <c r="K94" s="26">
        <v>6.98</v>
      </c>
      <c r="L94" s="30"/>
      <c r="M94" s="9"/>
      <c r="N94" s="56"/>
      <c r="O94" s="56"/>
      <c r="P94" s="56"/>
      <c r="Q94" s="105"/>
    </row>
    <row r="95" spans="2:17" ht="12.75">
      <c r="B95" s="6" t="s">
        <v>79</v>
      </c>
      <c r="D95" s="6" t="s">
        <v>52</v>
      </c>
      <c r="E95" s="9"/>
      <c r="G95" s="24">
        <v>0.884</v>
      </c>
      <c r="H95" s="55"/>
      <c r="I95" s="51">
        <v>0.984</v>
      </c>
      <c r="J95" s="14"/>
      <c r="K95" s="52">
        <v>1.02</v>
      </c>
      <c r="L95" s="21"/>
      <c r="M95" s="9"/>
      <c r="N95" s="56"/>
      <c r="O95" s="56"/>
      <c r="P95" s="56"/>
      <c r="Q95" s="105"/>
    </row>
    <row r="96" spans="2:17" ht="12.75">
      <c r="B96" s="6" t="s">
        <v>104</v>
      </c>
      <c r="D96" s="6" t="s">
        <v>52</v>
      </c>
      <c r="E96" s="9"/>
      <c r="G96" s="24">
        <v>2.32</v>
      </c>
      <c r="H96" s="55"/>
      <c r="I96" s="51">
        <v>2.31</v>
      </c>
      <c r="J96" s="14"/>
      <c r="K96" s="52">
        <v>2.4</v>
      </c>
      <c r="L96" s="21"/>
      <c r="M96" s="9"/>
      <c r="N96" s="56"/>
      <c r="O96" s="56"/>
      <c r="P96" s="56"/>
      <c r="Q96" s="105"/>
    </row>
    <row r="97" spans="2:17" ht="12.75">
      <c r="B97" s="6" t="s">
        <v>83</v>
      </c>
      <c r="D97" s="6" t="s">
        <v>52</v>
      </c>
      <c r="E97" s="9"/>
      <c r="F97" s="13"/>
      <c r="G97" s="24">
        <v>15.1</v>
      </c>
      <c r="H97" s="55"/>
      <c r="I97" s="51">
        <v>16.9</v>
      </c>
      <c r="J97" s="14"/>
      <c r="K97" s="52">
        <v>15.9</v>
      </c>
      <c r="L97" s="21"/>
      <c r="M97" s="9"/>
      <c r="N97" s="56"/>
      <c r="O97" s="56"/>
      <c r="P97" s="56"/>
      <c r="Q97" s="105"/>
    </row>
    <row r="98" spans="2:17" ht="12.75">
      <c r="B98" s="6" t="s">
        <v>78</v>
      </c>
      <c r="D98" s="6" t="s">
        <v>52</v>
      </c>
      <c r="E98" s="9"/>
      <c r="F98" s="13"/>
      <c r="G98" s="24">
        <v>15.1</v>
      </c>
      <c r="H98" s="55"/>
      <c r="I98" s="51">
        <v>15.3</v>
      </c>
      <c r="J98" s="14"/>
      <c r="K98" s="52">
        <v>19</v>
      </c>
      <c r="L98" s="21"/>
      <c r="M98" s="9"/>
      <c r="N98" s="56"/>
      <c r="O98" s="56"/>
      <c r="P98" s="56"/>
      <c r="Q98" s="105"/>
    </row>
    <row r="99" spans="2:17" ht="12.75">
      <c r="B99" s="6" t="s">
        <v>80</v>
      </c>
      <c r="D99" s="6" t="s">
        <v>52</v>
      </c>
      <c r="E99" s="9"/>
      <c r="G99" s="24">
        <v>0.133</v>
      </c>
      <c r="H99" s="55"/>
      <c r="I99" s="28">
        <v>0.135</v>
      </c>
      <c r="J99" s="56"/>
      <c r="K99" s="52">
        <v>0.149</v>
      </c>
      <c r="L99" s="21"/>
      <c r="M99" s="9"/>
      <c r="N99" s="56"/>
      <c r="O99" s="56"/>
      <c r="P99" s="56"/>
      <c r="Q99" s="105"/>
    </row>
    <row r="100" spans="2:17" ht="12.75">
      <c r="B100" s="6" t="s">
        <v>105</v>
      </c>
      <c r="D100" s="6" t="s">
        <v>52</v>
      </c>
      <c r="E100" s="9"/>
      <c r="F100" s="13"/>
      <c r="G100" s="24">
        <v>14.1</v>
      </c>
      <c r="H100" s="55"/>
      <c r="I100" s="72">
        <v>12.9</v>
      </c>
      <c r="J100" s="55"/>
      <c r="K100" s="52">
        <v>12.8</v>
      </c>
      <c r="L100" s="21"/>
      <c r="M100" s="9"/>
      <c r="N100" s="56"/>
      <c r="O100" s="56"/>
      <c r="P100" s="56"/>
      <c r="Q100" s="105"/>
    </row>
    <row r="101" spans="2:17" ht="12.75">
      <c r="B101" s="6" t="s">
        <v>107</v>
      </c>
      <c r="D101" s="6" t="s">
        <v>52</v>
      </c>
      <c r="E101" s="9"/>
      <c r="G101" s="24">
        <v>4.64</v>
      </c>
      <c r="H101" s="55"/>
      <c r="I101" s="72">
        <v>4.57</v>
      </c>
      <c r="J101" s="55"/>
      <c r="K101" s="52">
        <v>4.57</v>
      </c>
      <c r="L101" s="14"/>
      <c r="M101" s="9"/>
      <c r="N101" s="56"/>
      <c r="O101" s="56"/>
      <c r="P101" s="56"/>
      <c r="Q101" s="105"/>
    </row>
    <row r="102" spans="2:17" ht="12.75">
      <c r="B102" s="6" t="s">
        <v>102</v>
      </c>
      <c r="D102" s="6" t="s">
        <v>52</v>
      </c>
      <c r="E102" s="9"/>
      <c r="G102" s="24">
        <v>1.41</v>
      </c>
      <c r="H102" s="55"/>
      <c r="I102" s="72">
        <v>1.41</v>
      </c>
      <c r="J102" s="55"/>
      <c r="K102" s="52">
        <v>1.43</v>
      </c>
      <c r="L102" s="14"/>
      <c r="M102" s="9"/>
      <c r="N102" s="56"/>
      <c r="O102" s="56"/>
      <c r="P102" s="56"/>
      <c r="Q102" s="105"/>
    </row>
    <row r="103" spans="2:17" ht="12.75">
      <c r="B103" s="6" t="s">
        <v>109</v>
      </c>
      <c r="D103" s="6" t="s">
        <v>52</v>
      </c>
      <c r="E103" s="9"/>
      <c r="G103" s="24">
        <v>1.57</v>
      </c>
      <c r="H103" s="55"/>
      <c r="I103" s="72">
        <v>1.57</v>
      </c>
      <c r="J103" s="55"/>
      <c r="K103" s="52">
        <v>1.56</v>
      </c>
      <c r="L103" s="14"/>
      <c r="M103" s="9"/>
      <c r="N103" s="56"/>
      <c r="O103" s="56"/>
      <c r="P103" s="56"/>
      <c r="Q103" s="105"/>
    </row>
    <row r="104" spans="2:17" ht="12.75">
      <c r="B104" s="6" t="s">
        <v>110</v>
      </c>
      <c r="D104" s="6" t="s">
        <v>52</v>
      </c>
      <c r="E104" s="9"/>
      <c r="G104" s="24">
        <v>2.09</v>
      </c>
      <c r="H104" s="55"/>
      <c r="I104" s="72">
        <v>5.95</v>
      </c>
      <c r="J104" s="55"/>
      <c r="K104" s="52">
        <v>3.98</v>
      </c>
      <c r="L104" s="14"/>
      <c r="M104" s="9"/>
      <c r="N104" s="56"/>
      <c r="O104" s="56"/>
      <c r="P104" s="56"/>
      <c r="Q104" s="105"/>
    </row>
    <row r="105" spans="5:18" ht="12.75">
      <c r="E105" s="9"/>
      <c r="H105" s="55"/>
      <c r="I105" s="20"/>
      <c r="J105" s="56"/>
      <c r="K105" s="14"/>
      <c r="L105" s="14"/>
      <c r="M105" s="64"/>
      <c r="N105" s="56"/>
      <c r="O105" s="56"/>
      <c r="P105" s="56"/>
      <c r="Q105" s="105"/>
      <c r="R105" s="26"/>
    </row>
    <row r="106" spans="2:18" ht="12.75">
      <c r="B106" s="6" t="s">
        <v>125</v>
      </c>
      <c r="E106" s="9"/>
      <c r="G106" s="24">
        <f>'emiss 1'!G199</f>
        <v>37100</v>
      </c>
      <c r="H106" s="55"/>
      <c r="I106" s="24">
        <f>'emiss 1'!I199</f>
        <v>39600</v>
      </c>
      <c r="J106" s="56"/>
      <c r="K106" s="24">
        <f>'emiss 1'!K199</f>
        <v>39700</v>
      </c>
      <c r="L106" s="14"/>
      <c r="M106" s="64"/>
      <c r="N106" s="56"/>
      <c r="O106" s="56"/>
      <c r="P106" s="56"/>
      <c r="Q106" s="105"/>
      <c r="R106" s="26"/>
    </row>
    <row r="107" spans="2:18" ht="12.75">
      <c r="B107" s="6" t="s">
        <v>126</v>
      </c>
      <c r="E107" s="9"/>
      <c r="G107" s="24">
        <f>'emiss 1'!G200</f>
        <v>7.1</v>
      </c>
      <c r="H107" s="55"/>
      <c r="I107" s="24">
        <f>'emiss 1'!I200</f>
        <v>8.1</v>
      </c>
      <c r="J107" s="56"/>
      <c r="K107" s="24">
        <f>'emiss 1'!K200</f>
        <v>8.2</v>
      </c>
      <c r="L107" s="14"/>
      <c r="M107" s="64"/>
      <c r="N107" s="56"/>
      <c r="O107" s="56"/>
      <c r="P107" s="56"/>
      <c r="Q107" s="105"/>
      <c r="R107" s="26"/>
    </row>
    <row r="108" spans="5:18" ht="12.75">
      <c r="E108" s="9"/>
      <c r="H108" s="55"/>
      <c r="I108" s="20"/>
      <c r="J108" s="56"/>
      <c r="K108" s="14"/>
      <c r="L108" s="14"/>
      <c r="M108" s="64"/>
      <c r="N108" s="56"/>
      <c r="O108" s="56"/>
      <c r="P108" s="56"/>
      <c r="Q108" s="105"/>
      <c r="R108" s="26"/>
    </row>
    <row r="109" spans="2:18" ht="12.75">
      <c r="B109" s="41" t="s">
        <v>127</v>
      </c>
      <c r="E109" s="9"/>
      <c r="H109" s="55"/>
      <c r="I109" s="20"/>
      <c r="J109" s="56"/>
      <c r="K109" s="14"/>
      <c r="L109" s="14"/>
      <c r="M109" s="64"/>
      <c r="N109" s="56"/>
      <c r="O109" s="56"/>
      <c r="P109" s="56"/>
      <c r="Q109" s="105"/>
      <c r="R109" s="26"/>
    </row>
    <row r="110" spans="2:18" ht="12.75">
      <c r="B110" s="6" t="s">
        <v>48</v>
      </c>
      <c r="D110" s="6" t="s">
        <v>60</v>
      </c>
      <c r="E110" s="9" t="s">
        <v>14</v>
      </c>
      <c r="G110" s="64">
        <f>G90*454/60/0.0283*14/(21-G$107)*1000/G$106</f>
        <v>59232.549316237404</v>
      </c>
      <c r="H110" s="55"/>
      <c r="I110" s="64">
        <f>I90*454/60/0.0283*14/(21-I$107)*1000/I$106</f>
        <v>36881.8245179491</v>
      </c>
      <c r="J110" s="56"/>
      <c r="K110" s="64">
        <f>K90*454/60/0.0283*14/(21-K$107)*1000/K$106</f>
        <v>36325.24560306539</v>
      </c>
      <c r="L110" s="14"/>
      <c r="M110" s="106">
        <f>AVERAGE(G110,I110,K110)</f>
        <v>44146.53981241729</v>
      </c>
      <c r="N110" s="56"/>
      <c r="O110" s="56"/>
      <c r="P110" s="56"/>
      <c r="Q110" s="105"/>
      <c r="R110" s="26"/>
    </row>
    <row r="111" spans="2:18" ht="12.75">
      <c r="B111" s="6" t="s">
        <v>222</v>
      </c>
      <c r="D111" s="6" t="s">
        <v>54</v>
      </c>
      <c r="E111" s="6" t="s">
        <v>14</v>
      </c>
      <c r="G111" s="64">
        <f aca="true" t="shared" si="4" ref="G111:G124">G91*454/60/0.0283*14/(21-G$107)*1000000/G$106</f>
        <v>15969090.185548741</v>
      </c>
      <c r="H111" s="55"/>
      <c r="I111" s="64">
        <f aca="true" t="shared" si="5" ref="I111:I124">I91*454/60/0.0283*14/(21-I$107)*1000000/I$106</f>
        <v>16780186.706502207</v>
      </c>
      <c r="J111" s="55"/>
      <c r="K111" s="64">
        <f aca="true" t="shared" si="6" ref="K111:K124">K91*454/60/0.0283*14/(21-K$107)*1000000/K$106</f>
        <v>19888841.665850773</v>
      </c>
      <c r="L111" s="30"/>
      <c r="M111" s="106">
        <f>AVERAGE(G111,I111,K111)</f>
        <v>17546039.519300576</v>
      </c>
      <c r="N111" s="56"/>
      <c r="O111" s="56"/>
      <c r="P111" s="56"/>
      <c r="Q111" s="105"/>
      <c r="R111" s="26"/>
    </row>
    <row r="112" spans="2:17" ht="12.75">
      <c r="B112" s="6" t="s">
        <v>174</v>
      </c>
      <c r="D112" s="6" t="s">
        <v>54</v>
      </c>
      <c r="E112" s="6" t="s">
        <v>14</v>
      </c>
      <c r="F112" s="25"/>
      <c r="G112" s="64">
        <f t="shared" si="4"/>
        <v>23155.180769045677</v>
      </c>
      <c r="H112" s="55"/>
      <c r="I112" s="64">
        <f t="shared" si="5"/>
        <v>20150.879232699157</v>
      </c>
      <c r="J112" s="55"/>
      <c r="K112" s="64">
        <f t="shared" si="6"/>
        <v>22172.3753385966</v>
      </c>
      <c r="L112" s="30"/>
      <c r="M112" s="106">
        <f>AVERAGE(G112,I112,K112)</f>
        <v>21826.145113447143</v>
      </c>
      <c r="N112" s="56"/>
      <c r="O112" s="56"/>
      <c r="P112" s="56"/>
      <c r="Q112" s="105"/>
    </row>
    <row r="113" spans="2:17" ht="12.75">
      <c r="B113" s="6" t="s">
        <v>103</v>
      </c>
      <c r="D113" s="6" t="s">
        <v>54</v>
      </c>
      <c r="E113" s="6" t="s">
        <v>14</v>
      </c>
      <c r="G113" s="64">
        <f t="shared" si="4"/>
        <v>18364.453713381048</v>
      </c>
      <c r="H113" s="55"/>
      <c r="I113" s="64">
        <f t="shared" si="5"/>
        <v>18099.15334718797</v>
      </c>
      <c r="J113" s="56"/>
      <c r="K113" s="64">
        <f t="shared" si="6"/>
        <v>19004.893147368515</v>
      </c>
      <c r="L113" s="30"/>
      <c r="M113" s="106">
        <f aca="true" t="shared" si="7" ref="M113:M126">AVERAGE(G113,I113,K113)</f>
        <v>18489.50006931251</v>
      </c>
      <c r="N113" s="56"/>
      <c r="O113" s="56"/>
      <c r="P113" s="56"/>
      <c r="Q113" s="105"/>
    </row>
    <row r="114" spans="2:17" ht="12.75">
      <c r="B114" s="6" t="s">
        <v>175</v>
      </c>
      <c r="D114" s="6" t="s">
        <v>54</v>
      </c>
      <c r="E114" s="6" t="s">
        <v>14</v>
      </c>
      <c r="G114" s="64">
        <f t="shared" si="4"/>
        <v>42027.74189742146</v>
      </c>
      <c r="H114" s="55"/>
      <c r="I114" s="64">
        <f t="shared" si="5"/>
        <v>41181.06955918882</v>
      </c>
      <c r="J114" s="56"/>
      <c r="K114" s="64">
        <f t="shared" si="6"/>
        <v>51416.338825051265</v>
      </c>
      <c r="L114" s="30"/>
      <c r="M114" s="106">
        <f t="shared" si="7"/>
        <v>44875.05009388718</v>
      </c>
      <c r="N114" s="56"/>
      <c r="O114" s="56"/>
      <c r="P114" s="56"/>
      <c r="Q114" s="105"/>
    </row>
    <row r="115" spans="2:17" ht="12.75">
      <c r="B115" s="6" t="s">
        <v>79</v>
      </c>
      <c r="D115" s="6" t="s">
        <v>54</v>
      </c>
      <c r="E115" s="6" t="s">
        <v>14</v>
      </c>
      <c r="G115" s="64">
        <f t="shared" si="4"/>
        <v>6416.670783647767</v>
      </c>
      <c r="H115" s="55"/>
      <c r="I115" s="64">
        <f t="shared" si="5"/>
        <v>7210.35096908217</v>
      </c>
      <c r="J115" s="14"/>
      <c r="K115" s="64">
        <f t="shared" si="6"/>
        <v>7513.562407099182</v>
      </c>
      <c r="L115" s="21"/>
      <c r="M115" s="106">
        <f t="shared" si="7"/>
        <v>7046.861386609707</v>
      </c>
      <c r="N115" s="56"/>
      <c r="O115" s="56"/>
      <c r="P115" s="56"/>
      <c r="Q115" s="105"/>
    </row>
    <row r="116" spans="2:17" ht="12.75">
      <c r="B116" s="6" t="s">
        <v>104</v>
      </c>
      <c r="D116" s="6" t="s">
        <v>54</v>
      </c>
      <c r="E116" s="6" t="s">
        <v>14</v>
      </c>
      <c r="G116" s="64">
        <f t="shared" si="4"/>
        <v>16840.13146839685</v>
      </c>
      <c r="H116" s="55"/>
      <c r="I116" s="64">
        <f t="shared" si="5"/>
        <v>16926.73855546729</v>
      </c>
      <c r="J116" s="14"/>
      <c r="K116" s="64">
        <f t="shared" si="6"/>
        <v>17678.97036964513</v>
      </c>
      <c r="L116" s="21"/>
      <c r="M116" s="106">
        <f t="shared" si="7"/>
        <v>17148.613464503087</v>
      </c>
      <c r="N116" s="56"/>
      <c r="O116" s="56"/>
      <c r="P116" s="56"/>
      <c r="Q116" s="105"/>
    </row>
    <row r="117" spans="2:17" ht="12.75">
      <c r="B117" s="6" t="s">
        <v>83</v>
      </c>
      <c r="D117" s="6" t="s">
        <v>54</v>
      </c>
      <c r="E117" s="6" t="s">
        <v>14</v>
      </c>
      <c r="F117" s="13"/>
      <c r="G117" s="64">
        <f t="shared" si="4"/>
        <v>109606.02809172089</v>
      </c>
      <c r="H117" s="55"/>
      <c r="I117" s="64">
        <f t="shared" si="5"/>
        <v>123836.31237549664</v>
      </c>
      <c r="J117" s="14"/>
      <c r="K117" s="64">
        <f t="shared" si="6"/>
        <v>117123.17869889898</v>
      </c>
      <c r="L117" s="21"/>
      <c r="M117" s="106">
        <f t="shared" si="7"/>
        <v>116855.17305537216</v>
      </c>
      <c r="N117" s="56"/>
      <c r="O117" s="56"/>
      <c r="P117" s="56"/>
      <c r="Q117" s="105"/>
    </row>
    <row r="118" spans="2:17" ht="12.75">
      <c r="B118" s="6" t="s">
        <v>78</v>
      </c>
      <c r="D118" s="6" t="s">
        <v>54</v>
      </c>
      <c r="E118" s="6" t="s">
        <v>14</v>
      </c>
      <c r="F118" s="13"/>
      <c r="G118" s="64">
        <f t="shared" si="4"/>
        <v>109606.02809172089</v>
      </c>
      <c r="H118" s="55"/>
      <c r="I118" s="64">
        <f t="shared" si="5"/>
        <v>112112.16445828987</v>
      </c>
      <c r="J118" s="14"/>
      <c r="K118" s="64">
        <f t="shared" si="6"/>
        <v>139958.51542635728</v>
      </c>
      <c r="L118" s="21"/>
      <c r="M118" s="106">
        <f t="shared" si="7"/>
        <v>120558.90265878935</v>
      </c>
      <c r="N118" s="56"/>
      <c r="O118" s="56"/>
      <c r="P118" s="56"/>
      <c r="Q118" s="105"/>
    </row>
    <row r="119" spans="2:17" ht="12.75">
      <c r="B119" s="6" t="s">
        <v>80</v>
      </c>
      <c r="D119" s="6" t="s">
        <v>54</v>
      </c>
      <c r="E119" s="6" t="s">
        <v>14</v>
      </c>
      <c r="G119" s="64">
        <f t="shared" si="4"/>
        <v>965.4040884899922</v>
      </c>
      <c r="H119" s="55"/>
      <c r="I119" s="64">
        <f t="shared" si="5"/>
        <v>989.2249805143224</v>
      </c>
      <c r="J119" s="56"/>
      <c r="K119" s="64">
        <f t="shared" si="6"/>
        <v>1097.5694104488018</v>
      </c>
      <c r="L119" s="21"/>
      <c r="M119" s="106">
        <f t="shared" si="7"/>
        <v>1017.3994931510388</v>
      </c>
      <c r="N119" s="56"/>
      <c r="O119" s="56"/>
      <c r="P119" s="56"/>
      <c r="Q119" s="105"/>
    </row>
    <row r="120" spans="2:17" ht="12.75">
      <c r="B120" s="6" t="s">
        <v>105</v>
      </c>
      <c r="D120" s="6" t="s">
        <v>54</v>
      </c>
      <c r="E120" s="6" t="s">
        <v>14</v>
      </c>
      <c r="F120" s="13"/>
      <c r="G120" s="64">
        <f t="shared" si="4"/>
        <v>102347.35073465329</v>
      </c>
      <c r="H120" s="55"/>
      <c r="I120" s="64">
        <f t="shared" si="5"/>
        <v>94525.94258247968</v>
      </c>
      <c r="J120" s="55"/>
      <c r="K120" s="64">
        <f t="shared" si="6"/>
        <v>94287.8419714407</v>
      </c>
      <c r="L120" s="21"/>
      <c r="M120" s="106">
        <f t="shared" si="7"/>
        <v>97053.7117628579</v>
      </c>
      <c r="N120" s="56"/>
      <c r="O120" s="56"/>
      <c r="P120" s="56"/>
      <c r="Q120" s="105"/>
    </row>
    <row r="121" spans="2:17" ht="12.75">
      <c r="B121" s="6" t="s">
        <v>107</v>
      </c>
      <c r="D121" s="6" t="s">
        <v>54</v>
      </c>
      <c r="E121" s="6" t="s">
        <v>14</v>
      </c>
      <c r="G121" s="64">
        <f t="shared" si="4"/>
        <v>33680.2629367937</v>
      </c>
      <c r="H121" s="55"/>
      <c r="I121" s="64">
        <f t="shared" si="5"/>
        <v>33487.097488521875</v>
      </c>
      <c r="J121" s="55"/>
      <c r="K121" s="64">
        <f t="shared" si="6"/>
        <v>33663.70607886594</v>
      </c>
      <c r="L121" s="14"/>
      <c r="M121" s="106">
        <f t="shared" si="7"/>
        <v>33610.35550139384</v>
      </c>
      <c r="N121" s="56"/>
      <c r="O121" s="56"/>
      <c r="P121" s="56"/>
      <c r="Q121" s="105"/>
    </row>
    <row r="122" spans="2:17" ht="12.75">
      <c r="B122" s="6" t="s">
        <v>102</v>
      </c>
      <c r="D122" s="6" t="s">
        <v>54</v>
      </c>
      <c r="E122" s="6" t="s">
        <v>14</v>
      </c>
      <c r="G122" s="64">
        <f t="shared" si="4"/>
        <v>10234.735073465328</v>
      </c>
      <c r="H122" s="55"/>
      <c r="I122" s="64">
        <f t="shared" si="5"/>
        <v>10331.905352038477</v>
      </c>
      <c r="J122" s="55"/>
      <c r="K122" s="64">
        <f t="shared" si="6"/>
        <v>10533.719845246891</v>
      </c>
      <c r="L122" s="14"/>
      <c r="M122" s="106">
        <f t="shared" si="7"/>
        <v>10366.7867569169</v>
      </c>
      <c r="N122" s="56"/>
      <c r="O122" s="56"/>
      <c r="P122" s="56"/>
      <c r="Q122" s="105"/>
    </row>
    <row r="123" spans="2:17" ht="12.75">
      <c r="B123" s="6" t="s">
        <v>109</v>
      </c>
      <c r="D123" s="6" t="s">
        <v>54</v>
      </c>
      <c r="E123" s="6" t="s">
        <v>14</v>
      </c>
      <c r="G123" s="64">
        <f t="shared" si="4"/>
        <v>11396.123450596147</v>
      </c>
      <c r="H123" s="55"/>
      <c r="I123" s="64">
        <f t="shared" si="5"/>
        <v>11504.320143759156</v>
      </c>
      <c r="J123" s="55"/>
      <c r="K123" s="64">
        <f t="shared" si="6"/>
        <v>11491.330740269334</v>
      </c>
      <c r="L123" s="14"/>
      <c r="M123" s="106">
        <f t="shared" si="7"/>
        <v>11463.924778208211</v>
      </c>
      <c r="N123" s="56"/>
      <c r="O123" s="56"/>
      <c r="P123" s="56"/>
      <c r="Q123" s="105"/>
    </row>
    <row r="124" spans="2:17" ht="12.75">
      <c r="B124" s="6" t="s">
        <v>110</v>
      </c>
      <c r="D124" s="6" t="s">
        <v>54</v>
      </c>
      <c r="E124" s="6" t="s">
        <v>14</v>
      </c>
      <c r="G124" s="64">
        <f t="shared" si="4"/>
        <v>15170.635676271306</v>
      </c>
      <c r="H124" s="55"/>
      <c r="I124" s="64">
        <f t="shared" si="5"/>
        <v>43599.17506711272</v>
      </c>
      <c r="J124" s="55"/>
      <c r="K124" s="64">
        <f t="shared" si="6"/>
        <v>29317.625862994835</v>
      </c>
      <c r="L124" s="14"/>
      <c r="M124" s="106">
        <f t="shared" si="7"/>
        <v>29362.478868792954</v>
      </c>
      <c r="N124" s="56"/>
      <c r="O124" s="56"/>
      <c r="P124" s="56"/>
      <c r="Q124" s="105"/>
    </row>
    <row r="125" spans="2:17" ht="12.75">
      <c r="B125" s="6" t="s">
        <v>55</v>
      </c>
      <c r="D125" s="6" t="s">
        <v>54</v>
      </c>
      <c r="E125" s="6" t="s">
        <v>14</v>
      </c>
      <c r="G125" s="64">
        <f>G116+G118</f>
        <v>126446.15956011774</v>
      </c>
      <c r="H125" s="55"/>
      <c r="I125" s="64">
        <f>I116+I118</f>
        <v>129038.90301375717</v>
      </c>
      <c r="J125" s="20"/>
      <c r="K125" s="64">
        <f>K116+K118</f>
        <v>157637.4857960024</v>
      </c>
      <c r="L125" s="21"/>
      <c r="M125" s="106">
        <f t="shared" si="7"/>
        <v>137707.51612329241</v>
      </c>
      <c r="N125" s="56"/>
      <c r="O125" s="56"/>
      <c r="P125" s="56"/>
      <c r="Q125" s="105"/>
    </row>
    <row r="126" spans="2:18" ht="12.75">
      <c r="B126" s="6" t="s">
        <v>56</v>
      </c>
      <c r="D126" s="6" t="s">
        <v>54</v>
      </c>
      <c r="E126" s="6" t="s">
        <v>14</v>
      </c>
      <c r="G126" s="64">
        <f>G113+G115+G117</f>
        <v>134387.1525887497</v>
      </c>
      <c r="H126" s="55"/>
      <c r="I126" s="64">
        <f>I113+I115+I117</f>
        <v>149145.81669176678</v>
      </c>
      <c r="J126" s="56"/>
      <c r="K126" s="64">
        <f>K113+K115+K117</f>
        <v>143641.63425336668</v>
      </c>
      <c r="L126" s="14"/>
      <c r="M126" s="106">
        <f t="shared" si="7"/>
        <v>142391.5345112944</v>
      </c>
      <c r="N126" s="56"/>
      <c r="O126" s="56"/>
      <c r="P126" s="56"/>
      <c r="Q126" s="105"/>
      <c r="R126" s="26"/>
    </row>
    <row r="127" spans="6:18" ht="12.75">
      <c r="F127" s="55"/>
      <c r="G127" s="63"/>
      <c r="H127" s="55"/>
      <c r="I127" s="54"/>
      <c r="J127" s="20"/>
      <c r="K127" s="21"/>
      <c r="L127" s="21"/>
      <c r="M127" s="105"/>
      <c r="N127" s="56"/>
      <c r="O127" s="56"/>
      <c r="P127" s="56"/>
      <c r="Q127" s="105"/>
      <c r="R127" s="7"/>
    </row>
    <row r="128" spans="3:18" ht="12.75">
      <c r="C128" s="41"/>
      <c r="F128" s="55"/>
      <c r="G128" s="63"/>
      <c r="H128" s="55"/>
      <c r="I128" s="54"/>
      <c r="J128" s="20"/>
      <c r="K128" s="21"/>
      <c r="L128" s="21"/>
      <c r="M128" s="105"/>
      <c r="N128" s="56"/>
      <c r="O128" s="56"/>
      <c r="P128" s="56"/>
      <c r="Q128" s="105"/>
      <c r="R128" s="7"/>
    </row>
    <row r="129" spans="6:17" ht="12.75">
      <c r="F129" s="20"/>
      <c r="G129" s="63"/>
      <c r="H129" s="55"/>
      <c r="I129" s="54"/>
      <c r="J129" s="20"/>
      <c r="K129" s="21"/>
      <c r="L129" s="21"/>
      <c r="M129" s="105"/>
      <c r="N129" s="56"/>
      <c r="O129" s="56"/>
      <c r="P129" s="56"/>
      <c r="Q129" s="105"/>
    </row>
    <row r="130" spans="6:17" ht="12.75">
      <c r="F130" s="20"/>
      <c r="G130" s="63"/>
      <c r="H130" s="55"/>
      <c r="I130" s="54"/>
      <c r="J130" s="55"/>
      <c r="K130" s="21"/>
      <c r="L130" s="21"/>
      <c r="M130" s="105"/>
      <c r="N130" s="56"/>
      <c r="O130" s="56"/>
      <c r="P130" s="56"/>
      <c r="Q130" s="105"/>
    </row>
    <row r="131" spans="7:17" ht="12.75">
      <c r="G131" s="63"/>
      <c r="H131" s="55"/>
      <c r="I131" s="20"/>
      <c r="J131" s="56"/>
      <c r="K131" s="14"/>
      <c r="L131" s="14"/>
      <c r="M131" s="105"/>
      <c r="N131" s="56"/>
      <c r="O131" s="56"/>
      <c r="P131" s="56"/>
      <c r="Q131" s="105"/>
    </row>
    <row r="132" spans="7:8" ht="12.75">
      <c r="G132" s="7"/>
      <c r="H132" s="7"/>
    </row>
    <row r="133" spans="6:13" ht="12.75">
      <c r="F133" s="25"/>
      <c r="G133" s="7"/>
      <c r="H133" s="7"/>
      <c r="M133" s="36"/>
    </row>
    <row r="134" spans="6:13" ht="12.75">
      <c r="F134" s="25"/>
      <c r="G134" s="7"/>
      <c r="H134" s="7"/>
      <c r="M134" s="26"/>
    </row>
    <row r="135" spans="6:13" ht="12.75">
      <c r="F135" s="25"/>
      <c r="G135" s="7"/>
      <c r="H135" s="7"/>
      <c r="M135" s="26"/>
    </row>
    <row r="136" spans="2:16" ht="12.75">
      <c r="B136" s="41"/>
      <c r="G136" s="7"/>
      <c r="H136" s="7"/>
      <c r="M136" s="26"/>
      <c r="P136" s="36"/>
    </row>
    <row r="137" spans="6:18" ht="12.75">
      <c r="F137" s="25"/>
      <c r="G137" s="26"/>
      <c r="H137" s="55"/>
      <c r="I137" s="26"/>
      <c r="J137" s="55"/>
      <c r="K137" s="26"/>
      <c r="L137" s="26"/>
      <c r="M137" s="36"/>
      <c r="Q137" s="26"/>
      <c r="R137" s="26"/>
    </row>
    <row r="138" spans="7:18" ht="12.75">
      <c r="G138" s="26"/>
      <c r="H138" s="55"/>
      <c r="I138" s="26"/>
      <c r="J138" s="56"/>
      <c r="K138" s="26"/>
      <c r="L138" s="26"/>
      <c r="M138" s="26"/>
      <c r="Q138" s="26"/>
      <c r="R138" s="26"/>
    </row>
    <row r="139" spans="7:18" ht="12.75">
      <c r="G139" s="26"/>
      <c r="H139" s="55"/>
      <c r="I139" s="26"/>
      <c r="J139" s="56"/>
      <c r="K139" s="26"/>
      <c r="L139" s="26"/>
      <c r="M139" s="36"/>
      <c r="Q139" s="26"/>
      <c r="R139" s="26"/>
    </row>
    <row r="140" spans="7:18" ht="12.75">
      <c r="G140" s="26"/>
      <c r="H140" s="55"/>
      <c r="I140" s="26"/>
      <c r="J140" s="14"/>
      <c r="K140" s="26"/>
      <c r="L140" s="26"/>
      <c r="M140" s="26"/>
      <c r="Q140" s="26"/>
      <c r="R140" s="26"/>
    </row>
    <row r="141" spans="7:18" ht="12.75">
      <c r="G141" s="26"/>
      <c r="H141" s="55"/>
      <c r="I141" s="26"/>
      <c r="J141" s="14"/>
      <c r="K141" s="26"/>
      <c r="L141" s="26"/>
      <c r="M141" s="26"/>
      <c r="Q141" s="26"/>
      <c r="R141" s="26"/>
    </row>
    <row r="142" spans="6:18" ht="12.75">
      <c r="F142" s="13"/>
      <c r="G142" s="26"/>
      <c r="H142" s="55"/>
      <c r="I142" s="26"/>
      <c r="J142" s="14"/>
      <c r="K142" s="26"/>
      <c r="L142" s="26"/>
      <c r="M142" s="36"/>
      <c r="Q142" s="26"/>
      <c r="R142" s="26"/>
    </row>
    <row r="143" spans="6:18" ht="12.75">
      <c r="F143" s="13"/>
      <c r="G143" s="26"/>
      <c r="H143" s="55"/>
      <c r="I143" s="26"/>
      <c r="J143" s="14"/>
      <c r="K143" s="26"/>
      <c r="L143" s="26"/>
      <c r="M143" s="26"/>
      <c r="Q143" s="26"/>
      <c r="R143" s="26"/>
    </row>
    <row r="144" spans="7:18" ht="12.75">
      <c r="G144" s="26"/>
      <c r="H144" s="55"/>
      <c r="I144" s="26"/>
      <c r="J144" s="56"/>
      <c r="K144" s="26"/>
      <c r="L144" s="26"/>
      <c r="M144" s="36"/>
      <c r="Q144" s="26"/>
      <c r="R144" s="26"/>
    </row>
    <row r="145" spans="6:18" ht="12.75">
      <c r="F145" s="13"/>
      <c r="G145" s="26"/>
      <c r="H145" s="55"/>
      <c r="I145" s="26"/>
      <c r="J145" s="55"/>
      <c r="K145" s="26"/>
      <c r="L145" s="26"/>
      <c r="M145" s="36"/>
      <c r="Q145" s="26"/>
      <c r="R145" s="26"/>
    </row>
    <row r="146" spans="7:18" ht="12.75">
      <c r="G146" s="26"/>
      <c r="H146" s="55"/>
      <c r="I146" s="26"/>
      <c r="J146" s="55"/>
      <c r="K146" s="26"/>
      <c r="L146" s="26"/>
      <c r="M146" s="36"/>
      <c r="Q146" s="26"/>
      <c r="R146" s="26"/>
    </row>
    <row r="147" spans="7:18" ht="12.75">
      <c r="G147" s="26"/>
      <c r="H147" s="55"/>
      <c r="I147" s="26"/>
      <c r="J147" s="55"/>
      <c r="K147" s="26"/>
      <c r="L147" s="26"/>
      <c r="M147" s="36"/>
      <c r="Q147" s="26"/>
      <c r="R147" s="26"/>
    </row>
    <row r="148" spans="3:18" ht="12.75">
      <c r="C148" s="22"/>
      <c r="G148" s="26"/>
      <c r="H148" s="55"/>
      <c r="I148" s="26"/>
      <c r="J148" s="55"/>
      <c r="K148" s="26"/>
      <c r="L148" s="26"/>
      <c r="M148" s="36"/>
      <c r="Q148" s="26"/>
      <c r="R148" s="26"/>
    </row>
    <row r="149" spans="7:18" ht="12.75">
      <c r="G149" s="26"/>
      <c r="H149" s="55"/>
      <c r="I149" s="26"/>
      <c r="J149" s="55"/>
      <c r="K149" s="26"/>
      <c r="L149" s="26"/>
      <c r="M149" s="36"/>
      <c r="Q149" s="26"/>
      <c r="R149" s="26"/>
    </row>
    <row r="150" spans="7:18" ht="12.75">
      <c r="G150" s="26"/>
      <c r="H150" s="55"/>
      <c r="I150" s="26"/>
      <c r="J150" s="20"/>
      <c r="K150" s="26"/>
      <c r="L150" s="26"/>
      <c r="M150" s="26"/>
      <c r="Q150" s="26"/>
      <c r="R150" s="26"/>
    </row>
    <row r="151" spans="7:18" ht="12.75">
      <c r="G151" s="26"/>
      <c r="H151" s="55"/>
      <c r="I151" s="26"/>
      <c r="J151" s="56"/>
      <c r="K151" s="26"/>
      <c r="L151" s="26"/>
      <c r="M151" s="36"/>
      <c r="Q151" s="26"/>
      <c r="R151" s="26"/>
    </row>
    <row r="152" spans="6:18" ht="12.75">
      <c r="F152" s="55"/>
      <c r="G152" s="26"/>
      <c r="H152" s="55"/>
      <c r="I152" s="26"/>
      <c r="J152" s="20"/>
      <c r="K152" s="26"/>
      <c r="L152" s="26"/>
      <c r="M152" s="26"/>
      <c r="Q152" s="26"/>
      <c r="R152" s="26"/>
    </row>
    <row r="153" spans="6:18" ht="12.75">
      <c r="F153" s="55"/>
      <c r="G153" s="26"/>
      <c r="H153" s="55"/>
      <c r="I153" s="26"/>
      <c r="J153" s="20"/>
      <c r="K153" s="26"/>
      <c r="L153" s="26"/>
      <c r="M153" s="26"/>
      <c r="Q153" s="26"/>
      <c r="R153" s="26"/>
    </row>
    <row r="154" spans="6:18" ht="12.75">
      <c r="F154" s="55"/>
      <c r="G154" s="26"/>
      <c r="H154" s="55"/>
      <c r="I154" s="26"/>
      <c r="J154" s="20"/>
      <c r="K154" s="26"/>
      <c r="L154" s="26"/>
      <c r="M154" s="26"/>
      <c r="Q154" s="26"/>
      <c r="R154" s="26"/>
    </row>
    <row r="155" spans="6:18" ht="12.75">
      <c r="F155" s="20"/>
      <c r="G155" s="26"/>
      <c r="H155" s="55"/>
      <c r="I155" s="26"/>
      <c r="J155" s="20"/>
      <c r="K155" s="26"/>
      <c r="L155" s="26"/>
      <c r="M155" s="26"/>
      <c r="Q155" s="26"/>
      <c r="R155" s="26"/>
    </row>
    <row r="156" spans="6:18" ht="12.75">
      <c r="F156" s="20"/>
      <c r="G156" s="26"/>
      <c r="H156" s="55"/>
      <c r="I156" s="26"/>
      <c r="J156" s="55"/>
      <c r="K156" s="26"/>
      <c r="L156" s="26"/>
      <c r="M156" s="26"/>
      <c r="Q156" s="26"/>
      <c r="R156" s="26"/>
    </row>
    <row r="157" spans="7:18" ht="12.75">
      <c r="G157" s="26"/>
      <c r="H157" s="55"/>
      <c r="I157" s="26"/>
      <c r="J157" s="56"/>
      <c r="K157" s="26"/>
      <c r="L157" s="26"/>
      <c r="M157" s="36"/>
      <c r="Q157" s="26"/>
      <c r="R157" s="26"/>
    </row>
    <row r="159" spans="7:18" ht="12.75">
      <c r="G159" s="64"/>
      <c r="H159" s="64"/>
      <c r="I159" s="64"/>
      <c r="J159" s="64"/>
      <c r="K159" s="64"/>
      <c r="L159" s="64"/>
      <c r="M159" s="36"/>
      <c r="R159" s="26"/>
    </row>
    <row r="160" spans="7:18" ht="12.75">
      <c r="G160" s="64"/>
      <c r="H160" s="64"/>
      <c r="I160" s="64"/>
      <c r="J160" s="64"/>
      <c r="K160" s="64"/>
      <c r="L160" s="64"/>
      <c r="M160" s="36"/>
      <c r="R160" s="26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AY247"/>
  <sheetViews>
    <sheetView workbookViewId="0" topLeftCell="B73">
      <selection activeCell="B35" sqref="B35"/>
    </sheetView>
  </sheetViews>
  <sheetFormatPr defaultColWidth="9.140625" defaultRowHeight="12.75"/>
  <cols>
    <col min="1" max="1" width="6.7109375" style="0" hidden="1" customWidth="1"/>
    <col min="2" max="2" width="20.421875" style="0" customWidth="1"/>
    <col min="3" max="3" width="5.421875" style="0" customWidth="1"/>
    <col min="4" max="4" width="8.140625" style="0" customWidth="1"/>
    <col min="5" max="5" width="4.00390625" style="0" bestFit="1" customWidth="1"/>
    <col min="6" max="6" width="10.57421875" style="0" bestFit="1" customWidth="1"/>
    <col min="7" max="7" width="5.57421875" style="0" bestFit="1" customWidth="1"/>
    <col min="8" max="8" width="11.00390625" style="0" customWidth="1"/>
    <col min="9" max="9" width="5.57421875" style="0" bestFit="1" customWidth="1"/>
    <col min="10" max="10" width="10.421875" style="0" customWidth="1"/>
    <col min="11" max="11" width="4.00390625" style="0" bestFit="1" customWidth="1"/>
    <col min="12" max="12" width="10.57421875" style="0" customWidth="1"/>
    <col min="13" max="13" width="2.7109375" style="0" customWidth="1"/>
    <col min="14" max="14" width="10.28125" style="0" customWidth="1"/>
    <col min="15" max="15" width="2.140625" style="0" customWidth="1"/>
    <col min="17" max="17" width="2.421875" style="0" customWidth="1"/>
    <col min="19" max="19" width="3.00390625" style="0" customWidth="1"/>
    <col min="20" max="20" width="12.421875" style="0" customWidth="1"/>
    <col min="21" max="21" width="1.57421875" style="0" customWidth="1"/>
    <col min="22" max="22" width="12.8515625" style="0" customWidth="1"/>
    <col min="23" max="23" width="1.7109375" style="0" customWidth="1"/>
    <col min="25" max="25" width="2.28125" style="0" customWidth="1"/>
    <col min="27" max="27" width="1.7109375" style="0" customWidth="1"/>
    <col min="29" max="29" width="2.57421875" style="0" customWidth="1"/>
    <col min="30" max="30" width="10.28125" style="0" customWidth="1"/>
    <col min="31" max="31" width="2.7109375" style="0" customWidth="1"/>
    <col min="32" max="32" width="10.57421875" style="0" customWidth="1"/>
    <col min="33" max="33" width="2.8515625" style="0" customWidth="1"/>
    <col min="34" max="34" width="10.28125" style="0" customWidth="1"/>
    <col min="35" max="35" width="4.57421875" style="0" customWidth="1"/>
    <col min="36" max="36" width="10.421875" style="0" customWidth="1"/>
    <col min="37" max="37" width="3.8515625" style="0" customWidth="1"/>
    <col min="38" max="38" width="11.7109375" style="0" customWidth="1"/>
    <col min="39" max="39" width="3.421875" style="0" customWidth="1"/>
    <col min="40" max="40" width="11.140625" style="0" customWidth="1"/>
    <col min="41" max="41" width="3.28125" style="0" customWidth="1"/>
    <col min="42" max="42" width="10.7109375" style="0" customWidth="1"/>
    <col min="43" max="43" width="3.57421875" style="0" customWidth="1"/>
    <col min="45" max="45" width="3.7109375" style="0" customWidth="1"/>
    <col min="47" max="47" width="3.8515625" style="0" customWidth="1"/>
    <col min="49" max="49" width="2.421875" style="0" customWidth="1"/>
    <col min="51" max="51" width="2.421875" style="0" customWidth="1"/>
  </cols>
  <sheetData>
    <row r="1" ht="12.75">
      <c r="B1" s="3" t="s">
        <v>280</v>
      </c>
    </row>
    <row r="3" spans="2:12" ht="12.75">
      <c r="B3" s="3" t="s">
        <v>179</v>
      </c>
      <c r="C3" s="3"/>
      <c r="F3" s="46" t="s">
        <v>209</v>
      </c>
      <c r="G3" s="46"/>
      <c r="H3" s="46" t="s">
        <v>210</v>
      </c>
      <c r="I3" s="46"/>
      <c r="J3" s="46" t="s">
        <v>211</v>
      </c>
      <c r="K3" s="46"/>
      <c r="L3" s="46" t="s">
        <v>46</v>
      </c>
    </row>
    <row r="5" spans="2:12" ht="12.75">
      <c r="B5" t="s">
        <v>358</v>
      </c>
      <c r="F5" t="s">
        <v>360</v>
      </c>
      <c r="H5" t="s">
        <v>360</v>
      </c>
      <c r="J5" t="s">
        <v>360</v>
      </c>
      <c r="L5" t="s">
        <v>360</v>
      </c>
    </row>
    <row r="6" spans="2:12" ht="12.75">
      <c r="B6" t="s">
        <v>359</v>
      </c>
      <c r="F6" t="s">
        <v>24</v>
      </c>
      <c r="H6" t="s">
        <v>24</v>
      </c>
      <c r="J6" t="s">
        <v>24</v>
      </c>
      <c r="L6" t="s">
        <v>24</v>
      </c>
    </row>
    <row r="7" spans="2:12" ht="12.75">
      <c r="B7" s="5" t="s">
        <v>371</v>
      </c>
      <c r="F7" t="s">
        <v>24</v>
      </c>
      <c r="H7" t="s">
        <v>24</v>
      </c>
      <c r="J7" t="s">
        <v>24</v>
      </c>
      <c r="L7" t="s">
        <v>24</v>
      </c>
    </row>
    <row r="8" spans="2:12" ht="12.75">
      <c r="B8" t="s">
        <v>47</v>
      </c>
      <c r="F8" t="s">
        <v>24</v>
      </c>
      <c r="H8" t="s">
        <v>24</v>
      </c>
      <c r="J8" t="s">
        <v>24</v>
      </c>
      <c r="L8" t="s">
        <v>24</v>
      </c>
    </row>
    <row r="9" spans="2:10" ht="12.75">
      <c r="B9" t="s">
        <v>222</v>
      </c>
      <c r="D9" t="s">
        <v>52</v>
      </c>
      <c r="F9">
        <f>1802</f>
        <v>1802</v>
      </c>
      <c r="H9">
        <f>2004</f>
        <v>2004</v>
      </c>
      <c r="J9">
        <f>1965</f>
        <v>1965</v>
      </c>
    </row>
    <row r="10" spans="2:10" ht="12.75">
      <c r="B10" t="s">
        <v>48</v>
      </c>
      <c r="D10" t="s">
        <v>52</v>
      </c>
      <c r="F10">
        <v>4302</v>
      </c>
      <c r="H10">
        <v>4712</v>
      </c>
      <c r="J10">
        <v>4639</v>
      </c>
    </row>
    <row r="11" ht="12.75">
      <c r="C11" t="s">
        <v>223</v>
      </c>
    </row>
    <row r="12" ht="12.75">
      <c r="C12" t="s">
        <v>224</v>
      </c>
    </row>
    <row r="14" spans="2:12" ht="12.75">
      <c r="B14" s="80" t="s">
        <v>125</v>
      </c>
      <c r="C14" s="80"/>
      <c r="D14" s="80" t="s">
        <v>16</v>
      </c>
      <c r="F14">
        <f>'emiss 2'!G21</f>
        <v>34500</v>
      </c>
      <c r="H14">
        <f>'emiss 2'!I21</f>
        <v>31300</v>
      </c>
      <c r="J14">
        <f>'emiss 2'!K21</f>
        <v>29200</v>
      </c>
      <c r="L14" s="58">
        <f>AVERAGE(F14,H14,J14)</f>
        <v>31666.666666666668</v>
      </c>
    </row>
    <row r="15" spans="2:12" ht="12.75">
      <c r="B15" s="80" t="s">
        <v>126</v>
      </c>
      <c r="C15" s="80"/>
      <c r="D15" s="80" t="s">
        <v>17</v>
      </c>
      <c r="F15">
        <f>'emiss 2'!G22</f>
        <v>7.8</v>
      </c>
      <c r="H15">
        <f>'emiss 2'!I22</f>
        <v>12.5</v>
      </c>
      <c r="J15">
        <f>'emiss 2'!K22</f>
        <v>7.6</v>
      </c>
      <c r="L15">
        <f>AVERAGE(F15,H15,J15)</f>
        <v>9.299999999999999</v>
      </c>
    </row>
    <row r="16" spans="2:4" ht="12.75">
      <c r="B16" s="80"/>
      <c r="C16" s="80"/>
      <c r="D16" s="80"/>
    </row>
    <row r="17" spans="2:12" ht="12.75">
      <c r="B17" s="5" t="s">
        <v>374</v>
      </c>
      <c r="C17" s="80"/>
      <c r="D17" s="5" t="s">
        <v>373</v>
      </c>
      <c r="F17" s="51">
        <f>F14/9000*60*(21-F15)/21</f>
        <v>144.57142857142858</v>
      </c>
      <c r="H17" s="51">
        <f>H14/9000*60*(21-H15)/21</f>
        <v>84.46031746031747</v>
      </c>
      <c r="J17" s="51">
        <f>J14/9000*60*(21-J15)/21</f>
        <v>124.21587301587302</v>
      </c>
      <c r="L17" s="51">
        <f>L14/9000*60*(21-L15)/21</f>
        <v>117.61904761904763</v>
      </c>
    </row>
    <row r="18" spans="2:4" ht="12.75">
      <c r="B18" s="80"/>
      <c r="C18" s="80"/>
      <c r="D18" s="80"/>
    </row>
    <row r="19" spans="2:4" ht="12.75">
      <c r="B19" s="102" t="s">
        <v>127</v>
      </c>
      <c r="C19" s="80"/>
      <c r="D19" s="80"/>
    </row>
    <row r="20" spans="2:12" ht="12.75">
      <c r="B20" s="80" t="s">
        <v>48</v>
      </c>
      <c r="C20" s="80"/>
      <c r="D20" s="80" t="s">
        <v>60</v>
      </c>
      <c r="F20" s="58">
        <f>F10*454/60/0.0283/F14*(21-7)/(21-F15)*1000</f>
        <v>35360.92217302849</v>
      </c>
      <c r="H20" s="58">
        <f>H10*454/60/0.0283/H14*(21-7)/(21-H15)*1000</f>
        <v>66296.13667117576</v>
      </c>
      <c r="J20" s="58">
        <f>J10*454/60/0.0283/J14*(21-7)/(21-J15)*1000</f>
        <v>44379.5531756003</v>
      </c>
      <c r="L20" s="58">
        <f>AVERAGE(J20,H20,F20)</f>
        <v>48678.87067326818</v>
      </c>
    </row>
    <row r="21" spans="2:12" ht="12.75">
      <c r="B21" s="80" t="s">
        <v>222</v>
      </c>
      <c r="C21" s="80"/>
      <c r="D21" s="80" t="s">
        <v>54</v>
      </c>
      <c r="F21" s="58">
        <f>F9*454/60/0.0283/F14*(21-7)/(21-F15)*1000000</f>
        <v>14811804.220315514</v>
      </c>
      <c r="H21" s="58">
        <f>H9*454/60/0.0283/H14*(21-7)/(21-H15)*1000000</f>
        <v>28195555.579167288</v>
      </c>
      <c r="J21" s="58">
        <f>J9*454/60/0.0283/J14*(21-7)/(21-J15)*1000000</f>
        <v>18798409.56888436</v>
      </c>
      <c r="L21">
        <f>AVERAGE(J21,H21,F21)</f>
        <v>20601923.122789055</v>
      </c>
    </row>
    <row r="22" spans="2:5" ht="12.75">
      <c r="B22" s="80"/>
      <c r="C22" s="80"/>
      <c r="D22" s="80"/>
      <c r="E22" s="80"/>
    </row>
    <row r="23" spans="2:12" ht="12.75">
      <c r="B23" s="3" t="s">
        <v>188</v>
      </c>
      <c r="C23" s="3"/>
      <c r="F23" s="46" t="s">
        <v>209</v>
      </c>
      <c r="G23" s="46"/>
      <c r="H23" s="46" t="s">
        <v>210</v>
      </c>
      <c r="I23" s="46"/>
      <c r="J23" s="46" t="s">
        <v>211</v>
      </c>
      <c r="K23" s="46"/>
      <c r="L23" s="46" t="s">
        <v>46</v>
      </c>
    </row>
    <row r="24" spans="2:12" ht="12.75">
      <c r="B24" s="3"/>
      <c r="C24" s="3"/>
      <c r="F24" s="46"/>
      <c r="G24" s="46"/>
      <c r="H24" s="46"/>
      <c r="I24" s="46"/>
      <c r="J24" s="46"/>
      <c r="K24" s="46"/>
      <c r="L24" s="46"/>
    </row>
    <row r="25" spans="2:12" ht="12.75">
      <c r="B25" t="s">
        <v>358</v>
      </c>
      <c r="F25" t="s">
        <v>360</v>
      </c>
      <c r="H25" t="s">
        <v>360</v>
      </c>
      <c r="J25" t="s">
        <v>360</v>
      </c>
      <c r="L25" t="s">
        <v>360</v>
      </c>
    </row>
    <row r="26" spans="2:12" ht="12.75">
      <c r="B26" t="s">
        <v>359</v>
      </c>
      <c r="F26" t="s">
        <v>24</v>
      </c>
      <c r="H26" t="s">
        <v>24</v>
      </c>
      <c r="J26" t="s">
        <v>24</v>
      </c>
      <c r="L26" t="s">
        <v>24</v>
      </c>
    </row>
    <row r="27" spans="2:12" ht="12.75">
      <c r="B27" s="5" t="s">
        <v>371</v>
      </c>
      <c r="F27" t="s">
        <v>24</v>
      </c>
      <c r="H27" t="s">
        <v>24</v>
      </c>
      <c r="J27" t="s">
        <v>24</v>
      </c>
      <c r="L27" t="s">
        <v>24</v>
      </c>
    </row>
    <row r="28" spans="2:12" ht="12.75">
      <c r="B28" t="s">
        <v>47</v>
      </c>
      <c r="F28" t="s">
        <v>24</v>
      </c>
      <c r="H28" t="s">
        <v>24</v>
      </c>
      <c r="J28" t="s">
        <v>24</v>
      </c>
      <c r="L28" t="s">
        <v>24</v>
      </c>
    </row>
    <row r="29" spans="2:10" ht="12.75">
      <c r="B29" t="s">
        <v>222</v>
      </c>
      <c r="D29" t="s">
        <v>52</v>
      </c>
      <c r="F29">
        <v>1535</v>
      </c>
      <c r="H29">
        <v>1602</v>
      </c>
      <c r="J29">
        <v>1681</v>
      </c>
    </row>
    <row r="30" spans="2:10" ht="12.75">
      <c r="B30" t="s">
        <v>48</v>
      </c>
      <c r="D30" t="s">
        <v>52</v>
      </c>
      <c r="F30">
        <v>4783</v>
      </c>
      <c r="H30">
        <v>4871</v>
      </c>
      <c r="J30">
        <v>4810</v>
      </c>
    </row>
    <row r="32" spans="2:12" ht="12.75">
      <c r="B32" s="80" t="s">
        <v>125</v>
      </c>
      <c r="C32" s="80"/>
      <c r="D32" s="80" t="s">
        <v>16</v>
      </c>
      <c r="F32">
        <f>'emiss 2'!G48</f>
        <v>30300</v>
      </c>
      <c r="H32">
        <f>'emiss 2'!I48</f>
        <v>32100</v>
      </c>
      <c r="J32">
        <f>'emiss 2'!K48</f>
        <v>32300</v>
      </c>
      <c r="L32" s="58">
        <f>AVERAGE(F32,H32,J32)</f>
        <v>31566.666666666668</v>
      </c>
    </row>
    <row r="33" spans="2:12" ht="12.75">
      <c r="B33" s="80" t="s">
        <v>126</v>
      </c>
      <c r="C33" s="80"/>
      <c r="D33" s="80" t="s">
        <v>17</v>
      </c>
      <c r="F33">
        <f>'emiss 2'!G49</f>
        <v>7.4</v>
      </c>
      <c r="H33">
        <f>'emiss 2'!I49</f>
        <v>7.3</v>
      </c>
      <c r="J33">
        <f>'emiss 2'!K49</f>
        <v>8</v>
      </c>
      <c r="L33" s="2">
        <f>AVERAGE(F33,H33,J33)</f>
        <v>7.566666666666666</v>
      </c>
    </row>
    <row r="34" spans="2:4" ht="12.75">
      <c r="B34" s="80"/>
      <c r="C34" s="80"/>
      <c r="D34" s="80"/>
    </row>
    <row r="35" spans="2:12" ht="12.75">
      <c r="B35" s="5" t="s">
        <v>374</v>
      </c>
      <c r="C35" s="80"/>
      <c r="D35" s="5" t="s">
        <v>373</v>
      </c>
      <c r="F35" s="51">
        <f>F32/9000*60*(21-F33)/21</f>
        <v>130.8190476190476</v>
      </c>
      <c r="H35" s="51">
        <f>H32/9000*60*(21-H33)/21</f>
        <v>139.6095238095238</v>
      </c>
      <c r="J35" s="51">
        <f>J32/9000*60*(21-J33)/21</f>
        <v>133.30158730158732</v>
      </c>
      <c r="L35" s="51">
        <f>L32/9000*60*(21-L33)/21</f>
        <v>134.61763668430336</v>
      </c>
    </row>
    <row r="36" spans="2:4" ht="12.75">
      <c r="B36" s="80"/>
      <c r="C36" s="80"/>
      <c r="D36" s="80"/>
    </row>
    <row r="37" spans="2:4" ht="12.75">
      <c r="B37" s="102" t="s">
        <v>127</v>
      </c>
      <c r="C37" s="80"/>
      <c r="D37" s="80"/>
    </row>
    <row r="38" spans="2:12" ht="12.75">
      <c r="B38" s="80" t="s">
        <v>48</v>
      </c>
      <c r="C38" s="80"/>
      <c r="D38" s="80" t="s">
        <v>60</v>
      </c>
      <c r="F38" s="58">
        <f>F30*454/60/0.0283/F32*(21-7)/(21-F33)*1000</f>
        <v>43447.52548420504</v>
      </c>
      <c r="H38" s="58">
        <f>H30*454/60/0.0283/H32*(21-7)/(21-H33)*1000</f>
        <v>41460.90071228742</v>
      </c>
      <c r="J38" s="58">
        <f>J30*454/60/0.0283/J32*(21-7)/(21-J33)*1000</f>
        <v>42879.07463524744</v>
      </c>
      <c r="L38" s="58">
        <f>AVERAGE(J38,H38,F38)</f>
        <v>42595.83361057996</v>
      </c>
    </row>
    <row r="39" spans="2:12" ht="12.75">
      <c r="B39" s="80" t="s">
        <v>222</v>
      </c>
      <c r="C39" s="80"/>
      <c r="D39" s="80" t="s">
        <v>54</v>
      </c>
      <c r="F39" s="58">
        <f>F29*454/60/0.0283/F32*(21-7)/(21-F33)*1000000</f>
        <v>13943539.957820352</v>
      </c>
      <c r="H39" s="58">
        <f>H29*454/60/0.0283/H32*(21-7)/(21-H33)*1000000</f>
        <v>13635878.24698921</v>
      </c>
      <c r="J39" s="58">
        <f>J29*454/60/0.0283/J32*(21-7)/(21-J33)*1000000</f>
        <v>14985389.701008514</v>
      </c>
      <c r="L39">
        <f>AVERAGE(J39,H39,F39)</f>
        <v>14188269.301939359</v>
      </c>
    </row>
    <row r="40" spans="2:4" ht="12.75">
      <c r="B40" s="80"/>
      <c r="C40" s="80"/>
      <c r="D40" s="80"/>
    </row>
    <row r="41" spans="2:4" ht="12.75">
      <c r="B41" s="80"/>
      <c r="C41" s="80"/>
      <c r="D41" s="80"/>
    </row>
    <row r="42" spans="2:51" ht="12.75">
      <c r="B42" s="3" t="s">
        <v>190</v>
      </c>
      <c r="C42" s="3"/>
      <c r="F42" s="46" t="s">
        <v>209</v>
      </c>
      <c r="G42" s="46"/>
      <c r="H42" s="46" t="s">
        <v>210</v>
      </c>
      <c r="I42" s="46"/>
      <c r="J42" s="46" t="s">
        <v>211</v>
      </c>
      <c r="K42" s="46"/>
      <c r="L42" s="46" t="s">
        <v>209</v>
      </c>
      <c r="M42" s="46"/>
      <c r="N42" s="46" t="s">
        <v>210</v>
      </c>
      <c r="O42" s="46"/>
      <c r="P42" s="46" t="s">
        <v>211</v>
      </c>
      <c r="Q42" s="46"/>
      <c r="R42" s="46" t="s">
        <v>209</v>
      </c>
      <c r="S42" s="46"/>
      <c r="T42" s="46" t="s">
        <v>210</v>
      </c>
      <c r="U42" s="46"/>
      <c r="V42" s="46" t="s">
        <v>211</v>
      </c>
      <c r="W42" s="46"/>
      <c r="X42" s="46" t="s">
        <v>209</v>
      </c>
      <c r="Y42" s="46"/>
      <c r="Z42" s="46" t="s">
        <v>210</v>
      </c>
      <c r="AA42" s="46"/>
      <c r="AB42" s="46" t="s">
        <v>211</v>
      </c>
      <c r="AC42" s="46"/>
      <c r="AD42" s="46" t="s">
        <v>209</v>
      </c>
      <c r="AE42" s="46"/>
      <c r="AF42" s="46" t="s">
        <v>210</v>
      </c>
      <c r="AG42" s="46"/>
      <c r="AH42" s="46" t="s">
        <v>211</v>
      </c>
      <c r="AI42" s="46"/>
      <c r="AJ42" s="46" t="s">
        <v>209</v>
      </c>
      <c r="AK42" s="46"/>
      <c r="AL42" s="46" t="s">
        <v>210</v>
      </c>
      <c r="AM42" s="46"/>
      <c r="AN42" s="46" t="s">
        <v>211</v>
      </c>
      <c r="AO42" s="46"/>
      <c r="AP42" s="46" t="s">
        <v>46</v>
      </c>
      <c r="AQ42" s="46"/>
      <c r="AR42" t="s">
        <v>209</v>
      </c>
      <c r="AS42" s="46"/>
      <c r="AT42" t="s">
        <v>210</v>
      </c>
      <c r="AU42" s="46"/>
      <c r="AV42" t="s">
        <v>211</v>
      </c>
      <c r="AW42" s="46"/>
      <c r="AX42" t="s">
        <v>46</v>
      </c>
      <c r="AY42" s="46"/>
    </row>
    <row r="44" spans="2:42" ht="12.75">
      <c r="B44" t="s">
        <v>358</v>
      </c>
      <c r="F44" t="s">
        <v>360</v>
      </c>
      <c r="H44" t="s">
        <v>360</v>
      </c>
      <c r="J44" t="s">
        <v>360</v>
      </c>
      <c r="L44" t="s">
        <v>362</v>
      </c>
      <c r="N44" t="s">
        <v>362</v>
      </c>
      <c r="P44" t="s">
        <v>362</v>
      </c>
      <c r="R44" t="s">
        <v>363</v>
      </c>
      <c r="T44" t="s">
        <v>363</v>
      </c>
      <c r="V44" t="s">
        <v>363</v>
      </c>
      <c r="X44" t="s">
        <v>364</v>
      </c>
      <c r="Z44" t="s">
        <v>364</v>
      </c>
      <c r="AB44" t="s">
        <v>364</v>
      </c>
      <c r="AD44" t="s">
        <v>366</v>
      </c>
      <c r="AF44" t="s">
        <v>366</v>
      </c>
      <c r="AH44" t="s">
        <v>366</v>
      </c>
      <c r="AJ44" t="s">
        <v>367</v>
      </c>
      <c r="AL44" t="s">
        <v>367</v>
      </c>
      <c r="AN44" t="s">
        <v>367</v>
      </c>
      <c r="AP44" t="s">
        <v>367</v>
      </c>
    </row>
    <row r="45" spans="2:42" ht="12.75">
      <c r="B45" t="s">
        <v>359</v>
      </c>
      <c r="F45" t="s">
        <v>365</v>
      </c>
      <c r="H45" t="s">
        <v>365</v>
      </c>
      <c r="J45" t="s">
        <v>365</v>
      </c>
      <c r="L45" t="s">
        <v>361</v>
      </c>
      <c r="N45" t="s">
        <v>361</v>
      </c>
      <c r="P45" t="s">
        <v>361</v>
      </c>
      <c r="R45" t="s">
        <v>361</v>
      </c>
      <c r="T45" t="s">
        <v>361</v>
      </c>
      <c r="V45" t="s">
        <v>361</v>
      </c>
      <c r="X45" t="s">
        <v>361</v>
      </c>
      <c r="Z45" t="s">
        <v>361</v>
      </c>
      <c r="AB45" t="s">
        <v>361</v>
      </c>
      <c r="AD45" t="s">
        <v>361</v>
      </c>
      <c r="AF45" t="s">
        <v>361</v>
      </c>
      <c r="AH45" t="s">
        <v>361</v>
      </c>
      <c r="AJ45" t="s">
        <v>24</v>
      </c>
      <c r="AL45" t="s">
        <v>24</v>
      </c>
      <c r="AN45" t="s">
        <v>24</v>
      </c>
      <c r="AP45" t="s">
        <v>24</v>
      </c>
    </row>
    <row r="46" spans="2:50" ht="12.75">
      <c r="B46" s="5" t="s">
        <v>371</v>
      </c>
      <c r="AJ46" t="s">
        <v>24</v>
      </c>
      <c r="AL46" t="s">
        <v>24</v>
      </c>
      <c r="AN46" t="s">
        <v>24</v>
      </c>
      <c r="AP46" t="s">
        <v>24</v>
      </c>
      <c r="AR46" t="s">
        <v>61</v>
      </c>
      <c r="AT46" t="s">
        <v>61</v>
      </c>
      <c r="AV46" t="s">
        <v>61</v>
      </c>
      <c r="AX46" t="s">
        <v>61</v>
      </c>
    </row>
    <row r="47" spans="2:42" ht="12.75">
      <c r="B47" t="s">
        <v>47</v>
      </c>
      <c r="F47" t="s">
        <v>225</v>
      </c>
      <c r="L47" t="s">
        <v>226</v>
      </c>
      <c r="R47" t="s">
        <v>227</v>
      </c>
      <c r="X47" t="s">
        <v>228</v>
      </c>
      <c r="AD47" t="s">
        <v>229</v>
      </c>
      <c r="AJ47" t="s">
        <v>24</v>
      </c>
      <c r="AL47" t="s">
        <v>24</v>
      </c>
      <c r="AN47" t="s">
        <v>24</v>
      </c>
      <c r="AP47" t="s">
        <v>24</v>
      </c>
    </row>
    <row r="48" spans="2:28" ht="12.75">
      <c r="B48" t="s">
        <v>230</v>
      </c>
      <c r="D48" t="s">
        <v>52</v>
      </c>
      <c r="F48">
        <v>13174</v>
      </c>
      <c r="H48">
        <v>16095</v>
      </c>
      <c r="J48">
        <v>15620</v>
      </c>
      <c r="L48">
        <v>7984</v>
      </c>
      <c r="N48">
        <v>7999</v>
      </c>
      <c r="P48">
        <v>7989</v>
      </c>
      <c r="R48">
        <v>1992</v>
      </c>
      <c r="T48">
        <v>2020</v>
      </c>
      <c r="V48">
        <v>2010</v>
      </c>
      <c r="X48">
        <v>4285</v>
      </c>
      <c r="Z48">
        <v>4133</v>
      </c>
      <c r="AB48">
        <v>4252</v>
      </c>
    </row>
    <row r="49" spans="2:28" ht="12.75">
      <c r="B49" t="s">
        <v>222</v>
      </c>
      <c r="D49" t="s">
        <v>231</v>
      </c>
      <c r="E49" t="s">
        <v>97</v>
      </c>
      <c r="F49">
        <v>0.1</v>
      </c>
      <c r="G49" t="s">
        <v>97</v>
      </c>
      <c r="H49">
        <v>0.1</v>
      </c>
      <c r="I49" t="s">
        <v>97</v>
      </c>
      <c r="J49">
        <v>0.1</v>
      </c>
      <c r="L49">
        <v>0.12</v>
      </c>
      <c r="N49">
        <v>0.12</v>
      </c>
      <c r="P49">
        <v>0.09</v>
      </c>
      <c r="R49">
        <v>0.11</v>
      </c>
      <c r="T49">
        <v>0.11</v>
      </c>
      <c r="V49">
        <v>0.11</v>
      </c>
      <c r="X49">
        <v>0.02</v>
      </c>
      <c r="Z49">
        <v>0.02</v>
      </c>
      <c r="AB49">
        <v>0.01</v>
      </c>
    </row>
    <row r="50" spans="2:34" ht="12.75">
      <c r="B50" t="s">
        <v>222</v>
      </c>
      <c r="D50" t="s">
        <v>52</v>
      </c>
      <c r="AD50">
        <v>619</v>
      </c>
      <c r="AF50">
        <v>619</v>
      </c>
      <c r="AH50">
        <v>619</v>
      </c>
    </row>
    <row r="51" spans="2:28" ht="12.75">
      <c r="B51" t="s">
        <v>48</v>
      </c>
      <c r="D51" t="s">
        <v>231</v>
      </c>
      <c r="F51">
        <v>85.2</v>
      </c>
      <c r="H51">
        <v>83.8</v>
      </c>
      <c r="J51">
        <v>85.2</v>
      </c>
      <c r="L51">
        <v>1.37</v>
      </c>
      <c r="N51">
        <v>1.22</v>
      </c>
      <c r="P51">
        <v>0.84</v>
      </c>
      <c r="R51">
        <v>0.03</v>
      </c>
      <c r="T51">
        <v>0.1</v>
      </c>
      <c r="V51">
        <v>0.04</v>
      </c>
      <c r="X51">
        <v>0.01</v>
      </c>
      <c r="Z51">
        <v>0.02</v>
      </c>
      <c r="AB51">
        <v>0.08</v>
      </c>
    </row>
    <row r="53" spans="2:42" ht="12.75">
      <c r="B53" s="80" t="s">
        <v>125</v>
      </c>
      <c r="C53" s="80"/>
      <c r="D53" s="80" t="s">
        <v>16</v>
      </c>
      <c r="F53">
        <f>'emiss 2'!$G$94</f>
        <v>39530</v>
      </c>
      <c r="H53">
        <f>'emiss 2'!$I$94</f>
        <v>41235</v>
      </c>
      <c r="J53">
        <f>'emiss 2'!$K$94</f>
        <v>43844</v>
      </c>
      <c r="L53">
        <f>'emiss 2'!$G$94</f>
        <v>39530</v>
      </c>
      <c r="N53">
        <f>'emiss 2'!$I$94</f>
        <v>41235</v>
      </c>
      <c r="P53">
        <f>'emiss 2'!$K$94</f>
        <v>43844</v>
      </c>
      <c r="R53">
        <f>'emiss 2'!$G$94</f>
        <v>39530</v>
      </c>
      <c r="T53">
        <f>'emiss 2'!$I$94</f>
        <v>41235</v>
      </c>
      <c r="V53">
        <f>'emiss 2'!$K$94</f>
        <v>43844</v>
      </c>
      <c r="X53">
        <f>'emiss 2'!$G$94</f>
        <v>39530</v>
      </c>
      <c r="Z53">
        <f>'emiss 2'!$I$94</f>
        <v>41235</v>
      </c>
      <c r="AB53">
        <f>'emiss 2'!$K$94</f>
        <v>43844</v>
      </c>
      <c r="AD53">
        <f>X53</f>
        <v>39530</v>
      </c>
      <c r="AF53">
        <f>Z53</f>
        <v>41235</v>
      </c>
      <c r="AH53">
        <f>AB53</f>
        <v>43844</v>
      </c>
      <c r="AJ53">
        <f>F53</f>
        <v>39530</v>
      </c>
      <c r="AL53">
        <f>H53</f>
        <v>41235</v>
      </c>
      <c r="AN53">
        <f>J53</f>
        <v>43844</v>
      </c>
      <c r="AP53">
        <f>AVERAGE(AJ53,AL53,AN53)</f>
        <v>41536.333333333336</v>
      </c>
    </row>
    <row r="54" spans="2:42" ht="12.75">
      <c r="B54" s="80" t="s">
        <v>126</v>
      </c>
      <c r="C54" s="80"/>
      <c r="D54" s="80" t="s">
        <v>17</v>
      </c>
      <c r="F54">
        <f>'emiss 2'!$G$95</f>
        <v>8.5</v>
      </c>
      <c r="H54">
        <f>'emiss 2'!$I$95</f>
        <v>7.8</v>
      </c>
      <c r="J54">
        <f>'emiss 2'!$K$95</f>
        <v>8.3</v>
      </c>
      <c r="L54">
        <f>'emiss 2'!$G$95</f>
        <v>8.5</v>
      </c>
      <c r="N54">
        <f>'emiss 2'!$I$95</f>
        <v>7.8</v>
      </c>
      <c r="P54">
        <f>'emiss 2'!$K$95</f>
        <v>8.3</v>
      </c>
      <c r="R54">
        <f>'emiss 2'!$G$95</f>
        <v>8.5</v>
      </c>
      <c r="T54">
        <f>'emiss 2'!$I$95</f>
        <v>7.8</v>
      </c>
      <c r="V54">
        <f>'emiss 2'!$K$95</f>
        <v>8.3</v>
      </c>
      <c r="X54">
        <f>'emiss 2'!$G$95</f>
        <v>8.5</v>
      </c>
      <c r="Z54">
        <f>'emiss 2'!$I$95</f>
        <v>7.8</v>
      </c>
      <c r="AB54">
        <f>'emiss 2'!$K$95</f>
        <v>8.3</v>
      </c>
      <c r="AD54">
        <f>X54</f>
        <v>8.5</v>
      </c>
      <c r="AF54">
        <f>Z54</f>
        <v>7.8</v>
      </c>
      <c r="AH54">
        <f>AB54</f>
        <v>8.3</v>
      </c>
      <c r="AJ54">
        <f>F54</f>
        <v>8.5</v>
      </c>
      <c r="AL54">
        <f>H54</f>
        <v>7.8</v>
      </c>
      <c r="AN54">
        <f>J54</f>
        <v>8.3</v>
      </c>
      <c r="AP54">
        <f>AVERAGE(AJ54,AL54,AN54)</f>
        <v>8.200000000000001</v>
      </c>
    </row>
    <row r="55" spans="2:4" ht="12.75">
      <c r="B55" s="80"/>
      <c r="C55" s="80"/>
      <c r="D55" s="80"/>
    </row>
    <row r="56" spans="2:42" ht="12.75">
      <c r="B56" s="5" t="s">
        <v>374</v>
      </c>
      <c r="C56" s="80"/>
      <c r="D56" s="5" t="s">
        <v>373</v>
      </c>
      <c r="AJ56" s="51">
        <f>AJ53/9000*60*(21-AJ54)/21</f>
        <v>156.86507936507937</v>
      </c>
      <c r="AL56" s="51">
        <f>AL53/9000*60*(21-AL54)/21</f>
        <v>172.79428571428573</v>
      </c>
      <c r="AN56" s="51">
        <f>AN53/9000*60*(21-AN54)/21</f>
        <v>176.76787301587296</v>
      </c>
      <c r="AP56" s="51">
        <f>AP53/9000*60*(21-AP54)/21</f>
        <v>168.78256084656084</v>
      </c>
    </row>
    <row r="57" spans="2:4" ht="12.75">
      <c r="B57" s="80"/>
      <c r="C57" s="80"/>
      <c r="D57" s="80"/>
    </row>
    <row r="58" spans="2:4" ht="12.75">
      <c r="B58" s="102" t="s">
        <v>127</v>
      </c>
      <c r="C58" s="80"/>
      <c r="D58" s="80"/>
    </row>
    <row r="59" spans="2:48" ht="12.75">
      <c r="B59" t="s">
        <v>48</v>
      </c>
      <c r="C59" s="80"/>
      <c r="D59" s="80" t="s">
        <v>60</v>
      </c>
      <c r="F59" s="58">
        <f>F48*F51/100*454/60/0.0283/F53*(21-7)/(21-F54)*1000</f>
        <v>85028.91339314687</v>
      </c>
      <c r="H59" s="58">
        <f>H48*H51/100*454/60/0.0283/H53*(21-7)/(21-H54)*1000</f>
        <v>92755.84201054048</v>
      </c>
      <c r="J59" s="58">
        <f>J48*J51/100*454/60/0.0283/J53*(21-7)/(21-J54)*1000</f>
        <v>89464.95275035404</v>
      </c>
      <c r="L59" s="58">
        <f>L48*L51/100*454/60/0.0283/L53*(21-7)/(21-L54)*1000</f>
        <v>828.6105732939187</v>
      </c>
      <c r="N59" s="58">
        <f>N48*N51/100*454/60/0.0283/N53*(21-7)/(21-N54)*1000</f>
        <v>671.1225012404884</v>
      </c>
      <c r="P59" s="58">
        <f>P48*P51/100*454/60/0.0283/P53*(21-7)/(21-P54)*1000</f>
        <v>451.1324009177516</v>
      </c>
      <c r="R59" s="58">
        <f>R48*R51/100*454/60/0.0283/R53*(21-7)/(21-R54)*1000</f>
        <v>4.527098710198185</v>
      </c>
      <c r="T59" s="58">
        <f>T48*T51/100*454/60/0.0283/T53*(21-7)/(21-T54)*1000</f>
        <v>13.891771845515388</v>
      </c>
      <c r="V59" s="58">
        <f>V48*V51/100*454/60/0.0283/V53*(21-7)/(21-V54)*1000</f>
        <v>5.404908688999046</v>
      </c>
      <c r="X59" s="58">
        <f>X48*X51/100*454/60/0.0283/X53*(21-7)/(21-X54)*1000</f>
        <v>3.2460873449128558</v>
      </c>
      <c r="Z59" s="58">
        <f>Z48*Z51/100*454/60/0.0283/Z53*(21-7)/(21-Z54)*1000</f>
        <v>5.684623073021296</v>
      </c>
      <c r="AB59" s="58">
        <f>AB48*AB51/100*454/60/0.0283/AB53*(21-7)/(21-AB54)*1000</f>
        <v>22.86733507027258</v>
      </c>
      <c r="AC59" s="58"/>
      <c r="AD59" s="58"/>
      <c r="AE59" s="58"/>
      <c r="AF59" s="58"/>
      <c r="AG59" s="58"/>
      <c r="AH59" s="58"/>
      <c r="AJ59" s="2">
        <f>SUM(X59,R59,L59,F59)</f>
        <v>85865.2971524959</v>
      </c>
      <c r="AL59" s="2">
        <f>SUM(Z59,T59,N59,H59)</f>
        <v>93446.5409066995</v>
      </c>
      <c r="AN59" s="2">
        <f>SUM(AB59,V59,P59,J59)</f>
        <v>89944.35739503107</v>
      </c>
      <c r="AP59" s="2">
        <f>AVERAGE(AN59,AL59,AJ59)</f>
        <v>89752.06515140882</v>
      </c>
      <c r="AR59" s="58">
        <f>F59+L59+R59+X59+AD59</f>
        <v>85865.2971524959</v>
      </c>
      <c r="AT59" s="58">
        <f>H59+N59+T59+Z59+AF59</f>
        <v>93446.5409066995</v>
      </c>
      <c r="AV59" s="58">
        <f>J59+P59+V59+AB59+AH59</f>
        <v>89944.35739503107</v>
      </c>
    </row>
    <row r="60" spans="2:48" ht="12.75">
      <c r="B60" t="s">
        <v>222</v>
      </c>
      <c r="C60" s="80"/>
      <c r="D60" s="80" t="s">
        <v>54</v>
      </c>
      <c r="E60">
        <v>100</v>
      </c>
      <c r="F60" s="58">
        <f>F49*F48/100*454/60/0.0283/F53*(21-7)/(21-F54)*1000000</f>
        <v>99799.19412341184</v>
      </c>
      <c r="G60">
        <v>100</v>
      </c>
      <c r="H60" s="58">
        <f>H49*H48/100*454/60/0.0283/H53*(21-7)/(21-H54)*1000000</f>
        <v>110687.16230374758</v>
      </c>
      <c r="I60">
        <v>100</v>
      </c>
      <c r="J60" s="58">
        <f>J49*J48/100*454/60/0.0283/J53*(21-7)/(21-J54)*1000000</f>
        <v>105005.81308727</v>
      </c>
      <c r="L60" s="58">
        <f>L49*L48/100*454/60/0.0283/L53*(21-7)/(21-L54)*1000000</f>
        <v>72579.02831771549</v>
      </c>
      <c r="N60" s="58">
        <f>N49*N48/100*454/60/0.0283/N53*(21-7)/(21-N54)*1000000</f>
        <v>66012.04930234312</v>
      </c>
      <c r="P60" s="58">
        <f>P49*P48/100*454/60/0.0283/P53*(21-7)/(21-P54)*1000000</f>
        <v>48335.61438404482</v>
      </c>
      <c r="R60" s="58">
        <f>R49*R48/100*454/60/0.0283/R53*(21-7)/(21-R54)*1000000</f>
        <v>16599.36193739335</v>
      </c>
      <c r="T60" s="58">
        <f>T49*T48/100*454/60/0.0283/T53*(21-7)/(21-T54)*1000000</f>
        <v>15280.949030066926</v>
      </c>
      <c r="V60" s="58">
        <f>V49*V48/100*454/60/0.0283/V53*(21-7)/(21-V54)*1000000</f>
        <v>14863.498894747372</v>
      </c>
      <c r="X60" s="58">
        <f>X49*X48/100*454/60/0.0283/X53*(21-7)/(21-X54)*1000000</f>
        <v>6492.1746898257115</v>
      </c>
      <c r="Z60" s="58">
        <f>Z49*Z48/100*454/60/0.0283/Z53*(21-7)/(21-Z54)*1000000</f>
        <v>5684.6230730212965</v>
      </c>
      <c r="AB60" s="58">
        <f>AB49*AB48/100*454/60/0.0283/AB53*(21-7)/(21-AB54)*1000000</f>
        <v>2858.4168837840725</v>
      </c>
      <c r="AC60" s="58"/>
      <c r="AD60" s="58">
        <f>AD50/60*454*1000000/(AD53*0.0283)*(21-7)/(21-AD54)</f>
        <v>4689213.690784265</v>
      </c>
      <c r="AE60" s="58"/>
      <c r="AF60" s="58">
        <f>AF50/60*454*1000000/(AF53*0.0283)*(21-7)/(21-AF54)</f>
        <v>4256934.045729714</v>
      </c>
      <c r="AG60" s="58"/>
      <c r="AH60" s="58">
        <f>AH50/60*454*1000000/(AH53*0.0283)*(21-7)/(21-AH54)</f>
        <v>4161241.888669662</v>
      </c>
      <c r="AJ60" s="2">
        <f>SUM(X60,R60,L60,F60)</f>
        <v>195469.7590683464</v>
      </c>
      <c r="AL60" s="2">
        <f>SUM(Z60,T60,N60,H60)</f>
        <v>197664.7837091789</v>
      </c>
      <c r="AN60" s="2">
        <f>SUM(AB60,V60,P60,J60)</f>
        <v>171063.34324984625</v>
      </c>
      <c r="AP60" s="2">
        <f>AVERAGE(AN60,AL60,AJ60)</f>
        <v>188065.96200912385</v>
      </c>
      <c r="AQ60">
        <f>F60*E60/1000/AR60*100</f>
        <v>0.20431046381608034</v>
      </c>
      <c r="AR60" s="58">
        <f>F60+L60+R60+X60+AD60</f>
        <v>4884683.449852612</v>
      </c>
      <c r="AS60">
        <f>H60*G60/1000/AT60*100</f>
        <v>0.24847840746568386</v>
      </c>
      <c r="AT60" s="58">
        <f>H60+N60+T60+Z60+AF60</f>
        <v>4454598.829438893</v>
      </c>
      <c r="AU60">
        <f>J60*I60/1000/AV60*100</f>
        <v>0.2423786124615814</v>
      </c>
      <c r="AV60" s="58">
        <f>J60+P60+V60+AB60+AH60</f>
        <v>4332305.231919508</v>
      </c>
    </row>
    <row r="61" spans="2:4" ht="12.75">
      <c r="B61" s="80"/>
      <c r="C61" s="80"/>
      <c r="D61" s="80"/>
    </row>
    <row r="62" spans="2:51" ht="12.75">
      <c r="B62" s="3" t="s">
        <v>192</v>
      </c>
      <c r="C62" s="3"/>
      <c r="F62" s="46" t="s">
        <v>209</v>
      </c>
      <c r="G62" s="46"/>
      <c r="H62" s="46" t="s">
        <v>210</v>
      </c>
      <c r="I62" s="46"/>
      <c r="J62" s="46" t="s">
        <v>211</v>
      </c>
      <c r="K62" s="46"/>
      <c r="L62" s="46" t="s">
        <v>209</v>
      </c>
      <c r="M62" s="46"/>
      <c r="N62" s="46" t="s">
        <v>210</v>
      </c>
      <c r="O62" s="46"/>
      <c r="P62" s="46" t="s">
        <v>211</v>
      </c>
      <c r="Q62" s="46"/>
      <c r="R62" s="46" t="s">
        <v>209</v>
      </c>
      <c r="S62" s="46"/>
      <c r="T62" s="46" t="s">
        <v>210</v>
      </c>
      <c r="U62" s="46"/>
      <c r="V62" s="46" t="s">
        <v>211</v>
      </c>
      <c r="W62" s="46"/>
      <c r="X62" s="46" t="s">
        <v>209</v>
      </c>
      <c r="Y62" s="46"/>
      <c r="Z62" s="46" t="s">
        <v>210</v>
      </c>
      <c r="AA62" s="46"/>
      <c r="AB62" s="46" t="s">
        <v>211</v>
      </c>
      <c r="AC62" s="46"/>
      <c r="AD62" s="46" t="s">
        <v>209</v>
      </c>
      <c r="AE62" s="46"/>
      <c r="AF62" s="46" t="s">
        <v>210</v>
      </c>
      <c r="AG62" s="46"/>
      <c r="AH62" s="46" t="s">
        <v>211</v>
      </c>
      <c r="AI62" s="46"/>
      <c r="AJ62" s="46" t="s">
        <v>209</v>
      </c>
      <c r="AK62" s="46"/>
      <c r="AL62" s="46" t="s">
        <v>210</v>
      </c>
      <c r="AM62" s="46"/>
      <c r="AN62" s="46" t="s">
        <v>211</v>
      </c>
      <c r="AO62" s="46"/>
      <c r="AP62" s="46" t="s">
        <v>46</v>
      </c>
      <c r="AQ62" s="46"/>
      <c r="AR62" t="s">
        <v>209</v>
      </c>
      <c r="AS62" s="46"/>
      <c r="AT62" t="s">
        <v>210</v>
      </c>
      <c r="AU62" s="46"/>
      <c r="AV62" t="s">
        <v>211</v>
      </c>
      <c r="AW62" s="46"/>
      <c r="AY62" s="46"/>
    </row>
    <row r="64" spans="2:42" ht="12.75">
      <c r="B64" t="s">
        <v>358</v>
      </c>
      <c r="F64" t="s">
        <v>360</v>
      </c>
      <c r="H64" t="s">
        <v>360</v>
      </c>
      <c r="J64" t="s">
        <v>360</v>
      </c>
      <c r="L64" t="s">
        <v>362</v>
      </c>
      <c r="N64" t="s">
        <v>362</v>
      </c>
      <c r="P64" t="s">
        <v>362</v>
      </c>
      <c r="R64" t="s">
        <v>363</v>
      </c>
      <c r="T64" t="s">
        <v>363</v>
      </c>
      <c r="V64" t="s">
        <v>363</v>
      </c>
      <c r="X64" t="s">
        <v>364</v>
      </c>
      <c r="Z64" t="s">
        <v>364</v>
      </c>
      <c r="AB64" t="s">
        <v>364</v>
      </c>
      <c r="AD64" t="s">
        <v>366</v>
      </c>
      <c r="AF64" t="s">
        <v>366</v>
      </c>
      <c r="AH64" t="s">
        <v>366</v>
      </c>
      <c r="AJ64" t="s">
        <v>367</v>
      </c>
      <c r="AL64" t="s">
        <v>367</v>
      </c>
      <c r="AN64" t="s">
        <v>367</v>
      </c>
      <c r="AP64" t="s">
        <v>367</v>
      </c>
    </row>
    <row r="65" spans="2:42" ht="12.75">
      <c r="B65" t="s">
        <v>359</v>
      </c>
      <c r="F65" t="s">
        <v>365</v>
      </c>
      <c r="H65" t="s">
        <v>365</v>
      </c>
      <c r="J65" t="s">
        <v>365</v>
      </c>
      <c r="L65" t="s">
        <v>361</v>
      </c>
      <c r="N65" t="s">
        <v>361</v>
      </c>
      <c r="P65" t="s">
        <v>361</v>
      </c>
      <c r="R65" t="s">
        <v>361</v>
      </c>
      <c r="T65" t="s">
        <v>361</v>
      </c>
      <c r="V65" t="s">
        <v>361</v>
      </c>
      <c r="X65" t="s">
        <v>361</v>
      </c>
      <c r="Z65" t="s">
        <v>361</v>
      </c>
      <c r="AB65" t="s">
        <v>361</v>
      </c>
      <c r="AD65" t="s">
        <v>361</v>
      </c>
      <c r="AF65" t="s">
        <v>361</v>
      </c>
      <c r="AH65" t="s">
        <v>361</v>
      </c>
      <c r="AJ65" t="s">
        <v>24</v>
      </c>
      <c r="AL65" t="s">
        <v>24</v>
      </c>
      <c r="AN65" t="s">
        <v>24</v>
      </c>
      <c r="AP65" t="s">
        <v>24</v>
      </c>
    </row>
    <row r="66" spans="2:48" ht="12.75">
      <c r="B66" s="5" t="s">
        <v>371</v>
      </c>
      <c r="AJ66" t="s">
        <v>24</v>
      </c>
      <c r="AL66" t="s">
        <v>24</v>
      </c>
      <c r="AN66" t="s">
        <v>24</v>
      </c>
      <c r="AP66" t="s">
        <v>24</v>
      </c>
      <c r="AR66" t="s">
        <v>61</v>
      </c>
      <c r="AT66" t="s">
        <v>61</v>
      </c>
      <c r="AV66" t="s">
        <v>61</v>
      </c>
    </row>
    <row r="67" spans="2:36" ht="12.75">
      <c r="B67" t="s">
        <v>47</v>
      </c>
      <c r="F67" t="s">
        <v>225</v>
      </c>
      <c r="H67" t="s">
        <v>225</v>
      </c>
      <c r="J67" t="s">
        <v>225</v>
      </c>
      <c r="L67" t="s">
        <v>226</v>
      </c>
      <c r="R67" t="s">
        <v>227</v>
      </c>
      <c r="X67" t="s">
        <v>228</v>
      </c>
      <c r="AD67" t="s">
        <v>229</v>
      </c>
      <c r="AJ67" t="s">
        <v>24</v>
      </c>
    </row>
    <row r="68" spans="2:28" ht="12.75">
      <c r="B68" t="s">
        <v>230</v>
      </c>
      <c r="D68" t="s">
        <v>52</v>
      </c>
      <c r="F68">
        <v>12164</v>
      </c>
      <c r="H68">
        <v>12349</v>
      </c>
      <c r="J68">
        <v>17751</v>
      </c>
      <c r="L68">
        <v>8979</v>
      </c>
      <c r="N68">
        <v>8087</v>
      </c>
      <c r="P68">
        <v>8099</v>
      </c>
      <c r="R68">
        <v>1998</v>
      </c>
      <c r="T68">
        <v>1954</v>
      </c>
      <c r="V68">
        <v>754</v>
      </c>
      <c r="X68">
        <v>4677</v>
      </c>
      <c r="Z68">
        <v>4649</v>
      </c>
      <c r="AB68">
        <v>4650</v>
      </c>
    </row>
    <row r="69" spans="2:28" ht="12.75">
      <c r="B69" t="s">
        <v>222</v>
      </c>
      <c r="D69" t="s">
        <v>231</v>
      </c>
      <c r="E69" t="s">
        <v>97</v>
      </c>
      <c r="F69">
        <v>0.1</v>
      </c>
      <c r="G69" t="s">
        <v>97</v>
      </c>
      <c r="H69">
        <v>0.1</v>
      </c>
      <c r="I69" t="s">
        <v>97</v>
      </c>
      <c r="J69">
        <v>0.1</v>
      </c>
      <c r="L69">
        <v>0.07</v>
      </c>
      <c r="N69">
        <v>0.07</v>
      </c>
      <c r="P69">
        <v>0.07</v>
      </c>
      <c r="R69">
        <v>0.11</v>
      </c>
      <c r="T69">
        <v>0.12</v>
      </c>
      <c r="V69">
        <v>0.11</v>
      </c>
      <c r="X69">
        <v>0.01</v>
      </c>
      <c r="Z69">
        <v>0.01</v>
      </c>
      <c r="AB69">
        <v>0.01</v>
      </c>
    </row>
    <row r="70" spans="2:34" ht="12.75">
      <c r="B70" t="s">
        <v>222</v>
      </c>
      <c r="D70" t="s">
        <v>52</v>
      </c>
      <c r="AD70">
        <v>619</v>
      </c>
      <c r="AF70">
        <v>619</v>
      </c>
      <c r="AH70">
        <v>619</v>
      </c>
    </row>
    <row r="71" spans="2:28" ht="12.75">
      <c r="B71" t="s">
        <v>48</v>
      </c>
      <c r="D71" t="s">
        <v>231</v>
      </c>
      <c r="F71">
        <v>74.1</v>
      </c>
      <c r="H71">
        <v>85.3</v>
      </c>
      <c r="J71">
        <v>85.1</v>
      </c>
      <c r="L71">
        <v>1.01</v>
      </c>
      <c r="N71">
        <v>0.49</v>
      </c>
      <c r="O71" t="s">
        <v>97</v>
      </c>
      <c r="P71">
        <v>0.01</v>
      </c>
      <c r="R71">
        <v>0.14</v>
      </c>
      <c r="T71">
        <v>0.29</v>
      </c>
      <c r="V71">
        <v>0.5</v>
      </c>
      <c r="X71">
        <v>0.01</v>
      </c>
      <c r="Z71">
        <v>0.02</v>
      </c>
      <c r="AB71">
        <v>0.02</v>
      </c>
    </row>
    <row r="73" spans="2:42" ht="12.75">
      <c r="B73" s="80" t="s">
        <v>125</v>
      </c>
      <c r="C73" s="80"/>
      <c r="D73" s="80" t="s">
        <v>16</v>
      </c>
      <c r="F73">
        <f>'emiss 2'!$G$118</f>
        <v>43694</v>
      </c>
      <c r="H73">
        <f>'emiss 2'!$I$118</f>
        <v>39636</v>
      </c>
      <c r="J73">
        <f>'emiss 2'!$K$118</f>
        <v>44874</v>
      </c>
      <c r="L73">
        <f>'emiss 2'!$G$118</f>
        <v>43694</v>
      </c>
      <c r="N73">
        <f>'emiss 2'!$I$118</f>
        <v>39636</v>
      </c>
      <c r="P73">
        <f>'emiss 2'!$K$118</f>
        <v>44874</v>
      </c>
      <c r="R73">
        <f>'emiss 2'!$G$118</f>
        <v>43694</v>
      </c>
      <c r="T73">
        <f>'emiss 2'!$I$118</f>
        <v>39636</v>
      </c>
      <c r="V73">
        <f>'emiss 2'!$K$118</f>
        <v>44874</v>
      </c>
      <c r="X73">
        <f>'emiss 2'!$G$118</f>
        <v>43694</v>
      </c>
      <c r="Z73">
        <f>'emiss 2'!$I$118</f>
        <v>39636</v>
      </c>
      <c r="AB73">
        <f>'emiss 2'!$K$118</f>
        <v>44874</v>
      </c>
      <c r="AD73">
        <f>X73</f>
        <v>43694</v>
      </c>
      <c r="AF73">
        <f>Z73</f>
        <v>39636</v>
      </c>
      <c r="AH73">
        <f>AB73</f>
        <v>44874</v>
      </c>
      <c r="AJ73">
        <f>F73</f>
        <v>43694</v>
      </c>
      <c r="AL73">
        <f>H73</f>
        <v>39636</v>
      </c>
      <c r="AN73">
        <f>J73</f>
        <v>44874</v>
      </c>
      <c r="AP73">
        <f>AVERAGE(AJ73,AL73,AN73)</f>
        <v>42734.666666666664</v>
      </c>
    </row>
    <row r="74" spans="2:42" ht="12.75">
      <c r="B74" s="80" t="s">
        <v>126</v>
      </c>
      <c r="C74" s="80"/>
      <c r="D74" s="80" t="s">
        <v>17</v>
      </c>
      <c r="F74">
        <f>'emiss 2'!$G$119</f>
        <v>6.6</v>
      </c>
      <c r="H74">
        <f>'emiss 2'!$I$119</f>
        <v>6.8</v>
      </c>
      <c r="J74">
        <f>'emiss 2'!$K$119</f>
        <v>7.6</v>
      </c>
      <c r="L74">
        <f>'emiss 2'!$G$119</f>
        <v>6.6</v>
      </c>
      <c r="N74">
        <f>'emiss 2'!$I$119</f>
        <v>6.8</v>
      </c>
      <c r="P74">
        <f>'emiss 2'!$K$119</f>
        <v>7.6</v>
      </c>
      <c r="R74">
        <f>'emiss 2'!$G$119</f>
        <v>6.6</v>
      </c>
      <c r="T74">
        <f>'emiss 2'!$I$119</f>
        <v>6.8</v>
      </c>
      <c r="V74">
        <f>'emiss 2'!$K$119</f>
        <v>7.6</v>
      </c>
      <c r="X74">
        <f>'emiss 2'!$G$119</f>
        <v>6.6</v>
      </c>
      <c r="Z74">
        <f>'emiss 2'!$I$119</f>
        <v>6.8</v>
      </c>
      <c r="AB74">
        <f>'emiss 2'!$K$119</f>
        <v>7.6</v>
      </c>
      <c r="AD74">
        <f>X74</f>
        <v>6.6</v>
      </c>
      <c r="AF74">
        <f>Z74</f>
        <v>6.8</v>
      </c>
      <c r="AH74">
        <f>AB74</f>
        <v>7.6</v>
      </c>
      <c r="AJ74">
        <f>F74</f>
        <v>6.6</v>
      </c>
      <c r="AL74">
        <f>H74</f>
        <v>6.8</v>
      </c>
      <c r="AN74">
        <f>J74</f>
        <v>7.6</v>
      </c>
      <c r="AP74">
        <f>AVERAGE(AJ74,AL74,AN74)</f>
        <v>7</v>
      </c>
    </row>
    <row r="75" spans="2:4" ht="12.75">
      <c r="B75" s="80"/>
      <c r="C75" s="80"/>
      <c r="D75" s="80"/>
    </row>
    <row r="76" spans="2:42" ht="12.75">
      <c r="B76" s="5" t="s">
        <v>374</v>
      </c>
      <c r="C76" s="80"/>
      <c r="D76" s="5" t="s">
        <v>373</v>
      </c>
      <c r="AJ76" s="51">
        <f>AJ73/9000*60*(21-AJ74)/21</f>
        <v>199.744</v>
      </c>
      <c r="AL76" s="51">
        <f>AL73/9000*60*(21-AL74)/21</f>
        <v>178.67657142857144</v>
      </c>
      <c r="AN76" s="51">
        <f>AN73/9000*60*(21-AN74)/21</f>
        <v>190.89257142857142</v>
      </c>
      <c r="AP76" s="51">
        <f>AP73/9000*60*(21-AP74)/21</f>
        <v>189.9318518518518</v>
      </c>
    </row>
    <row r="77" spans="2:4" ht="12.75">
      <c r="B77" s="80"/>
      <c r="C77" s="80"/>
      <c r="D77" s="80"/>
    </row>
    <row r="78" spans="2:4" ht="12.75">
      <c r="B78" s="102" t="s">
        <v>127</v>
      </c>
      <c r="C78" s="80"/>
      <c r="D78" s="80"/>
    </row>
    <row r="79" spans="2:51" ht="12.75">
      <c r="B79" t="s">
        <v>48</v>
      </c>
      <c r="C79" s="80"/>
      <c r="D79" s="80" t="s">
        <v>60</v>
      </c>
      <c r="F79" s="2">
        <f>F71/100*F68*454/60/0.0283/F73*(21-7)/(21-F74)*1000</f>
        <v>53623.668999106434</v>
      </c>
      <c r="G79" s="2"/>
      <c r="H79" s="2">
        <f>H71/100*H68*454/60/0.0283/H73*(21-7)/(21-H74)*1000</f>
        <v>70056.5683938777</v>
      </c>
      <c r="I79" s="2"/>
      <c r="J79" s="2">
        <f>J71/100*J68*454/60/0.0283/J73*(21-7)/(21-J74)*1000</f>
        <v>94037.05176573526</v>
      </c>
      <c r="K79" s="2"/>
      <c r="L79" s="2">
        <f>L71/100*L68*454/60/0.0283/L73*(21-7)/(21-L74)*1000</f>
        <v>539.5246001257739</v>
      </c>
      <c r="M79" s="2"/>
      <c r="N79" s="2">
        <f>N71/100*N68*454/60/0.0283/N73*(21-7)/(21-N74)*1000</f>
        <v>263.543046296691</v>
      </c>
      <c r="O79" s="2"/>
      <c r="P79" s="2">
        <f>P71/100*P68*454/60/0.0283/P73*(21-7)/(21-P74)*1000</f>
        <v>5.041711837162282</v>
      </c>
      <c r="Q79" s="2"/>
      <c r="R79" s="2">
        <f>R71/100*R68*454/60/0.0283/R73*(21-7)/(21-R74)*1000</f>
        <v>16.64123010315395</v>
      </c>
      <c r="S79" s="2"/>
      <c r="T79" s="2">
        <f>T71/100*T68*454/60/0.0283/T73*(21-7)/(21-T74)*1000</f>
        <v>37.68691566320422</v>
      </c>
      <c r="U79" s="2"/>
      <c r="V79" s="2">
        <f>V71/100*V68*454/60/0.0283/V73*(21-7)/(21-V74)*1000</f>
        <v>23.468642580691206</v>
      </c>
      <c r="W79" s="2"/>
      <c r="X79" s="2">
        <f>X71/100*X68*454/60/0.0283/X73*(21-7)/(21-X74)*1000</f>
        <v>2.7824622190923427</v>
      </c>
      <c r="Y79" s="2"/>
      <c r="Z79" s="2">
        <f>Z71/100*Z68*454/60/0.0283/Z73*(21-7)/(21-Z74)*1000</f>
        <v>6.1838305480618505</v>
      </c>
      <c r="AA79" s="2"/>
      <c r="AB79" s="2">
        <f>AB71/100*AB68*454/60/0.0283/AB73*(21-7)/(21-AB74)*1000</f>
        <v>5.789346843512685</v>
      </c>
      <c r="AC79" s="2"/>
      <c r="AD79" s="2"/>
      <c r="AE79" s="2"/>
      <c r="AF79" s="2"/>
      <c r="AG79" s="2"/>
      <c r="AH79" s="2"/>
      <c r="AI79" s="2"/>
      <c r="AJ79" s="2">
        <f>SUM(X79,R79,L79,F79)</f>
        <v>54182.61729155445</v>
      </c>
      <c r="AK79" s="2"/>
      <c r="AL79" s="2">
        <f>SUM(Z79,T79,N79,H79)</f>
        <v>70363.98218638565</v>
      </c>
      <c r="AM79" s="2"/>
      <c r="AN79" s="2">
        <f>SUM(AB79,V79,P79,J79)</f>
        <v>94071.35146699662</v>
      </c>
      <c r="AO79" s="2"/>
      <c r="AP79" s="2">
        <f>AVERAGE(AN79,AL79,AJ79)</f>
        <v>72872.6503149789</v>
      </c>
      <c r="AQ79" s="2"/>
      <c r="AR79" s="58">
        <f>F79+L79+R79+X79+AD79</f>
        <v>54182.61729155445</v>
      </c>
      <c r="AT79" s="58">
        <f>H79+N79+T79+Z79+AF79</f>
        <v>70363.98218638565</v>
      </c>
      <c r="AV79" s="58">
        <f>J79+P79+V79+AB79+AH79</f>
        <v>94071.35146699661</v>
      </c>
      <c r="AW79" s="2"/>
      <c r="AY79" s="2"/>
    </row>
    <row r="80" spans="2:51" ht="12.75">
      <c r="B80" t="s">
        <v>222</v>
      </c>
      <c r="C80" s="80"/>
      <c r="D80" s="80" t="s">
        <v>54</v>
      </c>
      <c r="E80">
        <v>100</v>
      </c>
      <c r="F80" s="2">
        <f>F69*F68/100*454/60/0.0283/F73*(21-7)/(21-F74)*1000000</f>
        <v>72366.62483010319</v>
      </c>
      <c r="G80" s="2">
        <v>100</v>
      </c>
      <c r="H80" s="2">
        <f>H69*H68/100*454/60/0.0283/H73*(21-7)/(21-H74)*1000000</f>
        <v>82129.62297054828</v>
      </c>
      <c r="I80" s="2">
        <v>100</v>
      </c>
      <c r="J80" s="2">
        <f>J69*J68/100*454/60/0.0283/J73*(21-7)/(21-J74)*1000000</f>
        <v>110501.82346149854</v>
      </c>
      <c r="K80" s="2"/>
      <c r="L80" s="2">
        <f>L69*L68/100*454/60/0.0283/L73*(21-7)/(21-L74)*1000000</f>
        <v>37392.79406812295</v>
      </c>
      <c r="M80" s="2"/>
      <c r="N80" s="2">
        <f>N69*N68/100*454/60/0.0283/N73*(21-7)/(21-N74)*1000000</f>
        <v>37649.00661381301</v>
      </c>
      <c r="O80" s="2"/>
      <c r="P80" s="2">
        <f>P69*P68/100*454/60/0.0283/P73*(21-7)/(21-P74)*1000000</f>
        <v>35291.98286013599</v>
      </c>
      <c r="Q80" s="2"/>
      <c r="R80" s="2">
        <f>R69*R68/100*454/60/0.0283/R73*(21-7)/(21-R74)*1000000</f>
        <v>13075.252223906667</v>
      </c>
      <c r="S80" s="2"/>
      <c r="T80" s="2">
        <f>T69*T68/100*454/60/0.0283/T73*(21-7)/(21-T74)*1000000</f>
        <v>15594.585791670712</v>
      </c>
      <c r="U80" s="2"/>
      <c r="V80" s="2">
        <f>V69*V68/100*454/60/0.0283/V73*(21-7)/(21-V74)*1000000</f>
        <v>5163.101367752066</v>
      </c>
      <c r="W80" s="2"/>
      <c r="X80" s="2">
        <f>X69*X68/100*454/60/0.0283/X73*(21-7)/(21-X74)*1000000</f>
        <v>2782.462219092343</v>
      </c>
      <c r="Y80" s="2"/>
      <c r="Z80" s="2">
        <f>Z69*Z68/100*454/60/0.0283/Z73*(21-7)/(21-Z74)*1000000</f>
        <v>3091.9152740309255</v>
      </c>
      <c r="AA80" s="2"/>
      <c r="AB80" s="2">
        <f>AB69*AB68/100*454/60/0.0283/AB73*(21-7)/(21-AB74)*1000000</f>
        <v>2894.6734217563426</v>
      </c>
      <c r="AC80" s="2"/>
      <c r="AD80" s="58">
        <v>4689213.690784265</v>
      </c>
      <c r="AE80" s="58"/>
      <c r="AF80" s="58">
        <v>4256934.045729714</v>
      </c>
      <c r="AG80" s="58"/>
      <c r="AH80" s="58">
        <v>4161241.888669662</v>
      </c>
      <c r="AI80" s="2">
        <f>AR80*AQ80/100/AJ80*100</f>
        <v>1.5029941336152142</v>
      </c>
      <c r="AJ80" s="2">
        <f>SUM(X80,R80,L80,F80,AD80)</f>
        <v>4814830.82412549</v>
      </c>
      <c r="AK80" s="2">
        <f>AT80*AS80/100/AL80*100</f>
        <v>1.8685361596257437</v>
      </c>
      <c r="AL80" s="2">
        <f>SUM(Z80,T80,N80,H80,AF80)</f>
        <v>4395399.1763797775</v>
      </c>
      <c r="AM80" s="2">
        <f>AV80*AU80/100/AN80*100</f>
        <v>2.560821086156257</v>
      </c>
      <c r="AN80" s="2">
        <f>SUM(AB80,V80,P80,J80,AH80)</f>
        <v>4315093.4697808055</v>
      </c>
      <c r="AO80" s="2">
        <f>SUM((AN80*AM80/100),(AL80*AK80/100),(AJ80*AI80/100))/AP80*100/3</f>
        <v>1.9592734461717463</v>
      </c>
      <c r="AP80" s="2">
        <f>AVERAGE(AN80,AL80,AJ80)</f>
        <v>4508441.156762025</v>
      </c>
      <c r="AQ80" s="2">
        <f>F80*E80/100/AR80*100</f>
        <v>1.5029941336152142</v>
      </c>
      <c r="AR80" s="58">
        <f>F80+L80+R80+X80+AD80</f>
        <v>4814830.82412549</v>
      </c>
      <c r="AS80" s="2">
        <f>H80*G80/100/AT80*100</f>
        <v>1.868536159625744</v>
      </c>
      <c r="AT80" s="58">
        <f>H80+N80+T80+Z80+AF80</f>
        <v>4395399.1763797775</v>
      </c>
      <c r="AU80" s="2">
        <f>J80*I80/100/AV80*100</f>
        <v>2.560821086156257</v>
      </c>
      <c r="AV80" s="58">
        <f>J80+P80+V80+AB80+AH80</f>
        <v>4315093.4697808055</v>
      </c>
      <c r="AW80" s="2"/>
      <c r="AY80" s="2"/>
    </row>
    <row r="81" spans="2:4" ht="12.75">
      <c r="B81" s="80"/>
      <c r="C81" s="80"/>
      <c r="D81" s="80"/>
    </row>
    <row r="82" spans="2:51" ht="12.75">
      <c r="B82" s="3" t="s">
        <v>194</v>
      </c>
      <c r="C82" s="3"/>
      <c r="F82" s="46" t="s">
        <v>209</v>
      </c>
      <c r="G82" s="46"/>
      <c r="H82" s="46" t="s">
        <v>210</v>
      </c>
      <c r="I82" s="46"/>
      <c r="J82" s="46" t="s">
        <v>211</v>
      </c>
      <c r="K82" s="46"/>
      <c r="L82" s="46" t="s">
        <v>209</v>
      </c>
      <c r="M82" s="46"/>
      <c r="N82" s="46" t="s">
        <v>210</v>
      </c>
      <c r="O82" s="46"/>
      <c r="P82" s="46" t="s">
        <v>211</v>
      </c>
      <c r="Q82" s="46"/>
      <c r="R82" s="46" t="s">
        <v>209</v>
      </c>
      <c r="S82" s="46"/>
      <c r="T82" s="46" t="s">
        <v>210</v>
      </c>
      <c r="U82" s="46"/>
      <c r="V82" s="46" t="s">
        <v>211</v>
      </c>
      <c r="W82" s="46"/>
      <c r="X82" s="46" t="s">
        <v>209</v>
      </c>
      <c r="Y82" s="46"/>
      <c r="Z82" s="46" t="s">
        <v>210</v>
      </c>
      <c r="AA82" s="46"/>
      <c r="AB82" s="46" t="s">
        <v>211</v>
      </c>
      <c r="AC82" s="46"/>
      <c r="AD82" s="46" t="s">
        <v>209</v>
      </c>
      <c r="AE82" s="46"/>
      <c r="AF82" s="46" t="s">
        <v>210</v>
      </c>
      <c r="AG82" s="46"/>
      <c r="AH82" s="46" t="s">
        <v>211</v>
      </c>
      <c r="AI82" s="46"/>
      <c r="AJ82" s="46" t="s">
        <v>209</v>
      </c>
      <c r="AK82" s="46"/>
      <c r="AL82" s="46" t="s">
        <v>210</v>
      </c>
      <c r="AM82" s="46"/>
      <c r="AN82" s="46" t="s">
        <v>211</v>
      </c>
      <c r="AO82" s="46"/>
      <c r="AP82" s="46" t="s">
        <v>46</v>
      </c>
      <c r="AQ82" s="46"/>
      <c r="AR82" t="s">
        <v>209</v>
      </c>
      <c r="AS82" s="46"/>
      <c r="AT82" t="s">
        <v>210</v>
      </c>
      <c r="AU82" s="46"/>
      <c r="AV82" t="s">
        <v>211</v>
      </c>
      <c r="AW82" s="46"/>
      <c r="AY82" s="46"/>
    </row>
    <row r="84" spans="2:42" ht="12.75">
      <c r="B84" t="s">
        <v>358</v>
      </c>
      <c r="F84" t="s">
        <v>360</v>
      </c>
      <c r="H84" t="s">
        <v>360</v>
      </c>
      <c r="J84" t="s">
        <v>360</v>
      </c>
      <c r="L84" t="s">
        <v>362</v>
      </c>
      <c r="N84" t="s">
        <v>362</v>
      </c>
      <c r="P84" t="s">
        <v>362</v>
      </c>
      <c r="R84" t="s">
        <v>363</v>
      </c>
      <c r="T84" t="s">
        <v>363</v>
      </c>
      <c r="V84" t="s">
        <v>363</v>
      </c>
      <c r="X84" t="s">
        <v>364</v>
      </c>
      <c r="Z84" t="s">
        <v>364</v>
      </c>
      <c r="AB84" t="s">
        <v>364</v>
      </c>
      <c r="AD84" t="s">
        <v>366</v>
      </c>
      <c r="AF84" t="s">
        <v>366</v>
      </c>
      <c r="AH84" t="s">
        <v>366</v>
      </c>
      <c r="AJ84" t="s">
        <v>367</v>
      </c>
      <c r="AL84" t="s">
        <v>367</v>
      </c>
      <c r="AN84" t="s">
        <v>367</v>
      </c>
      <c r="AP84" t="s">
        <v>367</v>
      </c>
    </row>
    <row r="85" spans="2:42" ht="12.75">
      <c r="B85" t="s">
        <v>359</v>
      </c>
      <c r="F85" t="s">
        <v>365</v>
      </c>
      <c r="H85" t="s">
        <v>365</v>
      </c>
      <c r="J85" t="s">
        <v>365</v>
      </c>
      <c r="L85" t="s">
        <v>361</v>
      </c>
      <c r="N85" t="s">
        <v>361</v>
      </c>
      <c r="P85" t="s">
        <v>361</v>
      </c>
      <c r="R85" t="s">
        <v>361</v>
      </c>
      <c r="T85" t="s">
        <v>361</v>
      </c>
      <c r="V85" t="s">
        <v>361</v>
      </c>
      <c r="X85" t="s">
        <v>361</v>
      </c>
      <c r="Z85" t="s">
        <v>361</v>
      </c>
      <c r="AB85" t="s">
        <v>361</v>
      </c>
      <c r="AD85" t="s">
        <v>361</v>
      </c>
      <c r="AF85" t="s">
        <v>361</v>
      </c>
      <c r="AH85" t="s">
        <v>361</v>
      </c>
      <c r="AJ85" t="s">
        <v>24</v>
      </c>
      <c r="AL85" t="s">
        <v>24</v>
      </c>
      <c r="AN85" t="s">
        <v>24</v>
      </c>
      <c r="AP85" t="s">
        <v>24</v>
      </c>
    </row>
    <row r="86" spans="2:48" ht="12.75">
      <c r="B86" s="5" t="s">
        <v>371</v>
      </c>
      <c r="AJ86" t="s">
        <v>24</v>
      </c>
      <c r="AL86" t="s">
        <v>24</v>
      </c>
      <c r="AN86" t="s">
        <v>24</v>
      </c>
      <c r="AP86" t="s">
        <v>24</v>
      </c>
      <c r="AR86" t="s">
        <v>61</v>
      </c>
      <c r="AT86" t="s">
        <v>61</v>
      </c>
      <c r="AV86" t="s">
        <v>61</v>
      </c>
    </row>
    <row r="87" spans="2:36" ht="12.75">
      <c r="B87" t="s">
        <v>47</v>
      </c>
      <c r="F87" t="s">
        <v>225</v>
      </c>
      <c r="L87" t="s">
        <v>226</v>
      </c>
      <c r="R87" t="s">
        <v>227</v>
      </c>
      <c r="X87" t="s">
        <v>228</v>
      </c>
      <c r="AD87" t="s">
        <v>229</v>
      </c>
      <c r="AJ87" t="s">
        <v>24</v>
      </c>
    </row>
    <row r="88" spans="2:28" ht="12.75">
      <c r="B88" t="s">
        <v>230</v>
      </c>
      <c r="D88" t="s">
        <v>52</v>
      </c>
      <c r="F88">
        <v>18597</v>
      </c>
      <c r="H88">
        <v>19909</v>
      </c>
      <c r="J88">
        <v>22110</v>
      </c>
      <c r="L88">
        <v>10884</v>
      </c>
      <c r="N88">
        <v>9312</v>
      </c>
      <c r="P88">
        <v>8284</v>
      </c>
      <c r="R88">
        <v>2150</v>
      </c>
      <c r="T88">
        <v>2560</v>
      </c>
      <c r="V88">
        <v>2451</v>
      </c>
      <c r="X88">
        <v>2146</v>
      </c>
      <c r="Z88">
        <v>1829</v>
      </c>
      <c r="AB88">
        <v>2295</v>
      </c>
    </row>
    <row r="89" spans="2:28" ht="12.75">
      <c r="B89" t="s">
        <v>222</v>
      </c>
      <c r="D89" t="s">
        <v>231</v>
      </c>
      <c r="E89" t="s">
        <v>97</v>
      </c>
      <c r="F89">
        <v>0.1</v>
      </c>
      <c r="G89" t="s">
        <v>97</v>
      </c>
      <c r="H89">
        <v>0.1</v>
      </c>
      <c r="I89" t="s">
        <v>97</v>
      </c>
      <c r="J89">
        <v>0.1</v>
      </c>
      <c r="L89">
        <v>0.74</v>
      </c>
      <c r="N89">
        <v>0.12</v>
      </c>
      <c r="P89">
        <v>0.11</v>
      </c>
      <c r="R89">
        <v>0.04</v>
      </c>
      <c r="T89">
        <v>0.03</v>
      </c>
      <c r="V89">
        <v>0.03</v>
      </c>
      <c r="X89">
        <v>0.02</v>
      </c>
      <c r="Z89">
        <v>0.02</v>
      </c>
      <c r="AB89">
        <v>0.02</v>
      </c>
    </row>
    <row r="90" spans="2:34" ht="12.75">
      <c r="B90" t="s">
        <v>222</v>
      </c>
      <c r="D90" t="s">
        <v>52</v>
      </c>
      <c r="AD90">
        <v>619</v>
      </c>
      <c r="AF90">
        <v>619</v>
      </c>
      <c r="AH90">
        <v>619</v>
      </c>
    </row>
    <row r="91" spans="2:28" ht="12.75">
      <c r="B91" t="s">
        <v>48</v>
      </c>
      <c r="D91" t="s">
        <v>231</v>
      </c>
      <c r="F91">
        <v>85.3</v>
      </c>
      <c r="H91">
        <v>84</v>
      </c>
      <c r="J91">
        <v>84.3</v>
      </c>
      <c r="L91">
        <v>2.59</v>
      </c>
      <c r="N91">
        <v>0.29</v>
      </c>
      <c r="P91">
        <v>0.34</v>
      </c>
      <c r="R91">
        <v>0.05</v>
      </c>
      <c r="T91">
        <v>0.07</v>
      </c>
      <c r="V91">
        <v>0.09</v>
      </c>
      <c r="X91">
        <v>0.09</v>
      </c>
      <c r="Z91">
        <v>0.08</v>
      </c>
      <c r="AB91">
        <v>0.09</v>
      </c>
    </row>
    <row r="93" spans="2:42" ht="12.75">
      <c r="B93" s="80" t="s">
        <v>125</v>
      </c>
      <c r="C93" s="80"/>
      <c r="D93" s="80" t="s">
        <v>16</v>
      </c>
      <c r="F93">
        <f>'emiss 2'!$G$142</f>
        <v>33708</v>
      </c>
      <c r="H93">
        <f>'emiss 2'!$I$142</f>
        <v>32836</v>
      </c>
      <c r="J93">
        <f>'emiss 2'!$K$142</f>
        <v>33667</v>
      </c>
      <c r="L93">
        <f>'emiss 2'!$G$142</f>
        <v>33708</v>
      </c>
      <c r="N93">
        <f>'emiss 2'!$I$142</f>
        <v>32836</v>
      </c>
      <c r="P93">
        <f>'emiss 2'!$K$142</f>
        <v>33667</v>
      </c>
      <c r="R93">
        <f>'emiss 2'!$G$142</f>
        <v>33708</v>
      </c>
      <c r="T93">
        <f>'emiss 2'!$I$142</f>
        <v>32836</v>
      </c>
      <c r="V93">
        <f>'emiss 2'!$K$142</f>
        <v>33667</v>
      </c>
      <c r="X93">
        <f>'emiss 2'!$G$142</f>
        <v>33708</v>
      </c>
      <c r="Z93">
        <f>'emiss 2'!$I$142</f>
        <v>32836</v>
      </c>
      <c r="AB93">
        <f>'emiss 2'!$K$142</f>
        <v>33667</v>
      </c>
      <c r="AD93">
        <f>X93</f>
        <v>33708</v>
      </c>
      <c r="AF93">
        <f>Z93</f>
        <v>32836</v>
      </c>
      <c r="AH93">
        <f>AB93</f>
        <v>33667</v>
      </c>
      <c r="AJ93">
        <f>F93</f>
        <v>33708</v>
      </c>
      <c r="AL93">
        <f>H93</f>
        <v>32836</v>
      </c>
      <c r="AN93">
        <f>J93</f>
        <v>33667</v>
      </c>
      <c r="AP93">
        <f>AVERAGE(AJ93,AL93,AN93)</f>
        <v>33403.666666666664</v>
      </c>
    </row>
    <row r="94" spans="2:42" ht="12.75">
      <c r="B94" s="80" t="s">
        <v>126</v>
      </c>
      <c r="C94" s="80"/>
      <c r="D94" s="80" t="s">
        <v>17</v>
      </c>
      <c r="F94">
        <f>'emiss 2'!$G$143</f>
        <v>8.8</v>
      </c>
      <c r="H94">
        <f>'emiss 2'!$I$143</f>
        <v>10.1</v>
      </c>
      <c r="J94">
        <f>'emiss 2'!$K$143</f>
        <v>8.3</v>
      </c>
      <c r="L94">
        <f>'emiss 2'!$G$143</f>
        <v>8.8</v>
      </c>
      <c r="N94">
        <f>'emiss 2'!$I$143</f>
        <v>10.1</v>
      </c>
      <c r="P94">
        <f>'emiss 2'!$K$143</f>
        <v>8.3</v>
      </c>
      <c r="R94">
        <f>'emiss 2'!$G$143</f>
        <v>8.8</v>
      </c>
      <c r="T94">
        <f>'emiss 2'!$I$143</f>
        <v>10.1</v>
      </c>
      <c r="V94">
        <f>'emiss 2'!$K$143</f>
        <v>8.3</v>
      </c>
      <c r="X94">
        <f>'emiss 2'!$G$143</f>
        <v>8.8</v>
      </c>
      <c r="Z94">
        <f>'emiss 2'!$I$143</f>
        <v>10.1</v>
      </c>
      <c r="AB94">
        <f>'emiss 2'!$K$143</f>
        <v>8.3</v>
      </c>
      <c r="AD94">
        <f>X94</f>
        <v>8.8</v>
      </c>
      <c r="AF94">
        <f>Z94</f>
        <v>10.1</v>
      </c>
      <c r="AH94">
        <f>AB94</f>
        <v>8.3</v>
      </c>
      <c r="AJ94">
        <f>F94</f>
        <v>8.8</v>
      </c>
      <c r="AL94">
        <f>H94</f>
        <v>10.1</v>
      </c>
      <c r="AN94">
        <f>J94</f>
        <v>8.3</v>
      </c>
      <c r="AP94">
        <f>AVERAGE(AJ94,AL94,AN94)</f>
        <v>9.066666666666666</v>
      </c>
    </row>
    <row r="95" spans="2:4" ht="12.75">
      <c r="B95" s="80"/>
      <c r="C95" s="80"/>
      <c r="D95" s="80"/>
    </row>
    <row r="96" spans="2:42" ht="12.75">
      <c r="B96" s="5" t="s">
        <v>374</v>
      </c>
      <c r="C96" s="80"/>
      <c r="D96" s="5" t="s">
        <v>373</v>
      </c>
      <c r="AJ96" s="51">
        <f>AJ93/9000*60*(21-AJ94)/21</f>
        <v>130.55161904761903</v>
      </c>
      <c r="AL96" s="51">
        <f>AL93/9000*60*(21-AL94)/21</f>
        <v>113.62298412698412</v>
      </c>
      <c r="AN96" s="51">
        <f>AN93/9000*60*(21-AN94)/21</f>
        <v>135.73679365079366</v>
      </c>
      <c r="AP96" s="51">
        <f>AP93/9000*60*(21-AP94)/21</f>
        <v>126.54510758377425</v>
      </c>
    </row>
    <row r="97" spans="2:4" ht="12.75">
      <c r="B97" s="80"/>
      <c r="C97" s="80"/>
      <c r="D97" s="80"/>
    </row>
    <row r="98" spans="2:4" ht="12.75">
      <c r="B98" s="102" t="s">
        <v>127</v>
      </c>
      <c r="C98" s="80"/>
      <c r="D98" s="80"/>
    </row>
    <row r="99" spans="2:51" ht="12.75">
      <c r="B99" t="s">
        <v>48</v>
      </c>
      <c r="C99" s="80"/>
      <c r="D99" s="80" t="s">
        <v>60</v>
      </c>
      <c r="F99" s="2">
        <f>F91/100*F88*454/60/0.0283/F93*(21-7)/(21-F94)*1000</f>
        <v>144392.72380333487</v>
      </c>
      <c r="G99" s="2"/>
      <c r="H99" s="2">
        <f>H91/100*H88*454/60/0.0283/H93*(21-7)/(21-H94)*1000</f>
        <v>174903.37519586438</v>
      </c>
      <c r="I99" s="2"/>
      <c r="J99" s="2">
        <f>J91/100*J88*454/60/0.0283/J93*(21-7)/(21-J94)*1000</f>
        <v>163175.28499459982</v>
      </c>
      <c r="K99" s="2"/>
      <c r="L99" s="2">
        <f>L91/100*L88*454/60/0.0283/L93*(21-7)/(21-L94)*1000</f>
        <v>2565.91156322818</v>
      </c>
      <c r="M99" s="2"/>
      <c r="N99" s="2">
        <f>N91/100*N88*454/60/0.0283/N93*(21-7)/(21-N94)*1000</f>
        <v>282.4297378362788</v>
      </c>
      <c r="O99" s="2"/>
      <c r="P99" s="2">
        <f>P91/100*P88*454/60/0.0283/P93*(21-7)/(21-P94)*1000</f>
        <v>246.57955810529475</v>
      </c>
      <c r="Q99" s="2"/>
      <c r="R99" s="2">
        <f>R91/100*R88*454/60/0.0283/R93*(21-7)/(21-R94)*1000</f>
        <v>9.785023003091547</v>
      </c>
      <c r="S99" s="2"/>
      <c r="T99" s="2">
        <f>T91/100*T88*454/60/0.0283/T93*(21-7)/(21-T94)*1000</f>
        <v>18.74163445767463</v>
      </c>
      <c r="U99" s="2"/>
      <c r="V99" s="2">
        <f>V91/100*V88*454/60/0.0283/V93*(21-7)/(21-V94)*1000</f>
        <v>19.3118501727096</v>
      </c>
      <c r="W99" s="2"/>
      <c r="X99" s="2">
        <f>X91/100*X88*454/60/0.0283/X93*(21-7)/(21-X94)*1000</f>
        <v>17.580272956438154</v>
      </c>
      <c r="Y99" s="2"/>
      <c r="Z99" s="2">
        <f>Z91/100*Z88*454/60/0.0283/Z93*(21-7)/(21-Z94)*1000</f>
        <v>15.302879206735222</v>
      </c>
      <c r="AA99" s="2"/>
      <c r="AB99" s="2">
        <f>AB91/100*AB88*454/60/0.0283/AB93*(21-7)/(21-AB94)*1000</f>
        <v>18.08269936612344</v>
      </c>
      <c r="AC99" s="2"/>
      <c r="AD99" s="2"/>
      <c r="AE99" s="2"/>
      <c r="AF99" s="2"/>
      <c r="AG99" s="2"/>
      <c r="AH99" s="2"/>
      <c r="AI99" s="2"/>
      <c r="AJ99" s="2">
        <f>SUM(X99,R99,L99,F99)</f>
        <v>146986.00066252257</v>
      </c>
      <c r="AK99" s="2"/>
      <c r="AL99" s="2">
        <f>SUM(Z99,T99,N99,H99)</f>
        <v>175219.84944736506</v>
      </c>
      <c r="AM99" s="2"/>
      <c r="AN99" s="2">
        <f>SUM(AB99,V99,P99,J99)</f>
        <v>163459.25910224393</v>
      </c>
      <c r="AO99" s="2"/>
      <c r="AP99" s="2">
        <f>AVERAGE(AN99,AL99,AJ99)</f>
        <v>161888.3697373772</v>
      </c>
      <c r="AQ99" s="2"/>
      <c r="AR99" s="58">
        <f>F99+L99+R99+X99+AD99</f>
        <v>146986.00066252257</v>
      </c>
      <c r="AT99" s="58">
        <f>H99+N99+T99+Z99+AF99</f>
        <v>175219.84944736506</v>
      </c>
      <c r="AV99" s="58">
        <f>J99+P99+V99+AB99+AH99</f>
        <v>163459.25910224393</v>
      </c>
      <c r="AW99" s="2"/>
      <c r="AY99" s="2"/>
    </row>
    <row r="100" spans="2:51" ht="12.75">
      <c r="B100" t="s">
        <v>222</v>
      </c>
      <c r="C100" s="80"/>
      <c r="D100" s="80" t="s">
        <v>54</v>
      </c>
      <c r="E100">
        <v>100</v>
      </c>
      <c r="F100" s="2">
        <f>F89*F88/100*454/60/0.0283/F93*(21-7)/(21-F94)*1000000</f>
        <v>169276.34677999397</v>
      </c>
      <c r="G100" s="2">
        <v>100</v>
      </c>
      <c r="H100" s="2">
        <f>H89*H88/100*454/60/0.0283/H93*(21-7)/(21-H94)*1000000</f>
        <v>208218.30380460052</v>
      </c>
      <c r="I100" s="2">
        <v>100</v>
      </c>
      <c r="J100" s="2">
        <f>J89*J88/100*454/60/0.0283/J93*(21-7)/(21-J94)*1000000</f>
        <v>193564.9881311979</v>
      </c>
      <c r="K100" s="2"/>
      <c r="L100" s="2">
        <f>L89*L88/100*454/60/0.0283/L93*(21-7)/(21-L94)*1000000</f>
        <v>733117.5894937658</v>
      </c>
      <c r="M100" s="2"/>
      <c r="N100" s="2">
        <f>N89*N88/100*454/60/0.0283/N93*(21-7)/(21-N94)*1000000</f>
        <v>116867.47772535674</v>
      </c>
      <c r="O100" s="2"/>
      <c r="P100" s="2">
        <f>P89*P88/100*454/60/0.0283/P93*(21-7)/(21-P94)*1000000</f>
        <v>79775.73938700714</v>
      </c>
      <c r="Q100" s="2"/>
      <c r="R100" s="2">
        <f>R89*R88/100*454/60/0.0283/R93*(21-7)/(21-R94)*1000000</f>
        <v>7828.018402473238</v>
      </c>
      <c r="S100" s="2"/>
      <c r="T100" s="2">
        <f>T89*T88/100*454/60/0.0283/T93*(21-7)/(21-T94)*1000000</f>
        <v>8032.1290532891235</v>
      </c>
      <c r="U100" s="2"/>
      <c r="V100" s="2">
        <f>V89*V88/100*454/60/0.0283/V93*(21-7)/(21-V94)*1000000</f>
        <v>6437.283390903203</v>
      </c>
      <c r="W100" s="2"/>
      <c r="X100" s="2">
        <f>X89*X88/100*454/60/0.0283/X93*(21-7)/(21-X94)*1000000</f>
        <v>3906.7273236529236</v>
      </c>
      <c r="Y100" s="2"/>
      <c r="Z100" s="2">
        <f>Z89*Z88/100*454/60/0.0283/Z93*(21-7)/(21-Z94)*1000000</f>
        <v>3825.7198016838042</v>
      </c>
      <c r="AA100" s="2"/>
      <c r="AB100" s="2">
        <f>AB89*AB88/100*454/60/0.0283/AB93*(21-7)/(21-AB94)*1000000</f>
        <v>4018.37763691632</v>
      </c>
      <c r="AC100" s="2"/>
      <c r="AD100" s="58">
        <v>4689213.690784265</v>
      </c>
      <c r="AE100" s="58"/>
      <c r="AF100" s="58">
        <v>4256934.045729714</v>
      </c>
      <c r="AG100" s="58"/>
      <c r="AH100" s="58">
        <v>4161241.888669662</v>
      </c>
      <c r="AI100" s="2">
        <f>AR100*AQ100/100/AJ100*100</f>
        <v>3.0209888227102044</v>
      </c>
      <c r="AJ100" s="2">
        <f>SUM(AD100,X100,R100,L100,F100)</f>
        <v>5603342.372784151</v>
      </c>
      <c r="AK100" s="2">
        <f>AT100*AS100/100/AL100*100</f>
        <v>4.532517373878029</v>
      </c>
      <c r="AL100" s="2">
        <f>SUM(AF100,Z100,T100,N100,H100)</f>
        <v>4593877.676114645</v>
      </c>
      <c r="AM100" s="2">
        <f>AV100*AU100/100/AN100*100</f>
        <v>4.354630400448305</v>
      </c>
      <c r="AN100" s="2">
        <f>SUM(AH100,AB100,V100,P100,J100)</f>
        <v>4445038.277215688</v>
      </c>
      <c r="AO100" s="2">
        <f>SUM((AN100*AM100/100),(AL100*AK100/100),(AJ100*AI100/100))/AP100*100/3</f>
        <v>3.900078976870029</v>
      </c>
      <c r="AP100" s="2">
        <f>AVERAGE(AN100,AL100,AJ100)</f>
        <v>4880752.775371495</v>
      </c>
      <c r="AQ100" s="2">
        <f>F100*E100/100/AR100*100</f>
        <v>3.0209888227102044</v>
      </c>
      <c r="AR100" s="58">
        <f>F100+L100+R100+X100+AD100</f>
        <v>5603342.372784151</v>
      </c>
      <c r="AS100" s="2">
        <f>H100*G100/100/AT100*100</f>
        <v>4.532517373878029</v>
      </c>
      <c r="AT100" s="58">
        <f>H100+N100+T100+Z100+AF100</f>
        <v>4593877.676114645</v>
      </c>
      <c r="AU100" s="2">
        <f>J100*I100/100/AV100*100</f>
        <v>4.354630400448306</v>
      </c>
      <c r="AV100" s="58">
        <f>J100+P100+V100+AB100+AH100</f>
        <v>4445038.277215687</v>
      </c>
      <c r="AW100" s="2"/>
      <c r="AY100" s="2"/>
    </row>
    <row r="102" spans="2:12" ht="12.75">
      <c r="B102" s="3" t="s">
        <v>196</v>
      </c>
      <c r="F102" s="46" t="s">
        <v>209</v>
      </c>
      <c r="G102" s="46"/>
      <c r="H102" s="46" t="s">
        <v>210</v>
      </c>
      <c r="I102" s="46"/>
      <c r="J102" s="46" t="s">
        <v>211</v>
      </c>
      <c r="K102" s="46"/>
      <c r="L102" s="46" t="s">
        <v>46</v>
      </c>
    </row>
    <row r="103" ht="12.75">
      <c r="B103" s="3"/>
    </row>
    <row r="104" spans="2:12" ht="12.75">
      <c r="B104" s="9" t="s">
        <v>358</v>
      </c>
      <c r="F104" t="s">
        <v>360</v>
      </c>
      <c r="H104" t="s">
        <v>360</v>
      </c>
      <c r="J104" t="s">
        <v>360</v>
      </c>
      <c r="L104" t="s">
        <v>360</v>
      </c>
    </row>
    <row r="105" spans="2:12" ht="12.75">
      <c r="B105" s="9" t="s">
        <v>359</v>
      </c>
      <c r="F105" t="s">
        <v>24</v>
      </c>
      <c r="H105" t="s">
        <v>24</v>
      </c>
      <c r="J105" t="s">
        <v>24</v>
      </c>
      <c r="L105" t="s">
        <v>24</v>
      </c>
    </row>
    <row r="106" spans="2:12" ht="12.75">
      <c r="B106" s="5" t="s">
        <v>371</v>
      </c>
      <c r="F106" t="s">
        <v>24</v>
      </c>
      <c r="H106" t="s">
        <v>24</v>
      </c>
      <c r="J106" t="s">
        <v>24</v>
      </c>
      <c r="L106" t="s">
        <v>24</v>
      </c>
    </row>
    <row r="107" spans="2:6" ht="12.75">
      <c r="B107" t="s">
        <v>47</v>
      </c>
      <c r="F107" t="s">
        <v>24</v>
      </c>
    </row>
    <row r="108" spans="2:10" ht="12.75">
      <c r="B108" t="s">
        <v>48</v>
      </c>
      <c r="D108" t="s">
        <v>52</v>
      </c>
      <c r="F108">
        <v>697</v>
      </c>
      <c r="H108">
        <v>750</v>
      </c>
      <c r="J108">
        <v>910</v>
      </c>
    </row>
    <row r="109" spans="2:10" ht="12.75">
      <c r="B109" t="s">
        <v>222</v>
      </c>
      <c r="D109" t="s">
        <v>52</v>
      </c>
      <c r="F109">
        <v>1560</v>
      </c>
      <c r="H109">
        <v>1602</v>
      </c>
      <c r="J109">
        <v>1664</v>
      </c>
    </row>
    <row r="111" spans="2:12" ht="12.75">
      <c r="B111" s="80" t="s">
        <v>125</v>
      </c>
      <c r="C111" s="80"/>
      <c r="D111" s="80" t="s">
        <v>16</v>
      </c>
      <c r="F111">
        <f>'emiss 2'!G160</f>
        <v>33800</v>
      </c>
      <c r="H111">
        <f>'emiss 2'!I160</f>
        <v>33800</v>
      </c>
      <c r="J111">
        <f>'emiss 2'!K160</f>
        <v>33500</v>
      </c>
      <c r="L111">
        <f>AVERAGE(F111,H111,J111)</f>
        <v>33700</v>
      </c>
    </row>
    <row r="112" spans="2:12" ht="12.75">
      <c r="B112" s="80" t="s">
        <v>126</v>
      </c>
      <c r="C112" s="80"/>
      <c r="D112" s="80" t="s">
        <v>17</v>
      </c>
      <c r="F112">
        <f>'emiss 2'!G161</f>
        <v>7.2</v>
      </c>
      <c r="H112">
        <f>'emiss 2'!I161</f>
        <v>7.4</v>
      </c>
      <c r="J112">
        <f>'emiss 2'!K161</f>
        <v>7.2</v>
      </c>
      <c r="L112" s="2">
        <f>AVERAGE(F112,H112,J112)</f>
        <v>7.266666666666667</v>
      </c>
    </row>
    <row r="113" spans="2:4" ht="12.75">
      <c r="B113" s="80"/>
      <c r="C113" s="80"/>
      <c r="D113" s="80"/>
    </row>
    <row r="114" spans="2:12" ht="12.75">
      <c r="B114" s="5" t="s">
        <v>374</v>
      </c>
      <c r="C114" s="80"/>
      <c r="D114" s="5" t="s">
        <v>373</v>
      </c>
      <c r="F114" s="51">
        <f>F111/9000*60*(21-F112)/21</f>
        <v>148.0761904761905</v>
      </c>
      <c r="H114" s="51">
        <f>H111/9000*60*(21-H112)/21</f>
        <v>145.93015873015872</v>
      </c>
      <c r="J114" s="51">
        <f>J111/9000*60*(21-J112)/21</f>
        <v>146.7619047619048</v>
      </c>
      <c r="L114" s="51">
        <f>L111/9000*60*(21-L112)/21</f>
        <v>146.92486772486774</v>
      </c>
    </row>
    <row r="115" spans="2:4" ht="12.75">
      <c r="B115" s="80"/>
      <c r="C115" s="80"/>
      <c r="D115" s="80"/>
    </row>
    <row r="116" spans="2:4" ht="12.75">
      <c r="B116" s="102" t="s">
        <v>127</v>
      </c>
      <c r="C116" s="80"/>
      <c r="D116" s="80"/>
    </row>
    <row r="117" spans="2:12" ht="12.75">
      <c r="B117" t="s">
        <v>48</v>
      </c>
      <c r="C117" s="80"/>
      <c r="D117" s="80" t="s">
        <v>60</v>
      </c>
      <c r="F117" s="2">
        <f>F108*454/60/0.0283/F111*(21-7)/(21-F112)*1000</f>
        <v>5593.494225211256</v>
      </c>
      <c r="H117" s="2">
        <f>H108*454/60/0.0283/H111*(21-7)/(21-H112)*1000</f>
        <v>6107.336613948066</v>
      </c>
      <c r="J117" s="2">
        <f>J108*454/60/0.0283/J111*(21-7)/(21-J112)*1000</f>
        <v>7368.238950686216</v>
      </c>
      <c r="L117" s="2">
        <f>AVERAGE(J117,H117,F117)</f>
        <v>6356.35659661518</v>
      </c>
    </row>
    <row r="118" spans="2:12" ht="12.75">
      <c r="B118" t="s">
        <v>222</v>
      </c>
      <c r="C118" s="80"/>
      <c r="D118" s="80" t="s">
        <v>54</v>
      </c>
      <c r="F118">
        <f>F109*454/60/0.0283/F111*(21-7)/(21-F112)*1000000</f>
        <v>12519154.937345138</v>
      </c>
      <c r="H118">
        <f>H109*454/60/0.0283/H111*(21-7)/(21-H112)*1000000</f>
        <v>13045271.007393068</v>
      </c>
      <c r="J118">
        <f>J109*454/60/0.0283/J111*(21-7)/(21-J112)*1000000</f>
        <v>13473351.224111935</v>
      </c>
      <c r="L118" s="2">
        <f>AVERAGE(J118,H118,F118)</f>
        <v>13012592.389616713</v>
      </c>
    </row>
    <row r="120" spans="2:14" ht="12.75">
      <c r="B120" s="3" t="s">
        <v>198</v>
      </c>
      <c r="F120" s="46" t="s">
        <v>209</v>
      </c>
      <c r="G120" s="46"/>
      <c r="H120" s="46" t="s">
        <v>210</v>
      </c>
      <c r="I120" s="46"/>
      <c r="J120" s="46" t="s">
        <v>211</v>
      </c>
      <c r="K120" s="46"/>
      <c r="L120" s="46" t="s">
        <v>232</v>
      </c>
      <c r="M120" s="46"/>
      <c r="N120" s="46" t="s">
        <v>46</v>
      </c>
    </row>
    <row r="121" ht="12.75">
      <c r="B121" s="3"/>
    </row>
    <row r="122" spans="2:14" ht="12.75">
      <c r="B122" s="9" t="s">
        <v>358</v>
      </c>
      <c r="F122" t="s">
        <v>360</v>
      </c>
      <c r="H122" t="s">
        <v>360</v>
      </c>
      <c r="J122" t="s">
        <v>360</v>
      </c>
      <c r="L122" t="s">
        <v>360</v>
      </c>
      <c r="N122" t="s">
        <v>360</v>
      </c>
    </row>
    <row r="123" spans="2:14" ht="12.75">
      <c r="B123" s="9" t="s">
        <v>359</v>
      </c>
      <c r="F123" t="s">
        <v>24</v>
      </c>
      <c r="H123" t="s">
        <v>24</v>
      </c>
      <c r="J123" t="s">
        <v>24</v>
      </c>
      <c r="L123" t="s">
        <v>24</v>
      </c>
      <c r="N123" t="s">
        <v>24</v>
      </c>
    </row>
    <row r="124" spans="2:14" ht="12.75">
      <c r="B124" s="5" t="s">
        <v>371</v>
      </c>
      <c r="F124" t="s">
        <v>24</v>
      </c>
      <c r="H124" t="s">
        <v>24</v>
      </c>
      <c r="J124" t="s">
        <v>24</v>
      </c>
      <c r="L124" t="s">
        <v>24</v>
      </c>
      <c r="N124" t="s">
        <v>24</v>
      </c>
    </row>
    <row r="125" spans="2:6" ht="12.75">
      <c r="B125" t="s">
        <v>47</v>
      </c>
      <c r="F125" t="s">
        <v>24</v>
      </c>
    </row>
    <row r="126" spans="2:12" ht="12.75">
      <c r="B126" t="s">
        <v>48</v>
      </c>
      <c r="D126" t="s">
        <v>52</v>
      </c>
      <c r="F126">
        <v>2751</v>
      </c>
      <c r="H126">
        <v>2687</v>
      </c>
      <c r="J126">
        <v>2697</v>
      </c>
      <c r="L126">
        <v>2653</v>
      </c>
    </row>
    <row r="127" spans="2:12" ht="12.75">
      <c r="B127" t="s">
        <v>222</v>
      </c>
      <c r="D127" t="s">
        <v>52</v>
      </c>
      <c r="F127">
        <v>1387</v>
      </c>
      <c r="H127">
        <v>1249</v>
      </c>
      <c r="J127">
        <v>1755</v>
      </c>
      <c r="L127">
        <v>1281</v>
      </c>
    </row>
    <row r="129" spans="2:14" ht="12.75">
      <c r="B129" s="80" t="s">
        <v>125</v>
      </c>
      <c r="C129" s="80"/>
      <c r="D129" s="80" t="s">
        <v>16</v>
      </c>
      <c r="F129">
        <f>'emiss 2'!G179</f>
        <v>45000</v>
      </c>
      <c r="H129">
        <f>'emiss 2'!I179</f>
        <v>43000</v>
      </c>
      <c r="J129">
        <f>'emiss 2'!K179</f>
        <v>40300</v>
      </c>
      <c r="L129">
        <f>'emiss 2'!S179</f>
        <v>40100</v>
      </c>
      <c r="N129">
        <f>AVERAGE(F129,H129,J129,L129)</f>
        <v>42100</v>
      </c>
    </row>
    <row r="130" spans="2:14" ht="12.75">
      <c r="B130" s="80" t="s">
        <v>126</v>
      </c>
      <c r="C130" s="80"/>
      <c r="D130" s="80" t="s">
        <v>17</v>
      </c>
      <c r="F130">
        <f>'emiss 2'!G180</f>
        <v>7.5</v>
      </c>
      <c r="H130">
        <f>'emiss 2'!I180</f>
        <v>8</v>
      </c>
      <c r="J130">
        <f>'emiss 2'!K180</f>
        <v>8.1</v>
      </c>
      <c r="L130">
        <f>'emiss 2'!S180</f>
        <v>8.4</v>
      </c>
      <c r="N130">
        <f>AVERAGE(F130,H130,J130,L130)</f>
        <v>8</v>
      </c>
    </row>
    <row r="131" spans="2:4" ht="12.75">
      <c r="B131" s="80"/>
      <c r="C131" s="80"/>
      <c r="D131" s="80"/>
    </row>
    <row r="132" spans="2:14" ht="12.75">
      <c r="B132" s="5" t="s">
        <v>374</v>
      </c>
      <c r="C132" s="80"/>
      <c r="D132" s="5" t="s">
        <v>373</v>
      </c>
      <c r="F132" s="51">
        <f>F129/9000*60*(21-F130)/21</f>
        <v>192.85714285714286</v>
      </c>
      <c r="H132" s="51">
        <f>H129/9000*60*(21-H130)/21</f>
        <v>177.46031746031747</v>
      </c>
      <c r="J132" s="51">
        <f>J129/9000*60*(21-J130)/21</f>
        <v>165.03809523809525</v>
      </c>
      <c r="L132" s="51">
        <f>L129/9000*60*(21-L130)/21</f>
        <v>160.40000000000003</v>
      </c>
      <c r="N132" s="51">
        <f>N129/9000*60*(21-N130)/21</f>
        <v>173.74603174603175</v>
      </c>
    </row>
    <row r="133" spans="2:4" ht="12.75">
      <c r="B133" s="80"/>
      <c r="C133" s="80"/>
      <c r="D133" s="80"/>
    </row>
    <row r="134" spans="2:4" ht="12.75">
      <c r="B134" s="102" t="s">
        <v>127</v>
      </c>
      <c r="C134" s="80"/>
      <c r="D134" s="80"/>
    </row>
    <row r="135" spans="2:14" ht="12.75">
      <c r="B135" t="s">
        <v>48</v>
      </c>
      <c r="C135" s="80"/>
      <c r="D135" s="80" t="s">
        <v>60</v>
      </c>
      <c r="F135" s="2">
        <f>F126*454/60/0.0283/F129*(21-7)/(21-F130)*1000</f>
        <v>16950.812139190628</v>
      </c>
      <c r="H135" s="2">
        <f>H126*454/60/0.0283/H129*(21-7)/(21-H130)*1000</f>
        <v>17992.93707634574</v>
      </c>
      <c r="J135" s="2">
        <f>J126*454/60/0.0283/J129*(21-7)/(21-J130)*1000</f>
        <v>19419.24730978885</v>
      </c>
      <c r="L135" s="2">
        <f>L126*454/60/0.0283/L129*(21-7)/(21-L130)*1000</f>
        <v>19654.795741962982</v>
      </c>
      <c r="N135" s="2">
        <f>AVERAGE(L135,J135,H135,F135)</f>
        <v>18504.44806682205</v>
      </c>
    </row>
    <row r="136" spans="2:14" ht="12.75">
      <c r="B136" t="s">
        <v>222</v>
      </c>
      <c r="C136" s="80"/>
      <c r="D136" s="80" t="s">
        <v>54</v>
      </c>
      <c r="F136">
        <f>F127*454/60/0.0283/F129*(21-7)/(21-F130)*1000000</f>
        <v>8546265.51692381</v>
      </c>
      <c r="H136">
        <f>H127*454/60/0.0283/H129*(21-7)/(21-H130)*1000000</f>
        <v>8363668.927560782</v>
      </c>
      <c r="J136">
        <f>J127*454/60/0.0283/J129*(21-7)/(21-J130)*1000000</f>
        <v>12636551.363989407</v>
      </c>
      <c r="L136">
        <f>L127*454/60/0.0283/L129*(21-7)/(21-L130)*1000000</f>
        <v>9490310.34506392</v>
      </c>
      <c r="N136" s="2">
        <f>AVERAGE(L136,J136,H136,F136)</f>
        <v>9759199.038384479</v>
      </c>
    </row>
    <row r="138" spans="2:12" ht="12.75">
      <c r="B138" s="3" t="s">
        <v>199</v>
      </c>
      <c r="F138" s="46" t="s">
        <v>209</v>
      </c>
      <c r="G138" s="46"/>
      <c r="H138" s="46" t="s">
        <v>210</v>
      </c>
      <c r="I138" s="46"/>
      <c r="J138" s="46" t="s">
        <v>211</v>
      </c>
      <c r="K138" s="46"/>
      <c r="L138" s="46" t="s">
        <v>46</v>
      </c>
    </row>
    <row r="140" spans="2:12" ht="12.75">
      <c r="B140" s="9" t="s">
        <v>358</v>
      </c>
      <c r="F140" t="s">
        <v>360</v>
      </c>
      <c r="H140" t="s">
        <v>360</v>
      </c>
      <c r="J140" t="s">
        <v>360</v>
      </c>
      <c r="L140" t="s">
        <v>360</v>
      </c>
    </row>
    <row r="141" spans="2:12" ht="12.75">
      <c r="B141" s="9" t="s">
        <v>359</v>
      </c>
      <c r="F141" t="s">
        <v>24</v>
      </c>
      <c r="H141" t="s">
        <v>24</v>
      </c>
      <c r="J141" t="s">
        <v>24</v>
      </c>
      <c r="L141" t="s">
        <v>24</v>
      </c>
    </row>
    <row r="142" spans="2:12" ht="12.75">
      <c r="B142" s="5" t="s">
        <v>371</v>
      </c>
      <c r="F142" t="s">
        <v>24</v>
      </c>
      <c r="H142" t="s">
        <v>24</v>
      </c>
      <c r="J142" t="s">
        <v>24</v>
      </c>
      <c r="L142" t="s">
        <v>24</v>
      </c>
    </row>
    <row r="143" spans="2:6" ht="12.75">
      <c r="B143" t="s">
        <v>47</v>
      </c>
      <c r="F143" t="s">
        <v>24</v>
      </c>
    </row>
    <row r="144" spans="2:12" ht="12.75">
      <c r="B144" t="s">
        <v>48</v>
      </c>
      <c r="D144" t="s">
        <v>52</v>
      </c>
      <c r="F144">
        <v>31193</v>
      </c>
      <c r="H144">
        <v>32047</v>
      </c>
      <c r="J144">
        <v>31210</v>
      </c>
      <c r="L144" s="2"/>
    </row>
    <row r="145" spans="2:12" ht="12.75">
      <c r="B145" t="s">
        <v>222</v>
      </c>
      <c r="D145" t="s">
        <v>52</v>
      </c>
      <c r="F145">
        <v>651</v>
      </c>
      <c r="H145">
        <v>644</v>
      </c>
      <c r="J145">
        <v>651</v>
      </c>
      <c r="L145" s="2"/>
    </row>
    <row r="146" spans="2:10" ht="12.75">
      <c r="B146" t="s">
        <v>103</v>
      </c>
      <c r="D146" t="s">
        <v>52</v>
      </c>
      <c r="F146" s="68">
        <v>0.54</v>
      </c>
      <c r="H146" s="68">
        <v>0.53</v>
      </c>
      <c r="J146" s="68">
        <v>0.54</v>
      </c>
    </row>
    <row r="147" spans="2:10" ht="12.75">
      <c r="B147" t="s">
        <v>79</v>
      </c>
      <c r="D147" t="s">
        <v>52</v>
      </c>
      <c r="F147" s="68">
        <v>0.18</v>
      </c>
      <c r="H147" s="68">
        <v>0.18</v>
      </c>
      <c r="J147" s="68">
        <v>0.18</v>
      </c>
    </row>
    <row r="148" spans="2:10" ht="12.75">
      <c r="B148" t="s">
        <v>104</v>
      </c>
      <c r="D148" t="s">
        <v>52</v>
      </c>
      <c r="F148" s="68">
        <v>0.0019</v>
      </c>
      <c r="H148" s="68">
        <v>0.0019</v>
      </c>
      <c r="J148" s="68">
        <v>0.0019</v>
      </c>
    </row>
    <row r="149" spans="2:10" ht="12.75">
      <c r="B149" t="s">
        <v>83</v>
      </c>
      <c r="D149" t="s">
        <v>52</v>
      </c>
      <c r="F149" s="68">
        <v>1.2</v>
      </c>
      <c r="H149" s="68">
        <v>1.1</v>
      </c>
      <c r="J149" s="68">
        <v>1.2</v>
      </c>
    </row>
    <row r="150" spans="2:12" ht="12.75">
      <c r="B150" t="s">
        <v>80</v>
      </c>
      <c r="D150" t="s">
        <v>52</v>
      </c>
      <c r="E150" t="s">
        <v>97</v>
      </c>
      <c r="F150" s="68">
        <v>2.1E-05</v>
      </c>
      <c r="G150" t="s">
        <v>97</v>
      </c>
      <c r="H150" s="68">
        <v>2.1E-05</v>
      </c>
      <c r="I150" t="s">
        <v>97</v>
      </c>
      <c r="J150" s="68">
        <v>2.1E-05</v>
      </c>
      <c r="L150" s="2"/>
    </row>
    <row r="151" spans="2:10" ht="12.75">
      <c r="B151" t="s">
        <v>105</v>
      </c>
      <c r="D151" t="s">
        <v>52</v>
      </c>
      <c r="F151" s="68">
        <v>0.03</v>
      </c>
      <c r="H151" s="68">
        <v>0.03</v>
      </c>
      <c r="J151" s="68">
        <v>0.03</v>
      </c>
    </row>
    <row r="152" spans="2:10" ht="12.75">
      <c r="B152" t="s">
        <v>78</v>
      </c>
      <c r="D152" t="s">
        <v>52</v>
      </c>
      <c r="F152" s="68">
        <v>0.51</v>
      </c>
      <c r="H152" s="68">
        <v>0.5</v>
      </c>
      <c r="J152" s="68">
        <v>0.51</v>
      </c>
    </row>
    <row r="153" spans="2:10" ht="12.75">
      <c r="B153" t="s">
        <v>110</v>
      </c>
      <c r="D153" t="s">
        <v>52</v>
      </c>
      <c r="F153" s="68">
        <v>0.069</v>
      </c>
      <c r="H153" s="68">
        <v>0.069</v>
      </c>
      <c r="J153" s="68">
        <v>0.069</v>
      </c>
    </row>
    <row r="156" spans="2:12" ht="12.75">
      <c r="B156" s="80" t="s">
        <v>125</v>
      </c>
      <c r="C156" s="80"/>
      <c r="D156" s="80" t="s">
        <v>16</v>
      </c>
      <c r="F156">
        <f>'emiss 2'!G218</f>
        <v>39600</v>
      </c>
      <c r="H156">
        <f>'emiss 2'!I218</f>
        <v>36500</v>
      </c>
      <c r="J156">
        <f>'emiss 2'!K218</f>
        <v>40300</v>
      </c>
      <c r="L156">
        <f>AVERAGE(F156,H156,J156)</f>
        <v>38800</v>
      </c>
    </row>
    <row r="157" spans="2:12" ht="12.75">
      <c r="B157" s="80" t="s">
        <v>126</v>
      </c>
      <c r="C157" s="80"/>
      <c r="D157" s="80" t="s">
        <v>17</v>
      </c>
      <c r="F157">
        <f>'emiss 2'!G219</f>
        <v>6.7</v>
      </c>
      <c r="H157">
        <f>'emiss 2'!I219</f>
        <v>7</v>
      </c>
      <c r="J157">
        <f>'emiss 2'!K219</f>
        <v>6.9</v>
      </c>
      <c r="L157" s="2">
        <f>AVERAGE(F157,H157,J157)</f>
        <v>6.866666666666667</v>
      </c>
    </row>
    <row r="158" spans="2:4" ht="12.75">
      <c r="B158" s="80"/>
      <c r="C158" s="80"/>
      <c r="D158" s="80"/>
    </row>
    <row r="159" spans="2:12" ht="12.75">
      <c r="B159" s="5" t="s">
        <v>374</v>
      </c>
      <c r="C159" s="80"/>
      <c r="D159" s="5" t="s">
        <v>373</v>
      </c>
      <c r="F159" s="51">
        <f>F156/9000*60*(21-F157)/21</f>
        <v>179.77142857142857</v>
      </c>
      <c r="H159" s="51">
        <f>H156/9000*60*(21-H157)/21</f>
        <v>162.22222222222223</v>
      </c>
      <c r="J159" s="51">
        <f>J156/9000*60*(21-J157)/21</f>
        <v>180.3904761904762</v>
      </c>
      <c r="L159" s="51">
        <f>L156/9000*60*(21-L157)/21</f>
        <v>174.08677248677245</v>
      </c>
    </row>
    <row r="160" spans="2:4" ht="12.75">
      <c r="B160" s="80"/>
      <c r="C160" s="80"/>
      <c r="D160" s="80"/>
    </row>
    <row r="161" spans="2:4" ht="12.75">
      <c r="B161" s="102" t="s">
        <v>127</v>
      </c>
      <c r="C161" s="80"/>
      <c r="D161" s="80"/>
    </row>
    <row r="162" spans="2:12" ht="12.75">
      <c r="B162" t="s">
        <v>48</v>
      </c>
      <c r="C162" s="80"/>
      <c r="D162" s="80" t="s">
        <v>60</v>
      </c>
      <c r="F162">
        <f>F144*454/60/0.0283/F156*(21-7)/(21-F157)*1000</f>
        <v>206192.1487395307</v>
      </c>
      <c r="H162">
        <f>H144*454/60/0.0283/H156*(21-7)/(21-H157)*1000</f>
        <v>234753.82803297997</v>
      </c>
      <c r="J162">
        <f>J144*454/60/0.0283/J156*(21-7)/(21-J157)*1000</f>
        <v>205596.54515384257</v>
      </c>
      <c r="L162" s="2">
        <f aca="true" t="shared" si="0" ref="L162:L167">AVERAGE(J162,H162,F162)</f>
        <v>215514.17397545106</v>
      </c>
    </row>
    <row r="163" spans="2:12" ht="12.75">
      <c r="B163" t="s">
        <v>222</v>
      </c>
      <c r="C163" s="80"/>
      <c r="D163" s="80" t="s">
        <v>54</v>
      </c>
      <c r="F163" s="2">
        <f>F145*454/60/0.0283/F$156*(21-7)/(21-F$157)*1000000</f>
        <v>4303243.959524075</v>
      </c>
      <c r="H163" s="2">
        <f>H145*454/60/0.0283/H$156*(21-7)/(21-H$157)*1000000</f>
        <v>4717491.97282863</v>
      </c>
      <c r="J163" s="2">
        <f aca="true" t="shared" si="1" ref="J163:J171">J145*454/60/0.0283/J$156*(21-7)/(21-J$157)*1000000</f>
        <v>4288476.478537376</v>
      </c>
      <c r="L163" s="2">
        <f t="shared" si="0"/>
        <v>4436404.136963361</v>
      </c>
    </row>
    <row r="164" spans="2:12" ht="12.75">
      <c r="B164" t="s">
        <v>103</v>
      </c>
      <c r="D164" s="80" t="s">
        <v>54</v>
      </c>
      <c r="F164" s="2">
        <f aca="true" t="shared" si="2" ref="F164:H171">F146*454/60/0.0283/F$156*(21-7)/(21-F$157)*1000000</f>
        <v>3569.511118499233</v>
      </c>
      <c r="H164" s="2">
        <f t="shared" si="2"/>
        <v>3882.40799006083</v>
      </c>
      <c r="J164" s="2">
        <f t="shared" si="1"/>
        <v>3557.2615951001285</v>
      </c>
      <c r="L164" s="2">
        <f t="shared" si="0"/>
        <v>3669.7269012200636</v>
      </c>
    </row>
    <row r="165" spans="2:12" ht="12.75">
      <c r="B165" t="s">
        <v>79</v>
      </c>
      <c r="D165" s="80" t="s">
        <v>54</v>
      </c>
      <c r="F165" s="2">
        <f t="shared" si="2"/>
        <v>1189.837039499744</v>
      </c>
      <c r="H165" s="2">
        <f t="shared" si="2"/>
        <v>1318.553657001791</v>
      </c>
      <c r="J165" s="2">
        <f t="shared" si="1"/>
        <v>1185.7538650333759</v>
      </c>
      <c r="L165" s="2">
        <f t="shared" si="0"/>
        <v>1231.3815205116368</v>
      </c>
    </row>
    <row r="166" spans="2:12" ht="12.75">
      <c r="B166" t="s">
        <v>104</v>
      </c>
      <c r="D166" s="80" t="s">
        <v>54</v>
      </c>
      <c r="F166" s="2">
        <f t="shared" si="2"/>
        <v>12.559390972497301</v>
      </c>
      <c r="H166" s="2">
        <f t="shared" si="2"/>
        <v>13.918066379463351</v>
      </c>
      <c r="J166" s="2">
        <f t="shared" si="1"/>
        <v>12.516290797574525</v>
      </c>
      <c r="L166" s="2">
        <f t="shared" si="0"/>
        <v>12.99791604984506</v>
      </c>
    </row>
    <row r="167" spans="2:12" ht="12.75">
      <c r="B167" t="s">
        <v>83</v>
      </c>
      <c r="D167" s="80" t="s">
        <v>54</v>
      </c>
      <c r="F167" s="2">
        <f t="shared" si="2"/>
        <v>7932.246929998296</v>
      </c>
      <c r="H167" s="2">
        <f t="shared" si="2"/>
        <v>8057.8279038998335</v>
      </c>
      <c r="J167" s="2">
        <f t="shared" si="1"/>
        <v>7905.025766889174</v>
      </c>
      <c r="L167" s="2">
        <f t="shared" si="0"/>
        <v>7965.033533595768</v>
      </c>
    </row>
    <row r="168" spans="2:12" ht="12.75">
      <c r="B168" t="s">
        <v>80</v>
      </c>
      <c r="D168" s="80" t="s">
        <v>54</v>
      </c>
      <c r="E168">
        <v>100</v>
      </c>
      <c r="F168" s="2">
        <f t="shared" si="2"/>
        <v>0.13881432127497015</v>
      </c>
      <c r="G168">
        <v>100</v>
      </c>
      <c r="H168" s="2">
        <f t="shared" si="2"/>
        <v>0.1538312599835423</v>
      </c>
      <c r="I168">
        <v>100</v>
      </c>
      <c r="J168" s="2">
        <f t="shared" si="1"/>
        <v>0.13833795092056053</v>
      </c>
      <c r="K168">
        <v>100</v>
      </c>
      <c r="L168" s="2">
        <f>AVERAGE(J168,H168,F168)/2</f>
        <v>0.07183058869651217</v>
      </c>
    </row>
    <row r="169" spans="2:12" ht="12.75">
      <c r="B169" t="s">
        <v>105</v>
      </c>
      <c r="D169" s="80" t="s">
        <v>54</v>
      </c>
      <c r="F169" s="2">
        <f t="shared" si="2"/>
        <v>198.30617324995737</v>
      </c>
      <c r="H169" s="2">
        <f t="shared" si="2"/>
        <v>219.7589428336318</v>
      </c>
      <c r="J169" s="2">
        <f t="shared" si="1"/>
        <v>197.6256441722293</v>
      </c>
      <c r="L169" s="2">
        <f>AVERAGE(J169,H169,F169)</f>
        <v>205.23025341860617</v>
      </c>
    </row>
    <row r="170" spans="2:12" ht="12.75">
      <c r="B170" t="s">
        <v>78</v>
      </c>
      <c r="D170" s="80" t="s">
        <v>54</v>
      </c>
      <c r="F170" s="2">
        <f t="shared" si="2"/>
        <v>3371.2049452492756</v>
      </c>
      <c r="H170" s="2">
        <f t="shared" si="2"/>
        <v>3662.6490472271976</v>
      </c>
      <c r="J170" s="2">
        <f t="shared" si="1"/>
        <v>3359.635950927899</v>
      </c>
      <c r="L170" s="2">
        <f>AVERAGE(J170,H170,F170)</f>
        <v>3464.4966478014576</v>
      </c>
    </row>
    <row r="171" spans="2:12" ht="12.75">
      <c r="B171" t="s">
        <v>110</v>
      </c>
      <c r="D171" s="80" t="s">
        <v>54</v>
      </c>
      <c r="F171" s="2">
        <f t="shared" si="2"/>
        <v>456.10419847490215</v>
      </c>
      <c r="H171" s="2">
        <f t="shared" si="2"/>
        <v>505.4455685173534</v>
      </c>
      <c r="J171" s="2">
        <f t="shared" si="1"/>
        <v>454.5389815961276</v>
      </c>
      <c r="L171" s="2">
        <f>AVERAGE(J171,H171,F171)</f>
        <v>472.02958286279437</v>
      </c>
    </row>
    <row r="172" ht="12.75">
      <c r="D172" s="80"/>
    </row>
    <row r="173" spans="2:12" ht="12.75">
      <c r="B173" t="s">
        <v>55</v>
      </c>
      <c r="D173" s="80" t="s">
        <v>54</v>
      </c>
      <c r="F173" s="2">
        <f>F170+F166</f>
        <v>3383.7643362217727</v>
      </c>
      <c r="H173" s="2">
        <f>H170+H166</f>
        <v>3676.5671136066608</v>
      </c>
      <c r="J173" s="2">
        <f>J170+J166</f>
        <v>3372.1522417254737</v>
      </c>
      <c r="L173" s="2">
        <f>AVERAGE(J173,H173,F173)</f>
        <v>3477.4945638513022</v>
      </c>
    </row>
    <row r="174" spans="2:12" ht="12.75">
      <c r="B174" t="s">
        <v>56</v>
      </c>
      <c r="D174" s="80" t="s">
        <v>54</v>
      </c>
      <c r="F174" s="2">
        <f>F167+F165+F164</f>
        <v>12691.595087997273</v>
      </c>
      <c r="H174" s="2">
        <f>H167+H165+H164</f>
        <v>13258.789550962454</v>
      </c>
      <c r="J174" s="2">
        <f>J167+J165+J164</f>
        <v>12648.041227022677</v>
      </c>
      <c r="L174" s="2">
        <f>AVERAGE(J174,H174,F174)</f>
        <v>12866.141955327468</v>
      </c>
    </row>
    <row r="176" spans="2:12" ht="12.75">
      <c r="B176" s="3" t="s">
        <v>200</v>
      </c>
      <c r="F176" s="46" t="s">
        <v>209</v>
      </c>
      <c r="G176" s="46"/>
      <c r="H176" s="46" t="s">
        <v>210</v>
      </c>
      <c r="I176" s="46"/>
      <c r="J176" s="46" t="s">
        <v>211</v>
      </c>
      <c r="K176" s="46"/>
      <c r="L176" s="46" t="s">
        <v>46</v>
      </c>
    </row>
    <row r="177" ht="12.75">
      <c r="B177" s="3"/>
    </row>
    <row r="178" spans="2:12" ht="12.75">
      <c r="B178" s="9" t="s">
        <v>358</v>
      </c>
      <c r="F178" t="s">
        <v>360</v>
      </c>
      <c r="H178" t="s">
        <v>360</v>
      </c>
      <c r="J178" t="s">
        <v>360</v>
      </c>
      <c r="L178" t="s">
        <v>360</v>
      </c>
    </row>
    <row r="179" spans="2:12" ht="12.75">
      <c r="B179" s="9" t="s">
        <v>359</v>
      </c>
      <c r="F179" t="s">
        <v>24</v>
      </c>
      <c r="H179" t="s">
        <v>24</v>
      </c>
      <c r="J179" t="s">
        <v>24</v>
      </c>
      <c r="L179" t="s">
        <v>24</v>
      </c>
    </row>
    <row r="180" spans="2:12" ht="12.75">
      <c r="B180" s="5" t="s">
        <v>371</v>
      </c>
      <c r="F180" t="s">
        <v>24</v>
      </c>
      <c r="H180" t="s">
        <v>24</v>
      </c>
      <c r="J180" t="s">
        <v>24</v>
      </c>
      <c r="L180" t="s">
        <v>24</v>
      </c>
    </row>
    <row r="181" spans="2:6" ht="12.75">
      <c r="B181" t="s">
        <v>47</v>
      </c>
      <c r="F181" t="s">
        <v>24</v>
      </c>
    </row>
    <row r="182" spans="2:10" ht="12.75">
      <c r="B182" t="s">
        <v>48</v>
      </c>
      <c r="D182" t="s">
        <v>52</v>
      </c>
      <c r="F182">
        <v>31</v>
      </c>
      <c r="H182">
        <v>34</v>
      </c>
      <c r="J182">
        <v>54</v>
      </c>
    </row>
    <row r="183" spans="2:10" ht="12.75">
      <c r="B183" t="s">
        <v>222</v>
      </c>
      <c r="D183" t="s">
        <v>52</v>
      </c>
      <c r="F183">
        <v>1258</v>
      </c>
      <c r="H183">
        <v>1227</v>
      </c>
      <c r="J183">
        <v>1226</v>
      </c>
    </row>
    <row r="185" spans="2:12" ht="12.75">
      <c r="B185" s="80" t="s">
        <v>125</v>
      </c>
      <c r="C185" s="80"/>
      <c r="D185" s="80" t="s">
        <v>16</v>
      </c>
      <c r="F185">
        <f>'emiss 2'!G237</f>
        <v>24400</v>
      </c>
      <c r="H185">
        <f>'emiss 2'!I237</f>
        <v>24000</v>
      </c>
      <c r="J185">
        <f>'emiss 2'!K237</f>
        <v>25800</v>
      </c>
      <c r="L185">
        <f>AVERAGE(F185,H185,J185)</f>
        <v>24733.333333333332</v>
      </c>
    </row>
    <row r="186" spans="2:12" ht="12.75">
      <c r="B186" s="80" t="s">
        <v>126</v>
      </c>
      <c r="C186" s="80"/>
      <c r="D186" s="80" t="s">
        <v>17</v>
      </c>
      <c r="F186">
        <f>'emiss 2'!G238</f>
        <v>10</v>
      </c>
      <c r="H186">
        <f>'emiss 2'!I238</f>
        <v>10.6</v>
      </c>
      <c r="J186">
        <f>'emiss 2'!K238</f>
        <v>10.2</v>
      </c>
      <c r="L186" s="2">
        <f>AVERAGE(F186,H186,J186)</f>
        <v>10.266666666666667</v>
      </c>
    </row>
    <row r="187" spans="2:4" ht="12.75">
      <c r="B187" s="80"/>
      <c r="C187" s="80"/>
      <c r="D187" s="80"/>
    </row>
    <row r="188" spans="2:12" ht="12.75">
      <c r="B188" s="5" t="s">
        <v>374</v>
      </c>
      <c r="C188" s="80"/>
      <c r="D188" s="5" t="s">
        <v>373</v>
      </c>
      <c r="F188" s="51">
        <f>F185/9000*60*(21-F186)/21</f>
        <v>85.20634920634922</v>
      </c>
      <c r="H188" s="51">
        <f>H185/9000*60*(21-H186)/21</f>
        <v>79.23809523809524</v>
      </c>
      <c r="J188" s="51">
        <f>J185/9000*60*(21-J186)/21</f>
        <v>88.45714285714287</v>
      </c>
      <c r="L188" s="51">
        <f>L185/9000*60*(21-L186)/21</f>
        <v>84.27654320987654</v>
      </c>
    </row>
    <row r="189" spans="2:4" ht="12.75">
      <c r="B189" s="80"/>
      <c r="C189" s="80"/>
      <c r="D189" s="80"/>
    </row>
    <row r="190" spans="2:4" ht="12.75">
      <c r="B190" s="102" t="s">
        <v>127</v>
      </c>
      <c r="C190" s="80"/>
      <c r="D190" s="80"/>
    </row>
    <row r="191" spans="2:12" ht="12.75">
      <c r="B191" t="s">
        <v>48</v>
      </c>
      <c r="C191" s="80"/>
      <c r="D191" s="80" t="s">
        <v>60</v>
      </c>
      <c r="F191" s="2">
        <f>F182*454/60/0.0283/F185*(21-7)/(21-F186)*1000</f>
        <v>432.33996689363664</v>
      </c>
      <c r="H191" s="2">
        <f>H182*454/60/0.0283/H185*(21-7)/(21-H186)*1000</f>
        <v>509.89474796895286</v>
      </c>
      <c r="J191" s="2">
        <f>J182*454/60/0.0283/J185*(21-7)/(21-J186)*1000</f>
        <v>725.4316523771696</v>
      </c>
      <c r="L191" s="2">
        <f>AVERAGE(J191,H191,F191)</f>
        <v>555.8887890799197</v>
      </c>
    </row>
    <row r="192" spans="2:12" ht="12.75">
      <c r="B192" t="s">
        <v>222</v>
      </c>
      <c r="C192" s="80"/>
      <c r="D192" s="80" t="s">
        <v>54</v>
      </c>
      <c r="F192">
        <f>F183*454/60/0.0283/F185*(21-7)/(21-F186)*1000000</f>
        <v>17544634.785554674</v>
      </c>
      <c r="H192">
        <f>H183*454/60/0.0283/H185*(21-7)/(21-H186)*1000000</f>
        <v>18401201.639938388</v>
      </c>
      <c r="J192">
        <f>J183*454/60/0.0283/J185*(21-7)/(21-J186)*1000000</f>
        <v>16469985.292859444</v>
      </c>
      <c r="L192" s="2">
        <f>AVERAGE(J192,H192,F192)</f>
        <v>17471940.57278417</v>
      </c>
    </row>
    <row r="194" spans="2:12" ht="12.75">
      <c r="B194" s="3" t="s">
        <v>201</v>
      </c>
      <c r="F194" t="s">
        <v>209</v>
      </c>
      <c r="H194" t="s">
        <v>210</v>
      </c>
      <c r="J194" t="s">
        <v>211</v>
      </c>
      <c r="L194" t="s">
        <v>46</v>
      </c>
    </row>
    <row r="196" spans="2:12" ht="12.75">
      <c r="B196" s="9" t="s">
        <v>358</v>
      </c>
      <c r="F196" t="s">
        <v>360</v>
      </c>
      <c r="H196" t="s">
        <v>360</v>
      </c>
      <c r="J196" t="s">
        <v>360</v>
      </c>
      <c r="L196" t="s">
        <v>360</v>
      </c>
    </row>
    <row r="197" spans="2:12" ht="12.75">
      <c r="B197" s="9" t="s">
        <v>359</v>
      </c>
      <c r="F197" t="s">
        <v>24</v>
      </c>
      <c r="H197" t="s">
        <v>24</v>
      </c>
      <c r="J197" t="s">
        <v>24</v>
      </c>
      <c r="L197" t="s">
        <v>24</v>
      </c>
    </row>
    <row r="198" spans="2:12" ht="12.75">
      <c r="B198" s="5" t="s">
        <v>371</v>
      </c>
      <c r="F198" t="s">
        <v>24</v>
      </c>
      <c r="H198" t="s">
        <v>24</v>
      </c>
      <c r="J198" t="s">
        <v>24</v>
      </c>
      <c r="L198" t="s">
        <v>24</v>
      </c>
    </row>
    <row r="199" spans="2:6" ht="12.75">
      <c r="B199" t="s">
        <v>47</v>
      </c>
      <c r="F199" t="s">
        <v>24</v>
      </c>
    </row>
    <row r="200" spans="2:10" ht="12.75">
      <c r="B200" t="s">
        <v>48</v>
      </c>
      <c r="D200" t="s">
        <v>52</v>
      </c>
      <c r="F200">
        <v>7762</v>
      </c>
      <c r="H200">
        <v>9715</v>
      </c>
      <c r="J200">
        <v>5394</v>
      </c>
    </row>
    <row r="201" spans="2:10" ht="12.75">
      <c r="B201" t="s">
        <v>222</v>
      </c>
      <c r="D201" t="s">
        <v>52</v>
      </c>
      <c r="F201">
        <v>1424</v>
      </c>
      <c r="H201">
        <v>1361</v>
      </c>
      <c r="J201">
        <v>1401</v>
      </c>
    </row>
    <row r="203" spans="2:12" ht="12.75">
      <c r="B203" s="80" t="s">
        <v>125</v>
      </c>
      <c r="C203" s="80"/>
      <c r="D203" s="80" t="s">
        <v>16</v>
      </c>
      <c r="F203">
        <f>'emiss 2'!G250</f>
        <v>32800</v>
      </c>
      <c r="H203">
        <f>'emiss 2'!I250</f>
        <v>30000</v>
      </c>
      <c r="J203">
        <f>'emiss 2'!K250</f>
        <v>29300</v>
      </c>
      <c r="L203">
        <f>AVERAGE(F203,H203,J203)</f>
        <v>30700</v>
      </c>
    </row>
    <row r="204" spans="2:12" ht="12.75">
      <c r="B204" s="80" t="s">
        <v>126</v>
      </c>
      <c r="C204" s="80"/>
      <c r="D204" s="80" t="s">
        <v>17</v>
      </c>
      <c r="F204">
        <f>'emiss 2'!G251</f>
        <v>9</v>
      </c>
      <c r="H204">
        <f>'emiss 2'!I251</f>
        <v>7.8</v>
      </c>
      <c r="J204">
        <f>'emiss 2'!K251</f>
        <v>7.2</v>
      </c>
      <c r="L204">
        <f>AVERAGE(F204,H204,J204)</f>
        <v>8</v>
      </c>
    </row>
    <row r="205" spans="2:4" ht="12.75">
      <c r="B205" s="80"/>
      <c r="C205" s="80"/>
      <c r="D205" s="80"/>
    </row>
    <row r="206" spans="2:12" ht="12.75">
      <c r="B206" s="5" t="s">
        <v>374</v>
      </c>
      <c r="C206" s="80"/>
      <c r="D206" s="5" t="s">
        <v>373</v>
      </c>
      <c r="F206" s="51">
        <f>F203/9000*60*(21-F204)/21</f>
        <v>124.95238095238095</v>
      </c>
      <c r="H206" s="51">
        <f>H203/9000*60*(21-H204)/21</f>
        <v>125.71428571428571</v>
      </c>
      <c r="J206" s="51">
        <f>J203/9000*60*(21-J204)/21</f>
        <v>128.36190476190478</v>
      </c>
      <c r="L206" s="51">
        <f>L203/9000*60*(21-L204)/21</f>
        <v>126.6984126984127</v>
      </c>
    </row>
    <row r="207" spans="2:4" ht="12.75">
      <c r="B207" s="80"/>
      <c r="C207" s="80"/>
      <c r="D207" s="80"/>
    </row>
    <row r="208" spans="2:4" ht="12.75">
      <c r="B208" s="102" t="s">
        <v>127</v>
      </c>
      <c r="C208" s="80"/>
      <c r="D208" s="80"/>
    </row>
    <row r="209" spans="2:12" ht="12.75">
      <c r="B209" t="s">
        <v>48</v>
      </c>
      <c r="C209" s="80"/>
      <c r="D209" s="80" t="s">
        <v>60</v>
      </c>
      <c r="F209" s="2">
        <f>F200*454/60/0.0283/F203*(21-7)/(21-F204)*1000</f>
        <v>73818.42100223123</v>
      </c>
      <c r="H209" s="2">
        <f>H200*454/60/0.0283/H203*(21-7)/(21-H204)*1000</f>
        <v>91831.95321887902</v>
      </c>
      <c r="J209" s="2">
        <f>J200*454/60/0.0283/J203*(21-7)/(21-J204)*1000</f>
        <v>49935.61902824321</v>
      </c>
      <c r="L209" s="2">
        <f>AVERAGE(J209,H209,F209)</f>
        <v>71861.9977497845</v>
      </c>
    </row>
    <row r="210" spans="2:12" ht="12.75">
      <c r="B210" t="s">
        <v>222</v>
      </c>
      <c r="C210" s="80"/>
      <c r="D210" s="80" t="s">
        <v>54</v>
      </c>
      <c r="F210">
        <f>F201*454/60/0.0283/F203*(21-7)/(21-F204)*1000000</f>
        <v>13542570.408036236</v>
      </c>
      <c r="H210">
        <f>H201*454/60/0.0283/H203*(21-7)/(21-H204)*1000000</f>
        <v>12864980.785475487</v>
      </c>
      <c r="J210">
        <f>J201*454/60/0.0283/J203*(21-7)/(21-J204)*1000000</f>
        <v>12969929.970072068</v>
      </c>
      <c r="L210" s="2">
        <f>AVERAGE(J210,H210,F210)</f>
        <v>13125827.054527929</v>
      </c>
    </row>
    <row r="212" spans="2:12" ht="12.75">
      <c r="B212" s="3" t="s">
        <v>203</v>
      </c>
      <c r="F212" s="46" t="s">
        <v>209</v>
      </c>
      <c r="G212" s="46"/>
      <c r="H212" s="46" t="s">
        <v>210</v>
      </c>
      <c r="I212" s="46"/>
      <c r="J212" s="46" t="s">
        <v>211</v>
      </c>
      <c r="K212" s="46"/>
      <c r="L212" s="46" t="s">
        <v>46</v>
      </c>
    </row>
    <row r="214" spans="2:12" ht="12.75">
      <c r="B214" s="9" t="s">
        <v>358</v>
      </c>
      <c r="F214" t="s">
        <v>360</v>
      </c>
      <c r="H214" t="s">
        <v>360</v>
      </c>
      <c r="J214" t="s">
        <v>360</v>
      </c>
      <c r="L214" t="s">
        <v>360</v>
      </c>
    </row>
    <row r="215" spans="2:12" ht="12.75">
      <c r="B215" s="9" t="s">
        <v>359</v>
      </c>
      <c r="F215" t="s">
        <v>24</v>
      </c>
      <c r="H215" t="s">
        <v>24</v>
      </c>
      <c r="J215" t="s">
        <v>24</v>
      </c>
      <c r="L215" t="s">
        <v>24</v>
      </c>
    </row>
    <row r="216" spans="2:12" ht="12.75">
      <c r="B216" s="5" t="s">
        <v>371</v>
      </c>
      <c r="F216" t="s">
        <v>24</v>
      </c>
      <c r="H216" t="s">
        <v>24</v>
      </c>
      <c r="J216" t="s">
        <v>24</v>
      </c>
      <c r="L216" t="s">
        <v>24</v>
      </c>
    </row>
    <row r="217" spans="2:6" ht="12.75">
      <c r="B217" t="s">
        <v>47</v>
      </c>
      <c r="F217" t="s">
        <v>24</v>
      </c>
    </row>
    <row r="218" spans="2:10" ht="12.75">
      <c r="B218" t="s">
        <v>48</v>
      </c>
      <c r="D218" t="s">
        <v>52</v>
      </c>
      <c r="F218">
        <v>6196</v>
      </c>
      <c r="H218">
        <v>5683</v>
      </c>
      <c r="J218">
        <v>5851</v>
      </c>
    </row>
    <row r="219" spans="2:10" ht="12.75">
      <c r="B219" t="s">
        <v>222</v>
      </c>
      <c r="D219" t="s">
        <v>52</v>
      </c>
      <c r="F219">
        <v>2108</v>
      </c>
      <c r="H219">
        <v>2217</v>
      </c>
      <c r="J219">
        <v>2248</v>
      </c>
    </row>
    <row r="221" spans="2:12" ht="12.75">
      <c r="B221" s="80" t="s">
        <v>125</v>
      </c>
      <c r="C221" s="80"/>
      <c r="D221" s="80" t="s">
        <v>16</v>
      </c>
      <c r="F221">
        <f>'emiss 2'!G279</f>
        <v>43600</v>
      </c>
      <c r="H221">
        <f>'emiss 2'!I279</f>
        <v>40400</v>
      </c>
      <c r="J221">
        <f>'emiss 2'!K279</f>
        <v>41200</v>
      </c>
      <c r="L221">
        <f>AVERAGE(F221,H221,J221)</f>
        <v>41733.333333333336</v>
      </c>
    </row>
    <row r="222" spans="2:12" ht="12.75">
      <c r="B222" s="80" t="s">
        <v>126</v>
      </c>
      <c r="C222" s="80"/>
      <c r="D222" s="80" t="s">
        <v>17</v>
      </c>
      <c r="F222">
        <f>'emiss 2'!G280</f>
        <v>7.5</v>
      </c>
      <c r="H222">
        <f>'emiss 2'!I280</f>
        <v>6.9</v>
      </c>
      <c r="J222">
        <f>'emiss 2'!K280</f>
        <v>6.3</v>
      </c>
      <c r="L222">
        <f>AVERAGE(F222,H222,J222)</f>
        <v>6.8999999999999995</v>
      </c>
    </row>
    <row r="223" spans="2:4" ht="12.75">
      <c r="B223" s="80"/>
      <c r="C223" s="80"/>
      <c r="D223" s="80"/>
    </row>
    <row r="224" spans="2:12" ht="12.75">
      <c r="B224" s="5" t="s">
        <v>374</v>
      </c>
      <c r="C224" s="80"/>
      <c r="D224" s="5" t="s">
        <v>373</v>
      </c>
      <c r="F224" s="51">
        <f>F221/9000*60*(21-F222)/21</f>
        <v>186.85714285714283</v>
      </c>
      <c r="H224" s="51">
        <f>H221/9000*60*(21-H222)/21</f>
        <v>180.8380952380952</v>
      </c>
      <c r="J224" s="51">
        <f>J221/9000*60*(21-J222)/21</f>
        <v>192.26666666666665</v>
      </c>
      <c r="L224" s="51">
        <f>L221/9000*60*(21-L222)/21</f>
        <v>186.80634920634927</v>
      </c>
    </row>
    <row r="225" spans="2:4" ht="12.75">
      <c r="B225" s="80"/>
      <c r="C225" s="80"/>
      <c r="D225" s="80"/>
    </row>
    <row r="226" spans="2:4" ht="12.75">
      <c r="B226" s="102" t="s">
        <v>127</v>
      </c>
      <c r="C226" s="80"/>
      <c r="D226" s="80"/>
    </row>
    <row r="227" spans="2:12" ht="12.75">
      <c r="B227" t="s">
        <v>48</v>
      </c>
      <c r="C227" s="80"/>
      <c r="D227" s="80" t="s">
        <v>60</v>
      </c>
      <c r="F227" s="2">
        <f>F218*454/60/0.0283/F221*(21-7)/(21-F222)*1000</f>
        <v>39403.7317593363</v>
      </c>
      <c r="H227" s="2">
        <f>H218*454/60/0.0283/H221*(21-7)/(21-H222)*1000</f>
        <v>37344.218971931026</v>
      </c>
      <c r="J227" s="2">
        <f>J218*454/60/0.0283/J221*(21-7)/(21-J222)*1000</f>
        <v>36162.77505776287</v>
      </c>
      <c r="L227" s="2">
        <f>AVERAGE(J227,H227,F227)</f>
        <v>37636.9085963434</v>
      </c>
    </row>
    <row r="228" spans="2:12" ht="12.75">
      <c r="B228" t="s">
        <v>222</v>
      </c>
      <c r="C228" s="80"/>
      <c r="D228" s="80" t="s">
        <v>54</v>
      </c>
      <c r="F228">
        <f>F219*454/60/0.0283/F221*(21-7)/(21-F222)*1000000</f>
        <v>13405917.777385559</v>
      </c>
      <c r="H228">
        <f>H219*454/60/0.0283/H221*(21-7)/(21-H222)*1000000</f>
        <v>14568385.264960596</v>
      </c>
      <c r="J228">
        <f>J219*454/60/0.0283/J221*(21-7)/(21-J222)*1000000</f>
        <v>13894021.249333609</v>
      </c>
      <c r="L228" s="2">
        <f>AVERAGE(J228,H228,F228)</f>
        <v>13956108.09722659</v>
      </c>
    </row>
    <row r="230" spans="2:51" ht="12.75">
      <c r="B230" s="3" t="s">
        <v>205</v>
      </c>
      <c r="C230" s="3"/>
      <c r="F230" s="46" t="s">
        <v>209</v>
      </c>
      <c r="G230" s="46"/>
      <c r="H230" s="46" t="s">
        <v>210</v>
      </c>
      <c r="I230" s="46"/>
      <c r="J230" s="46" t="s">
        <v>211</v>
      </c>
      <c r="K230" s="46"/>
      <c r="L230" s="46" t="s">
        <v>209</v>
      </c>
      <c r="M230" s="46"/>
      <c r="N230" s="46" t="s">
        <v>210</v>
      </c>
      <c r="O230" s="46"/>
      <c r="P230" s="46" t="s">
        <v>211</v>
      </c>
      <c r="Q230" s="46"/>
      <c r="R230" s="46" t="s">
        <v>209</v>
      </c>
      <c r="S230" s="46"/>
      <c r="T230" s="46" t="s">
        <v>210</v>
      </c>
      <c r="U230" s="46"/>
      <c r="V230" s="46" t="s">
        <v>211</v>
      </c>
      <c r="W230" s="46"/>
      <c r="X230" s="46" t="s">
        <v>209</v>
      </c>
      <c r="Y230" s="46"/>
      <c r="Z230" s="46" t="s">
        <v>210</v>
      </c>
      <c r="AA230" s="46"/>
      <c r="AB230" s="46" t="s">
        <v>211</v>
      </c>
      <c r="AJ230" s="46" t="s">
        <v>209</v>
      </c>
      <c r="AK230" s="46"/>
      <c r="AL230" s="46" t="s">
        <v>210</v>
      </c>
      <c r="AM230" s="46"/>
      <c r="AN230" s="46" t="s">
        <v>211</v>
      </c>
      <c r="AO230" s="46"/>
      <c r="AP230" s="46" t="s">
        <v>46</v>
      </c>
      <c r="AQ230" s="46"/>
      <c r="AR230" t="s">
        <v>209</v>
      </c>
      <c r="AS230" s="46"/>
      <c r="AT230" t="s">
        <v>210</v>
      </c>
      <c r="AU230" s="46"/>
      <c r="AV230" t="s">
        <v>211</v>
      </c>
      <c r="AW230" s="46"/>
      <c r="AY230" s="46"/>
    </row>
    <row r="232" spans="2:42" ht="12.75">
      <c r="B232" s="9" t="s">
        <v>358</v>
      </c>
      <c r="F232" t="s">
        <v>360</v>
      </c>
      <c r="H232" t="s">
        <v>360</v>
      </c>
      <c r="J232" t="s">
        <v>360</v>
      </c>
      <c r="L232" t="s">
        <v>362</v>
      </c>
      <c r="N232" t="s">
        <v>362</v>
      </c>
      <c r="P232" t="s">
        <v>362</v>
      </c>
      <c r="R232" t="s">
        <v>363</v>
      </c>
      <c r="T232" t="s">
        <v>363</v>
      </c>
      <c r="V232" t="s">
        <v>363</v>
      </c>
      <c r="X232" t="s">
        <v>364</v>
      </c>
      <c r="Z232" t="s">
        <v>364</v>
      </c>
      <c r="AB232" t="s">
        <v>364</v>
      </c>
      <c r="AJ232" t="s">
        <v>366</v>
      </c>
      <c r="AL232" t="s">
        <v>366</v>
      </c>
      <c r="AN232" t="s">
        <v>366</v>
      </c>
      <c r="AP232" t="s">
        <v>366</v>
      </c>
    </row>
    <row r="233" spans="2:42" ht="12.75">
      <c r="B233" s="9" t="s">
        <v>359</v>
      </c>
      <c r="F233" t="s">
        <v>365</v>
      </c>
      <c r="H233" t="s">
        <v>365</v>
      </c>
      <c r="J233" t="s">
        <v>365</v>
      </c>
      <c r="L233" t="s">
        <v>361</v>
      </c>
      <c r="N233" t="s">
        <v>361</v>
      </c>
      <c r="P233" t="s">
        <v>361</v>
      </c>
      <c r="R233" t="s">
        <v>361</v>
      </c>
      <c r="T233" t="s">
        <v>361</v>
      </c>
      <c r="V233" t="s">
        <v>361</v>
      </c>
      <c r="X233" t="s">
        <v>361</v>
      </c>
      <c r="Z233" t="s">
        <v>361</v>
      </c>
      <c r="AB233" t="s">
        <v>361</v>
      </c>
      <c r="AJ233" t="s">
        <v>24</v>
      </c>
      <c r="AL233" t="s">
        <v>24</v>
      </c>
      <c r="AN233" t="s">
        <v>24</v>
      </c>
      <c r="AP233" t="s">
        <v>24</v>
      </c>
    </row>
    <row r="234" spans="2:48" ht="12.75">
      <c r="B234" s="5" t="s">
        <v>371</v>
      </c>
      <c r="AJ234" t="s">
        <v>24</v>
      </c>
      <c r="AL234" t="s">
        <v>24</v>
      </c>
      <c r="AN234" t="s">
        <v>24</v>
      </c>
      <c r="AP234" t="s">
        <v>24</v>
      </c>
      <c r="AR234" t="s">
        <v>61</v>
      </c>
      <c r="AT234" t="s">
        <v>61</v>
      </c>
      <c r="AV234" t="s">
        <v>61</v>
      </c>
    </row>
    <row r="235" spans="2:36" ht="12.75">
      <c r="B235" t="s">
        <v>47</v>
      </c>
      <c r="F235" t="s">
        <v>225</v>
      </c>
      <c r="L235" t="s">
        <v>233</v>
      </c>
      <c r="R235" t="s">
        <v>227</v>
      </c>
      <c r="X235" t="s">
        <v>228</v>
      </c>
      <c r="AJ235" t="s">
        <v>24</v>
      </c>
    </row>
    <row r="236" spans="2:28" ht="12.75">
      <c r="B236" t="s">
        <v>230</v>
      </c>
      <c r="D236" t="s">
        <v>52</v>
      </c>
      <c r="F236">
        <v>10716</v>
      </c>
      <c r="H236">
        <v>10676</v>
      </c>
      <c r="J236">
        <v>8997</v>
      </c>
      <c r="L236">
        <v>5967</v>
      </c>
      <c r="N236">
        <v>4519</v>
      </c>
      <c r="P236">
        <v>5498</v>
      </c>
      <c r="R236">
        <v>1459</v>
      </c>
      <c r="T236">
        <v>1795</v>
      </c>
      <c r="V236">
        <v>1963</v>
      </c>
      <c r="X236">
        <v>2078</v>
      </c>
      <c r="Z236">
        <v>2099</v>
      </c>
      <c r="AB236">
        <v>2123</v>
      </c>
    </row>
    <row r="237" spans="2:40" ht="12.75">
      <c r="B237" t="s">
        <v>222</v>
      </c>
      <c r="D237" t="s">
        <v>52</v>
      </c>
      <c r="F237">
        <v>37.5</v>
      </c>
      <c r="L237">
        <v>15.5</v>
      </c>
      <c r="N237">
        <v>6.8</v>
      </c>
      <c r="P237">
        <v>15.9</v>
      </c>
      <c r="R237">
        <v>80.4</v>
      </c>
      <c r="T237">
        <v>65.9</v>
      </c>
      <c r="V237">
        <v>65</v>
      </c>
      <c r="X237">
        <v>9.8</v>
      </c>
      <c r="Z237">
        <v>15.7</v>
      </c>
      <c r="AB237">
        <v>16.1</v>
      </c>
      <c r="AJ237">
        <v>1231</v>
      </c>
      <c r="AL237">
        <v>1460</v>
      </c>
      <c r="AN237">
        <v>1435</v>
      </c>
    </row>
    <row r="238" spans="2:28" ht="12.75">
      <c r="B238" t="s">
        <v>48</v>
      </c>
      <c r="D238" t="s">
        <v>231</v>
      </c>
      <c r="F238">
        <v>71.8</v>
      </c>
      <c r="H238">
        <v>72.6</v>
      </c>
      <c r="J238">
        <v>73.4</v>
      </c>
      <c r="L238">
        <v>0.71</v>
      </c>
      <c r="N238">
        <v>0.29</v>
      </c>
      <c r="P238">
        <v>0.27</v>
      </c>
      <c r="R238">
        <v>0.65</v>
      </c>
      <c r="T238">
        <v>0.84</v>
      </c>
      <c r="V238">
        <v>0.81</v>
      </c>
      <c r="X238">
        <v>0.76</v>
      </c>
      <c r="Z238">
        <v>0.1</v>
      </c>
      <c r="AB238">
        <v>0.61</v>
      </c>
    </row>
    <row r="240" spans="2:42" ht="12.75">
      <c r="B240" s="80" t="s">
        <v>125</v>
      </c>
      <c r="C240" s="80"/>
      <c r="D240" s="80" t="s">
        <v>16</v>
      </c>
      <c r="F240">
        <f>'emiss 2'!$G$310</f>
        <v>35482</v>
      </c>
      <c r="H240">
        <f>'emiss 2'!$I$310</f>
        <v>35782</v>
      </c>
      <c r="J240">
        <f>'emiss 2'!$K$310</f>
        <v>36046</v>
      </c>
      <c r="L240">
        <f>'emiss 2'!$G$310</f>
        <v>35482</v>
      </c>
      <c r="N240">
        <f>'emiss 2'!$I$310</f>
        <v>35782</v>
      </c>
      <c r="P240">
        <f>'emiss 2'!$K$310</f>
        <v>36046</v>
      </c>
      <c r="R240">
        <f>'emiss 2'!$G$310</f>
        <v>35482</v>
      </c>
      <c r="T240">
        <f>'emiss 2'!$I$310</f>
        <v>35782</v>
      </c>
      <c r="V240">
        <f>'emiss 2'!$K$310</f>
        <v>36046</v>
      </c>
      <c r="X240">
        <f>'emiss 2'!$G$310</f>
        <v>35482</v>
      </c>
      <c r="Z240">
        <f>'emiss 2'!$I$310</f>
        <v>35782</v>
      </c>
      <c r="AB240">
        <f>'emiss 2'!$K$310</f>
        <v>36046</v>
      </c>
      <c r="AJ240">
        <f>F240</f>
        <v>35482</v>
      </c>
      <c r="AL240">
        <f>H240</f>
        <v>35782</v>
      </c>
      <c r="AN240">
        <f>J240</f>
        <v>36046</v>
      </c>
      <c r="AP240">
        <f>AVERAGE(AJ240,AL240,AN240)</f>
        <v>35770</v>
      </c>
    </row>
    <row r="241" spans="2:42" ht="12.75">
      <c r="B241" s="80" t="s">
        <v>126</v>
      </c>
      <c r="C241" s="80"/>
      <c r="D241" s="80" t="s">
        <v>17</v>
      </c>
      <c r="F241">
        <f>'emiss 2'!$G$311</f>
        <v>8.8</v>
      </c>
      <c r="H241">
        <f>'emiss 2'!$I$311</f>
        <v>8.6</v>
      </c>
      <c r="J241">
        <f>'emiss 2'!$K$311</f>
        <v>8.7</v>
      </c>
      <c r="L241">
        <f>'emiss 2'!$G$311</f>
        <v>8.8</v>
      </c>
      <c r="N241">
        <f>'emiss 2'!$I$311</f>
        <v>8.6</v>
      </c>
      <c r="P241">
        <f>'emiss 2'!$K$311</f>
        <v>8.7</v>
      </c>
      <c r="R241">
        <f>'emiss 2'!$G$311</f>
        <v>8.8</v>
      </c>
      <c r="T241">
        <f>'emiss 2'!$I$311</f>
        <v>8.6</v>
      </c>
      <c r="V241">
        <f>'emiss 2'!$K$311</f>
        <v>8.7</v>
      </c>
      <c r="X241">
        <f>'emiss 2'!$G$311</f>
        <v>8.8</v>
      </c>
      <c r="Z241">
        <f>'emiss 2'!$I$311</f>
        <v>8.6</v>
      </c>
      <c r="AB241">
        <f>'emiss 2'!$K$311</f>
        <v>8.7</v>
      </c>
      <c r="AJ241">
        <f>F241</f>
        <v>8.8</v>
      </c>
      <c r="AL241">
        <f>H241</f>
        <v>8.6</v>
      </c>
      <c r="AN241">
        <f>J241</f>
        <v>8.7</v>
      </c>
      <c r="AP241">
        <f>AVERAGE(AJ241,AL241,AN241)</f>
        <v>8.7</v>
      </c>
    </row>
    <row r="242" spans="2:4" ht="12.75">
      <c r="B242" s="80"/>
      <c r="C242" s="80"/>
      <c r="D242" s="80"/>
    </row>
    <row r="243" spans="2:42" ht="12.75">
      <c r="B243" s="5" t="s">
        <v>374</v>
      </c>
      <c r="C243" s="80"/>
      <c r="D243" s="5" t="s">
        <v>373</v>
      </c>
      <c r="AJ243" s="51">
        <f>AJ240/9000*60*(21-AJ241)/21</f>
        <v>137.4223492063492</v>
      </c>
      <c r="AL243" s="51">
        <f>AL240/9000*60*(21-AL241)/21</f>
        <v>140.85612698412697</v>
      </c>
      <c r="AN243" s="51">
        <f>AN240/9000*60*(21-AN241)/21</f>
        <v>140.75104761904763</v>
      </c>
      <c r="AP243" s="51">
        <f>AP240/9000*60*(21-AP241)/21</f>
        <v>139.67333333333335</v>
      </c>
    </row>
    <row r="244" spans="2:4" ht="12.75">
      <c r="B244" s="80"/>
      <c r="C244" s="80"/>
      <c r="D244" s="80"/>
    </row>
    <row r="245" spans="2:4" ht="12.75">
      <c r="B245" s="102" t="s">
        <v>127</v>
      </c>
      <c r="C245" s="80"/>
      <c r="D245" s="80"/>
    </row>
    <row r="246" spans="2:51" ht="12.75">
      <c r="B246" t="s">
        <v>48</v>
      </c>
      <c r="C246" s="80"/>
      <c r="D246" s="80" t="s">
        <v>60</v>
      </c>
      <c r="F246" s="58">
        <f>F238/100*F236*454/60/0.0283/F240*(21-7)/(21-F241)*1000</f>
        <v>66532.743114026</v>
      </c>
      <c r="H246" s="58">
        <f>H238/100*H236*454/60/0.0283/H240*(21-7)/(21-H241)*1000</f>
        <v>65389.05965282642</v>
      </c>
      <c r="J246" s="58">
        <f>J238/100*J236*454/60/0.0283/J240*(21-7)/(21-J241)*1000</f>
        <v>55754.22626360006</v>
      </c>
      <c r="L246" s="58">
        <f>L238/100*L236*454/60/0.0283/L240*(21-7)/(21-L241)*1000</f>
        <v>366.34702318791926</v>
      </c>
      <c r="N246" s="58">
        <f>N238/100*N236*454/60/0.0283/N240*(21-7)/(21-N241)*1000</f>
        <v>110.5605639559517</v>
      </c>
      <c r="P246" s="58">
        <f>P238/100*P236*454/60/0.0283/P240*(21-7)/(21-P241)*1000</f>
        <v>125.32927070038141</v>
      </c>
      <c r="R246" s="58">
        <f>R238/100*R236*454/60/0.0283/R240*(21-7)/(21-R241)*1000</f>
        <v>82.00624548638717</v>
      </c>
      <c r="T246" s="58">
        <f>T238/100*T236*454/60/0.0283/T240*(21-7)/(21-T241)*1000</f>
        <v>127.20484264353877</v>
      </c>
      <c r="V246" s="58">
        <f>V238/100*V236*454/60/0.0283/V240*(21-7)/(21-V241)*1000</f>
        <v>134.2422835857669</v>
      </c>
      <c r="X246" s="58">
        <f>X238/100*X236*454/60/0.0283/X240*(21-7)/(21-X241)*1000</f>
        <v>136.56437325010967</v>
      </c>
      <c r="Z246" s="58">
        <f>Z238/100*Z236*454/60/0.0283/Z240*(21-7)/(21-Z241)*1000</f>
        <v>17.7081154469285</v>
      </c>
      <c r="AB246" s="58">
        <f>AB238/100*AB236*454/60/0.0283/AB240*(21-7)/(21-AB241)*1000</f>
        <v>109.33616630634367</v>
      </c>
      <c r="AC246" s="58"/>
      <c r="AD246" s="58"/>
      <c r="AE246" s="58"/>
      <c r="AF246" s="58"/>
      <c r="AG246" s="58"/>
      <c r="AH246" s="58"/>
      <c r="AJ246" s="58">
        <f>SUM(X246,R246,L246,F246)</f>
        <v>67117.66075595042</v>
      </c>
      <c r="AK246" s="58"/>
      <c r="AL246" s="58">
        <f>SUM(Z246,T246,N246,H246)</f>
        <v>65644.53317487283</v>
      </c>
      <c r="AM246" s="58"/>
      <c r="AN246" s="58">
        <f>SUM(AB246,V246,P246,J246)</f>
        <v>56123.13398419255</v>
      </c>
      <c r="AO246" s="58"/>
      <c r="AP246" s="58">
        <f>AVERAGE(AN246,AL246,AJ246)</f>
        <v>62961.77597167194</v>
      </c>
      <c r="AQ246" s="58"/>
      <c r="AR246" s="58">
        <f>F246+L246+R246+X246</f>
        <v>67117.6607559504</v>
      </c>
      <c r="AS246" s="58"/>
      <c r="AT246" s="58">
        <f>H246+N246+T246+Z246</f>
        <v>65644.53317487285</v>
      </c>
      <c r="AU246" s="58"/>
      <c r="AV246" s="58">
        <f>J246+P246+V246+AB246</f>
        <v>56123.133984192544</v>
      </c>
      <c r="AW246" s="58"/>
      <c r="AY246" s="58"/>
    </row>
    <row r="247" spans="2:51" ht="12.75">
      <c r="B247" t="s">
        <v>222</v>
      </c>
      <c r="C247" s="80"/>
      <c r="D247" s="80" t="s">
        <v>54</v>
      </c>
      <c r="F247" s="58">
        <f>F237*454*1000000/F240/0.0283/60*14/(21-F241)</f>
        <v>324272.07315226644</v>
      </c>
      <c r="L247" s="58">
        <f>L237*454*1000000/L240/0.0283/60*14/(21-L241)</f>
        <v>134032.4569029368</v>
      </c>
      <c r="N247" s="58">
        <f>N237*454*1000000/N240/0.0283/60*14/(21-N241)</f>
        <v>57367.88234355111</v>
      </c>
      <c r="P247" s="58">
        <f>P237*454*1000000/P240/0.0283/60*14/(21-P241)</f>
        <v>134239.75076028082</v>
      </c>
      <c r="R247" s="58">
        <f>R237*454*1000000/R240/0.0283/60*14/(21-R241)</f>
        <v>695239.3248384593</v>
      </c>
      <c r="T247" s="58">
        <f>T237*454*1000000/T240/0.0283/60*14/(21-T241)</f>
        <v>555962.2715352969</v>
      </c>
      <c r="V247" s="58">
        <f>V237*454*1000000/V240/0.0283/60*14/(21-V241)</f>
        <v>548778.855309324</v>
      </c>
      <c r="X247" s="58">
        <f>X237*454*1000000/X240/0.0283/60*14/(21-X241)</f>
        <v>84743.10178379231</v>
      </c>
      <c r="Z247" s="58">
        <f>Z237*454*1000000/Z240/0.0283/60*14/(21-Z241)</f>
        <v>132452.3165873165</v>
      </c>
      <c r="AB247" s="58">
        <f>AB237*454*1000000/AB240/0.0283/60*14/(21-AB241)</f>
        <v>135928.30108430953</v>
      </c>
      <c r="AC247" s="58"/>
      <c r="AD247" s="58"/>
      <c r="AE247" s="58"/>
      <c r="AF247" s="58"/>
      <c r="AG247" s="58"/>
      <c r="AH247" s="58"/>
      <c r="AJ247" s="58">
        <f>AJ237*454/60/0.0283/AJ240*(21-7)/(21-AJ241)*1000000</f>
        <v>10644771.2546784</v>
      </c>
      <c r="AK247" s="58"/>
      <c r="AL247" s="58">
        <f>AL237*454/60/0.0283/AL240*(21-7)/(21-AL241)*1000000</f>
        <v>12317221.797291858</v>
      </c>
      <c r="AM247" s="58"/>
      <c r="AN247" s="58">
        <f>AN237*454/60/0.0283/AN240*(21-7)/(21-AN241)*1000000</f>
        <v>12115348.574905844</v>
      </c>
      <c r="AO247" s="58"/>
      <c r="AP247" s="58">
        <f>AVERAGE(AN247,AL247,AJ247)</f>
        <v>11692447.2089587</v>
      </c>
      <c r="AQ247" s="58"/>
      <c r="AR247" s="58">
        <f>F247+L247+R247+X247</f>
        <v>1238286.9566774548</v>
      </c>
      <c r="AS247" s="58"/>
      <c r="AT247" s="58">
        <f>H247+N247+T247+Z247</f>
        <v>745782.4704661646</v>
      </c>
      <c r="AU247" s="58"/>
      <c r="AV247" s="58">
        <f>J247+P247+V247+AB247</f>
        <v>818946.9071539144</v>
      </c>
      <c r="AW247" s="58"/>
      <c r="AY247" s="58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B1">
      <selection activeCell="B35" sqref="B35"/>
    </sheetView>
  </sheetViews>
  <sheetFormatPr defaultColWidth="9.140625" defaultRowHeight="12.75"/>
  <cols>
    <col min="1" max="1" width="3.8515625" style="0" hidden="1" customWidth="1"/>
    <col min="2" max="2" width="29.8515625" style="0" customWidth="1"/>
    <col min="4" max="4" width="3.140625" style="0" customWidth="1"/>
    <col min="5" max="5" width="12.28125" style="0" customWidth="1"/>
    <col min="6" max="6" width="12.421875" style="0" customWidth="1"/>
  </cols>
  <sheetData>
    <row r="1" spans="2:6" ht="12.75">
      <c r="B1" s="3" t="s">
        <v>65</v>
      </c>
      <c r="C1" s="9"/>
      <c r="D1" s="9"/>
      <c r="E1" s="9"/>
      <c r="F1" s="9"/>
    </row>
    <row r="2" spans="2:6" ht="12.75">
      <c r="B2" s="9"/>
      <c r="C2" s="9"/>
      <c r="D2" s="9"/>
      <c r="E2" s="9"/>
      <c r="F2" s="9"/>
    </row>
    <row r="3" spans="1:6" ht="12.75">
      <c r="A3" t="s">
        <v>85</v>
      </c>
      <c r="B3" s="3" t="str">
        <f>cond!C3</f>
        <v>603C10</v>
      </c>
      <c r="C3" s="9" t="str">
        <f>cond!C10</f>
        <v>RCRA / TSCA Biannual Trial burn, normal metal feeds</v>
      </c>
      <c r="D3" s="9"/>
      <c r="E3" s="46" t="s">
        <v>46</v>
      </c>
      <c r="F3" s="9"/>
    </row>
    <row r="4" spans="2:6" ht="12.75">
      <c r="B4" s="9"/>
      <c r="C4" s="9"/>
      <c r="D4" s="9"/>
      <c r="F4" s="9"/>
    </row>
    <row r="5" spans="2:6" ht="14.25">
      <c r="B5" s="9" t="s">
        <v>129</v>
      </c>
      <c r="C5" s="4" t="s">
        <v>53</v>
      </c>
      <c r="D5" s="4"/>
      <c r="E5">
        <v>1295</v>
      </c>
      <c r="F5" s="9"/>
    </row>
    <row r="6" spans="2:6" ht="14.25">
      <c r="B6" s="9" t="s">
        <v>128</v>
      </c>
      <c r="C6" s="4" t="s">
        <v>53</v>
      </c>
      <c r="D6" s="4"/>
      <c r="E6">
        <v>1680</v>
      </c>
      <c r="F6" s="9"/>
    </row>
    <row r="7" spans="2:5" s="9" customFormat="1" ht="12.75">
      <c r="B7" s="9" t="s">
        <v>114</v>
      </c>
      <c r="C7" s="9" t="s">
        <v>115</v>
      </c>
      <c r="E7">
        <v>2</v>
      </c>
    </row>
    <row r="8" spans="2:5" s="9" customFormat="1" ht="12.75">
      <c r="B8" s="9" t="s">
        <v>116</v>
      </c>
      <c r="C8" s="9" t="s">
        <v>115</v>
      </c>
      <c r="E8">
        <v>40</v>
      </c>
    </row>
    <row r="9" spans="2:5" s="9" customFormat="1" ht="12.75">
      <c r="B9" s="9" t="s">
        <v>118</v>
      </c>
      <c r="C9" s="9" t="s">
        <v>117</v>
      </c>
      <c r="E9">
        <v>66</v>
      </c>
    </row>
    <row r="10" spans="2:5" ht="12.75">
      <c r="B10" t="s">
        <v>130</v>
      </c>
      <c r="C10" t="s">
        <v>117</v>
      </c>
      <c r="E10">
        <v>285</v>
      </c>
    </row>
    <row r="11" spans="2:5" ht="12.75">
      <c r="B11" t="s">
        <v>131</v>
      </c>
      <c r="C11" t="s">
        <v>115</v>
      </c>
      <c r="E11">
        <v>8</v>
      </c>
    </row>
    <row r="12" spans="2:5" ht="12.75">
      <c r="B12" t="s">
        <v>132</v>
      </c>
      <c r="C12" t="s">
        <v>133</v>
      </c>
      <c r="E12">
        <v>9.7</v>
      </c>
    </row>
    <row r="15" spans="2:5" ht="12.75">
      <c r="B15" s="3" t="str">
        <f>cond!C13</f>
        <v>603C11</v>
      </c>
      <c r="C15" s="9" t="str">
        <f>cond!C20</f>
        <v>Nickel SRE</v>
      </c>
      <c r="D15" s="9"/>
      <c r="E15" s="46" t="s">
        <v>46</v>
      </c>
    </row>
    <row r="16" spans="2:4" ht="12.75">
      <c r="B16" s="9"/>
      <c r="C16" s="9"/>
      <c r="D16" s="9"/>
    </row>
    <row r="17" spans="2:5" ht="14.25">
      <c r="B17" s="9" t="s">
        <v>141</v>
      </c>
      <c r="C17" s="4" t="s">
        <v>53</v>
      </c>
      <c r="D17" s="4"/>
      <c r="E17">
        <v>1373</v>
      </c>
    </row>
    <row r="18" spans="2:5" ht="14.25">
      <c r="B18" s="9" t="s">
        <v>128</v>
      </c>
      <c r="C18" s="4" t="s">
        <v>53</v>
      </c>
      <c r="D18" s="4"/>
      <c r="E18">
        <v>1955</v>
      </c>
    </row>
    <row r="19" spans="2:5" ht="12.75">
      <c r="B19" s="9" t="s">
        <v>142</v>
      </c>
      <c r="C19" s="9" t="s">
        <v>115</v>
      </c>
      <c r="D19" s="9"/>
      <c r="E19">
        <v>-0.55</v>
      </c>
    </row>
    <row r="20" spans="2:5" ht="12.75">
      <c r="B20" s="9" t="s">
        <v>145</v>
      </c>
      <c r="C20" s="9" t="s">
        <v>117</v>
      </c>
      <c r="D20" s="9"/>
      <c r="E20">
        <v>2130</v>
      </c>
    </row>
    <row r="21" spans="2:5" ht="12.75">
      <c r="B21" s="9" t="s">
        <v>146</v>
      </c>
      <c r="C21" s="9"/>
      <c r="D21" s="9"/>
      <c r="E21">
        <v>5.4</v>
      </c>
    </row>
    <row r="22" spans="2:5" ht="12.75">
      <c r="B22" t="s">
        <v>144</v>
      </c>
      <c r="C22" t="s">
        <v>117</v>
      </c>
      <c r="E22">
        <v>745</v>
      </c>
    </row>
    <row r="23" spans="2:5" ht="12.75">
      <c r="B23" t="s">
        <v>147</v>
      </c>
      <c r="C23" t="s">
        <v>143</v>
      </c>
      <c r="E23">
        <v>21.7</v>
      </c>
    </row>
    <row r="24" spans="2:3" ht="12.75">
      <c r="B24" t="s">
        <v>132</v>
      </c>
      <c r="C24" t="s">
        <v>133</v>
      </c>
    </row>
    <row r="27" ht="12.75">
      <c r="B27" s="3"/>
    </row>
    <row r="28" spans="2:4" ht="12.75">
      <c r="B28" s="9"/>
      <c r="C28" s="9"/>
      <c r="D28" s="9"/>
    </row>
    <row r="29" spans="2:4" ht="14.25">
      <c r="B29" s="9"/>
      <c r="C29" s="4"/>
      <c r="D29" s="4"/>
    </row>
    <row r="30" spans="2:4" ht="14.25">
      <c r="B30" s="9"/>
      <c r="C30" s="4"/>
      <c r="D30" s="4"/>
    </row>
    <row r="31" spans="2:4" ht="12.75">
      <c r="B31" s="9"/>
      <c r="C31" s="9"/>
      <c r="D31" s="9"/>
    </row>
    <row r="32" spans="2:4" ht="12.75">
      <c r="B32" s="9"/>
      <c r="C32" s="9"/>
      <c r="D32" s="9"/>
    </row>
    <row r="33" spans="2:4" ht="12.75">
      <c r="B33" s="9"/>
      <c r="C33" s="9"/>
      <c r="D33" s="9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E113"/>
  <sheetViews>
    <sheetView workbookViewId="0" topLeftCell="C58">
      <selection activeCell="B35" sqref="B35"/>
    </sheetView>
  </sheetViews>
  <sheetFormatPr defaultColWidth="9.140625" defaultRowHeight="12.75"/>
  <cols>
    <col min="1" max="1" width="9.140625" style="0" hidden="1" customWidth="1"/>
    <col min="2" max="2" width="0" style="0" hidden="1" customWidth="1"/>
    <col min="3" max="3" width="33.140625" style="0" customWidth="1"/>
  </cols>
  <sheetData>
    <row r="1" ht="12.75">
      <c r="C1" s="3" t="s">
        <v>304</v>
      </c>
    </row>
    <row r="3" spans="3:7" ht="12.75">
      <c r="C3" s="3" t="str">
        <f>A5</f>
        <v>603C1</v>
      </c>
      <c r="E3" s="46" t="s">
        <v>209</v>
      </c>
      <c r="F3" s="46" t="s">
        <v>210</v>
      </c>
      <c r="G3" s="46" t="s">
        <v>211</v>
      </c>
    </row>
    <row r="5" spans="1:31" s="80" customFormat="1" ht="12.75">
      <c r="A5" s="80" t="s">
        <v>179</v>
      </c>
      <c r="B5" s="80" t="s">
        <v>296</v>
      </c>
      <c r="C5" s="80" t="s">
        <v>301</v>
      </c>
      <c r="D5" s="80" t="s">
        <v>297</v>
      </c>
      <c r="E5" s="81">
        <v>1846</v>
      </c>
      <c r="F5" s="81">
        <v>1750</v>
      </c>
      <c r="G5" s="81">
        <v>1730</v>
      </c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</row>
    <row r="6" spans="1:31" s="80" customFormat="1" ht="12.75">
      <c r="A6" s="80" t="s">
        <v>179</v>
      </c>
      <c r="B6" s="80" t="s">
        <v>298</v>
      </c>
      <c r="C6" s="80" t="s">
        <v>302</v>
      </c>
      <c r="D6" s="80" t="s">
        <v>297</v>
      </c>
      <c r="E6" s="81">
        <v>2268</v>
      </c>
      <c r="F6" s="81">
        <v>2277</v>
      </c>
      <c r="G6" s="81">
        <v>2324</v>
      </c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</row>
    <row r="7" spans="1:22" s="80" customFormat="1" ht="12.75">
      <c r="A7" s="80" t="s">
        <v>179</v>
      </c>
      <c r="B7" s="80" t="s">
        <v>296</v>
      </c>
      <c r="C7" s="80" t="s">
        <v>303</v>
      </c>
      <c r="D7" s="80" t="s">
        <v>297</v>
      </c>
      <c r="E7" s="81">
        <v>187</v>
      </c>
      <c r="F7" s="81">
        <v>188</v>
      </c>
      <c r="G7" s="81">
        <v>187</v>
      </c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</row>
    <row r="8" spans="1:22" s="80" customFormat="1" ht="12.75">
      <c r="A8" s="80" t="s">
        <v>179</v>
      </c>
      <c r="B8" s="80" t="s">
        <v>298</v>
      </c>
      <c r="C8" s="80" t="s">
        <v>299</v>
      </c>
      <c r="E8" s="81">
        <v>7.1</v>
      </c>
      <c r="F8" s="81">
        <v>7.4</v>
      </c>
      <c r="G8" s="81">
        <v>8.1</v>
      </c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</row>
    <row r="9" spans="1:22" s="80" customFormat="1" ht="12.75">
      <c r="A9" s="80" t="s">
        <v>179</v>
      </c>
      <c r="B9" s="80" t="s">
        <v>300</v>
      </c>
      <c r="C9" s="80" t="s">
        <v>299</v>
      </c>
      <c r="E9" s="81">
        <v>7.2</v>
      </c>
      <c r="F9" s="81">
        <v>7.8</v>
      </c>
      <c r="G9" s="81">
        <v>8.4</v>
      </c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</row>
    <row r="10" spans="5:22" s="80" customFormat="1" ht="12.75"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</row>
    <row r="11" spans="3:22" s="80" customFormat="1" ht="12.75">
      <c r="C11" s="3" t="str">
        <f>A13</f>
        <v>603C2</v>
      </c>
      <c r="E11" s="46" t="s">
        <v>209</v>
      </c>
      <c r="F11" s="46" t="s">
        <v>210</v>
      </c>
      <c r="G11" s="46" t="s">
        <v>211</v>
      </c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</row>
    <row r="12" spans="5:22" s="80" customFormat="1" ht="12.75"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</row>
    <row r="13" spans="1:31" s="80" customFormat="1" ht="12.75">
      <c r="A13" s="80" t="s">
        <v>188</v>
      </c>
      <c r="B13" s="80" t="s">
        <v>296</v>
      </c>
      <c r="C13" s="80" t="s">
        <v>301</v>
      </c>
      <c r="D13" s="80" t="s">
        <v>297</v>
      </c>
      <c r="E13" s="81">
        <v>1699</v>
      </c>
      <c r="F13" s="81">
        <v>1687</v>
      </c>
      <c r="G13" s="81">
        <v>1649</v>
      </c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</row>
    <row r="14" spans="1:31" s="80" customFormat="1" ht="12.75">
      <c r="A14" s="80" t="s">
        <v>188</v>
      </c>
      <c r="B14" s="80" t="s">
        <v>298</v>
      </c>
      <c r="C14" s="80" t="s">
        <v>302</v>
      </c>
      <c r="D14" s="80" t="s">
        <v>297</v>
      </c>
      <c r="E14" s="81">
        <v>2359</v>
      </c>
      <c r="F14" s="81">
        <v>2341</v>
      </c>
      <c r="G14" s="81">
        <v>2308</v>
      </c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</row>
    <row r="15" spans="1:22" s="80" customFormat="1" ht="12.75">
      <c r="A15" s="80" t="s">
        <v>188</v>
      </c>
      <c r="B15" s="80" t="s">
        <v>296</v>
      </c>
      <c r="C15" s="80" t="s">
        <v>303</v>
      </c>
      <c r="D15" s="80" t="s">
        <v>297</v>
      </c>
      <c r="E15" s="81">
        <v>188</v>
      </c>
      <c r="F15" s="81">
        <v>188</v>
      </c>
      <c r="G15" s="81">
        <v>185</v>
      </c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</row>
    <row r="16" spans="1:22" s="80" customFormat="1" ht="12.75">
      <c r="A16" s="80" t="s">
        <v>188</v>
      </c>
      <c r="B16" s="80" t="s">
        <v>298</v>
      </c>
      <c r="C16" s="80" t="s">
        <v>299</v>
      </c>
      <c r="E16" s="81">
        <v>8.4</v>
      </c>
      <c r="F16" s="81">
        <v>8.5</v>
      </c>
      <c r="G16" s="81">
        <v>8.3</v>
      </c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</row>
    <row r="17" spans="1:22" s="80" customFormat="1" ht="12.75">
      <c r="A17" s="80" t="s">
        <v>188</v>
      </c>
      <c r="B17" s="80" t="s">
        <v>300</v>
      </c>
      <c r="C17" s="80" t="s">
        <v>299</v>
      </c>
      <c r="E17" s="81">
        <v>9.4</v>
      </c>
      <c r="F17" s="81">
        <v>9.5</v>
      </c>
      <c r="G17" s="81">
        <v>9.5</v>
      </c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</row>
    <row r="18" spans="5:22" s="80" customFormat="1" ht="12.75"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</row>
    <row r="19" spans="3:22" s="80" customFormat="1" ht="12.75">
      <c r="C19" s="3" t="str">
        <f>A21</f>
        <v>603C3</v>
      </c>
      <c r="E19" s="46" t="s">
        <v>209</v>
      </c>
      <c r="F19" s="46" t="s">
        <v>210</v>
      </c>
      <c r="G19" s="46" t="s">
        <v>211</v>
      </c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</row>
    <row r="20" spans="5:22" s="80" customFormat="1" ht="12.75"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</row>
    <row r="21" spans="1:31" s="80" customFormat="1" ht="12.75">
      <c r="A21" s="80" t="s">
        <v>190</v>
      </c>
      <c r="B21" s="80" t="s">
        <v>296</v>
      </c>
      <c r="C21" s="80" t="s">
        <v>301</v>
      </c>
      <c r="D21" s="80" t="s">
        <v>297</v>
      </c>
      <c r="E21" s="81">
        <v>1476</v>
      </c>
      <c r="F21" s="81">
        <v>1468</v>
      </c>
      <c r="G21" s="81">
        <v>1438</v>
      </c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</row>
    <row r="22" spans="1:31" s="80" customFormat="1" ht="12.75">
      <c r="A22" s="80" t="s">
        <v>190</v>
      </c>
      <c r="B22" s="80" t="s">
        <v>298</v>
      </c>
      <c r="C22" s="80" t="s">
        <v>302</v>
      </c>
      <c r="D22" s="80" t="s">
        <v>297</v>
      </c>
      <c r="E22" s="81">
        <v>2281</v>
      </c>
      <c r="F22" s="81">
        <v>2280</v>
      </c>
      <c r="G22" s="81">
        <v>2238</v>
      </c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</row>
    <row r="23" spans="1:22" s="80" customFormat="1" ht="12.75">
      <c r="A23" s="80" t="s">
        <v>190</v>
      </c>
      <c r="B23" s="80" t="s">
        <v>296</v>
      </c>
      <c r="C23" s="80" t="s">
        <v>303</v>
      </c>
      <c r="D23" s="80" t="s">
        <v>297</v>
      </c>
      <c r="E23" s="81">
        <v>186</v>
      </c>
      <c r="F23" s="81">
        <v>186</v>
      </c>
      <c r="G23" s="81">
        <v>186</v>
      </c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</row>
    <row r="24" spans="1:22" s="80" customFormat="1" ht="12.75">
      <c r="A24" s="80" t="s">
        <v>190</v>
      </c>
      <c r="B24" s="80" t="s">
        <v>298</v>
      </c>
      <c r="C24" s="80" t="s">
        <v>299</v>
      </c>
      <c r="E24" s="81">
        <v>7.1</v>
      </c>
      <c r="F24" s="81">
        <v>7.3</v>
      </c>
      <c r="G24" s="81">
        <v>7.3</v>
      </c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</row>
    <row r="25" spans="1:22" s="80" customFormat="1" ht="12.75">
      <c r="A25" s="80" t="s">
        <v>190</v>
      </c>
      <c r="B25" s="80" t="s">
        <v>300</v>
      </c>
      <c r="C25" s="80" t="s">
        <v>299</v>
      </c>
      <c r="E25" s="81">
        <v>7</v>
      </c>
      <c r="F25" s="81">
        <v>7.5</v>
      </c>
      <c r="G25" s="81">
        <v>7.8</v>
      </c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</row>
    <row r="26" spans="5:22" s="80" customFormat="1" ht="12.75"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</row>
    <row r="27" spans="3:22" s="80" customFormat="1" ht="12.75">
      <c r="C27" s="3" t="str">
        <f>A29</f>
        <v>603C4</v>
      </c>
      <c r="E27" s="46" t="s">
        <v>209</v>
      </c>
      <c r="F27" s="46" t="s">
        <v>210</v>
      </c>
      <c r="G27" s="46" t="s">
        <v>211</v>
      </c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</row>
    <row r="28" spans="5:22" s="80" customFormat="1" ht="12.75"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</row>
    <row r="29" spans="1:31" s="80" customFormat="1" ht="12.75">
      <c r="A29" s="80" t="s">
        <v>192</v>
      </c>
      <c r="B29" s="80" t="s">
        <v>296</v>
      </c>
      <c r="C29" s="80" t="s">
        <v>301</v>
      </c>
      <c r="D29" s="80" t="s">
        <v>297</v>
      </c>
      <c r="E29" s="81">
        <v>1571</v>
      </c>
      <c r="F29" s="81">
        <v>1519</v>
      </c>
      <c r="G29" s="81">
        <v>1465</v>
      </c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</row>
    <row r="30" spans="1:31" s="80" customFormat="1" ht="12.75">
      <c r="A30" s="80" t="s">
        <v>192</v>
      </c>
      <c r="B30" s="80" t="s">
        <v>298</v>
      </c>
      <c r="C30" s="80" t="s">
        <v>302</v>
      </c>
      <c r="D30" s="80" t="s">
        <v>297</v>
      </c>
      <c r="E30" s="81">
        <v>2341</v>
      </c>
      <c r="F30" s="81">
        <v>2352</v>
      </c>
      <c r="G30" s="81">
        <v>2319</v>
      </c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</row>
    <row r="31" spans="1:22" s="80" customFormat="1" ht="12.75">
      <c r="A31" s="80" t="s">
        <v>192</v>
      </c>
      <c r="B31" s="80" t="s">
        <v>296</v>
      </c>
      <c r="C31" s="80" t="s">
        <v>303</v>
      </c>
      <c r="D31" s="80" t="s">
        <v>297</v>
      </c>
      <c r="E31" s="81">
        <v>188</v>
      </c>
      <c r="F31" s="81">
        <v>189</v>
      </c>
      <c r="G31" s="81">
        <v>191</v>
      </c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</row>
    <row r="32" spans="1:22" s="80" customFormat="1" ht="12.75">
      <c r="A32" s="80" t="s">
        <v>192</v>
      </c>
      <c r="B32" s="80" t="s">
        <v>298</v>
      </c>
      <c r="C32" s="80" t="s">
        <v>299</v>
      </c>
      <c r="E32" s="81">
        <v>7.2</v>
      </c>
      <c r="F32" s="81">
        <v>7.2</v>
      </c>
      <c r="G32" s="81">
        <v>7.5</v>
      </c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</row>
    <row r="33" spans="1:22" s="80" customFormat="1" ht="12.75">
      <c r="A33" s="80" t="s">
        <v>192</v>
      </c>
      <c r="B33" s="80" t="s">
        <v>300</v>
      </c>
      <c r="C33" s="80" t="s">
        <v>299</v>
      </c>
      <c r="E33" s="81">
        <v>7.3</v>
      </c>
      <c r="F33" s="81">
        <v>7.3</v>
      </c>
      <c r="G33" s="81">
        <v>7.3</v>
      </c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</row>
    <row r="34" spans="5:22" s="80" customFormat="1" ht="12.75"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</row>
    <row r="35" spans="3:22" s="80" customFormat="1" ht="12.75">
      <c r="C35" s="3" t="str">
        <f>A37</f>
        <v>603C5</v>
      </c>
      <c r="E35" s="46" t="s">
        <v>209</v>
      </c>
      <c r="F35" s="46" t="s">
        <v>210</v>
      </c>
      <c r="G35" s="46" t="s">
        <v>211</v>
      </c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</row>
    <row r="36" spans="5:22" s="80" customFormat="1" ht="12.75"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</row>
    <row r="37" spans="1:31" s="80" customFormat="1" ht="12.75">
      <c r="A37" s="80" t="s">
        <v>194</v>
      </c>
      <c r="B37" s="80" t="s">
        <v>296</v>
      </c>
      <c r="C37" s="80" t="s">
        <v>301</v>
      </c>
      <c r="D37" s="80" t="s">
        <v>297</v>
      </c>
      <c r="E37" s="81">
        <v>1449</v>
      </c>
      <c r="F37" s="81">
        <v>1638</v>
      </c>
      <c r="G37" s="81">
        <v>1556</v>
      </c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</row>
    <row r="38" spans="1:31" s="80" customFormat="1" ht="12.75">
      <c r="A38" s="80" t="s">
        <v>194</v>
      </c>
      <c r="B38" s="80" t="s">
        <v>298</v>
      </c>
      <c r="C38" s="80" t="s">
        <v>302</v>
      </c>
      <c r="D38" s="80" t="s">
        <v>297</v>
      </c>
      <c r="E38" s="81">
        <v>1862</v>
      </c>
      <c r="F38" s="81">
        <v>1872</v>
      </c>
      <c r="G38" s="81">
        <v>1858</v>
      </c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22" s="80" customFormat="1" ht="12.75">
      <c r="A39" s="80" t="s">
        <v>194</v>
      </c>
      <c r="B39" s="80" t="s">
        <v>296</v>
      </c>
      <c r="C39" s="80" t="s">
        <v>303</v>
      </c>
      <c r="D39" s="80" t="s">
        <v>297</v>
      </c>
      <c r="E39" s="81">
        <v>184</v>
      </c>
      <c r="F39" s="81">
        <v>182</v>
      </c>
      <c r="G39" s="81">
        <v>182</v>
      </c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</row>
    <row r="40" spans="1:22" s="80" customFormat="1" ht="12.75">
      <c r="A40" s="80" t="s">
        <v>194</v>
      </c>
      <c r="B40" s="80" t="s">
        <v>298</v>
      </c>
      <c r="C40" s="80" t="s">
        <v>299</v>
      </c>
      <c r="E40" s="81">
        <v>7.2</v>
      </c>
      <c r="F40" s="81">
        <v>6.8</v>
      </c>
      <c r="G40" s="81">
        <v>6.8</v>
      </c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</row>
    <row r="41" spans="1:22" s="80" customFormat="1" ht="12.75">
      <c r="A41" s="80" t="s">
        <v>194</v>
      </c>
      <c r="B41" s="80" t="s">
        <v>300</v>
      </c>
      <c r="C41" s="80" t="s">
        <v>299</v>
      </c>
      <c r="E41" s="81">
        <v>7</v>
      </c>
      <c r="F41" s="81">
        <v>6.9</v>
      </c>
      <c r="G41" s="81">
        <v>6.9</v>
      </c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</row>
    <row r="42" spans="5:22" s="80" customFormat="1" ht="12.75"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</row>
    <row r="43" spans="3:22" s="80" customFormat="1" ht="12.75">
      <c r="C43" s="3" t="str">
        <f>A45</f>
        <v>603C6</v>
      </c>
      <c r="E43" s="46" t="s">
        <v>209</v>
      </c>
      <c r="F43" s="46" t="s">
        <v>210</v>
      </c>
      <c r="G43" s="46" t="s">
        <v>211</v>
      </c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</row>
    <row r="44" spans="5:22" s="80" customFormat="1" ht="12.75"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</row>
    <row r="45" spans="1:31" s="80" customFormat="1" ht="12.75">
      <c r="A45" s="80" t="s">
        <v>196</v>
      </c>
      <c r="B45" s="80" t="s">
        <v>296</v>
      </c>
      <c r="C45" s="80" t="s">
        <v>301</v>
      </c>
      <c r="D45" s="80" t="s">
        <v>297</v>
      </c>
      <c r="E45" s="81">
        <v>1816</v>
      </c>
      <c r="F45" s="81">
        <v>1853</v>
      </c>
      <c r="G45" s="81">
        <v>1809</v>
      </c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</row>
    <row r="46" spans="1:31" s="80" customFormat="1" ht="12.75">
      <c r="A46" s="80" t="s">
        <v>196</v>
      </c>
      <c r="B46" s="80" t="s">
        <v>298</v>
      </c>
      <c r="C46" s="80" t="s">
        <v>302</v>
      </c>
      <c r="D46" s="80" t="s">
        <v>297</v>
      </c>
      <c r="E46" s="81">
        <v>2204</v>
      </c>
      <c r="F46" s="81">
        <v>2209</v>
      </c>
      <c r="G46" s="81">
        <v>2205</v>
      </c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</row>
    <row r="47" spans="1:22" s="80" customFormat="1" ht="12.75">
      <c r="A47" s="80" t="s">
        <v>196</v>
      </c>
      <c r="B47" s="80" t="s">
        <v>296</v>
      </c>
      <c r="C47" s="80" t="s">
        <v>303</v>
      </c>
      <c r="D47" s="80" t="s">
        <v>297</v>
      </c>
      <c r="E47" s="81">
        <v>189</v>
      </c>
      <c r="F47" s="81">
        <v>199</v>
      </c>
      <c r="G47" s="81">
        <v>191</v>
      </c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</row>
    <row r="48" spans="1:22" s="80" customFormat="1" ht="12.75">
      <c r="A48" s="80" t="s">
        <v>196</v>
      </c>
      <c r="B48" s="80" t="s">
        <v>298</v>
      </c>
      <c r="C48" s="80" t="s">
        <v>299</v>
      </c>
      <c r="E48" s="81">
        <v>8.1</v>
      </c>
      <c r="F48" s="81">
        <v>9.4</v>
      </c>
      <c r="G48" s="81">
        <v>8.9</v>
      </c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</row>
    <row r="49" spans="1:22" s="80" customFormat="1" ht="12.75">
      <c r="A49" s="80" t="s">
        <v>196</v>
      </c>
      <c r="B49" s="80" t="s">
        <v>300</v>
      </c>
      <c r="C49" s="80" t="s">
        <v>299</v>
      </c>
      <c r="E49" s="81">
        <v>8.1</v>
      </c>
      <c r="F49" s="81">
        <v>9.4</v>
      </c>
      <c r="G49" s="81">
        <v>8.9</v>
      </c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</row>
    <row r="50" spans="5:22" s="80" customFormat="1" ht="12.75"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</row>
    <row r="51" spans="3:22" s="80" customFormat="1" ht="12.75">
      <c r="C51" s="3" t="str">
        <f>A53</f>
        <v>603C7</v>
      </c>
      <c r="E51" s="46" t="s">
        <v>209</v>
      </c>
      <c r="F51" s="46" t="s">
        <v>210</v>
      </c>
      <c r="G51" s="46" t="s">
        <v>211</v>
      </c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</row>
    <row r="52" spans="5:22" s="80" customFormat="1" ht="12.75"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</row>
    <row r="53" spans="1:31" s="80" customFormat="1" ht="12.75">
      <c r="A53" s="80" t="s">
        <v>198</v>
      </c>
      <c r="B53" s="80" t="s">
        <v>296</v>
      </c>
      <c r="C53" s="80" t="s">
        <v>301</v>
      </c>
      <c r="D53" s="80" t="s">
        <v>297</v>
      </c>
      <c r="E53" s="81">
        <v>1804</v>
      </c>
      <c r="F53" s="81">
        <v>1846</v>
      </c>
      <c r="G53" s="81">
        <v>1820</v>
      </c>
      <c r="H53" s="81">
        <v>1821</v>
      </c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</row>
    <row r="54" spans="1:31" s="80" customFormat="1" ht="12.75">
      <c r="A54" s="80" t="s">
        <v>198</v>
      </c>
      <c r="B54" s="80" t="s">
        <v>298</v>
      </c>
      <c r="C54" s="80" t="s">
        <v>302</v>
      </c>
      <c r="D54" s="80" t="s">
        <v>297</v>
      </c>
      <c r="E54" s="81">
        <v>2223</v>
      </c>
      <c r="F54" s="81">
        <v>2205</v>
      </c>
      <c r="G54" s="81">
        <v>2239</v>
      </c>
      <c r="H54" s="81">
        <v>2232</v>
      </c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</row>
    <row r="55" spans="1:22" s="80" customFormat="1" ht="12.75">
      <c r="A55" s="80" t="s">
        <v>198</v>
      </c>
      <c r="B55" s="80" t="s">
        <v>296</v>
      </c>
      <c r="C55" s="80" t="s">
        <v>303</v>
      </c>
      <c r="D55" s="80" t="s">
        <v>297</v>
      </c>
      <c r="E55" s="81">
        <v>191</v>
      </c>
      <c r="F55" s="81">
        <v>192</v>
      </c>
      <c r="G55" s="81">
        <v>190</v>
      </c>
      <c r="H55" s="81">
        <v>190</v>
      </c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</row>
    <row r="56" spans="1:22" s="80" customFormat="1" ht="12.75">
      <c r="A56" s="80" t="s">
        <v>198</v>
      </c>
      <c r="B56" s="80" t="s">
        <v>298</v>
      </c>
      <c r="C56" s="80" t="s">
        <v>299</v>
      </c>
      <c r="E56" s="81">
        <v>6.6</v>
      </c>
      <c r="F56" s="81">
        <v>7.6</v>
      </c>
      <c r="G56" s="81">
        <v>6.8</v>
      </c>
      <c r="H56" s="81">
        <v>7.3</v>
      </c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</row>
    <row r="57" spans="1:22" s="80" customFormat="1" ht="12.75">
      <c r="A57" s="80" t="s">
        <v>198</v>
      </c>
      <c r="B57" s="80" t="s">
        <v>300</v>
      </c>
      <c r="C57" s="80" t="s">
        <v>299</v>
      </c>
      <c r="E57" s="81">
        <v>6.6</v>
      </c>
      <c r="F57" s="81">
        <v>7.6</v>
      </c>
      <c r="G57" s="81">
        <v>6.8</v>
      </c>
      <c r="H57" s="81">
        <v>7.3</v>
      </c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</row>
    <row r="58" spans="5:22" s="80" customFormat="1" ht="12.75"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</row>
    <row r="59" spans="3:22" s="80" customFormat="1" ht="12.75">
      <c r="C59" s="3" t="str">
        <f>A61</f>
        <v>603C8</v>
      </c>
      <c r="E59" s="46" t="s">
        <v>209</v>
      </c>
      <c r="F59" s="46" t="s">
        <v>210</v>
      </c>
      <c r="G59" s="46" t="s">
        <v>211</v>
      </c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</row>
    <row r="60" spans="5:22" s="80" customFormat="1" ht="12.75"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</row>
    <row r="61" spans="1:31" s="80" customFormat="1" ht="12.75">
      <c r="A61" s="80" t="s">
        <v>199</v>
      </c>
      <c r="B61" s="80" t="s">
        <v>296</v>
      </c>
      <c r="C61" s="80" t="s">
        <v>301</v>
      </c>
      <c r="D61" s="80" t="s">
        <v>297</v>
      </c>
      <c r="E61" s="81">
        <v>1766</v>
      </c>
      <c r="F61" s="81">
        <v>1739</v>
      </c>
      <c r="G61" s="81">
        <v>1751</v>
      </c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</row>
    <row r="62" spans="1:31" s="80" customFormat="1" ht="12.75">
      <c r="A62" s="80" t="s">
        <v>199</v>
      </c>
      <c r="B62" s="80" t="s">
        <v>298</v>
      </c>
      <c r="C62" s="80" t="s">
        <v>302</v>
      </c>
      <c r="D62" s="80" t="s">
        <v>297</v>
      </c>
      <c r="E62" s="81">
        <v>2396</v>
      </c>
      <c r="F62" s="81">
        <v>2382</v>
      </c>
      <c r="G62" s="81">
        <v>2359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</row>
    <row r="63" spans="1:22" s="80" customFormat="1" ht="12.75">
      <c r="A63" s="80" t="s">
        <v>199</v>
      </c>
      <c r="B63" s="80" t="s">
        <v>296</v>
      </c>
      <c r="C63" s="80" t="s">
        <v>303</v>
      </c>
      <c r="D63" s="80" t="s">
        <v>297</v>
      </c>
      <c r="E63" s="81">
        <v>185</v>
      </c>
      <c r="F63" s="81">
        <v>184</v>
      </c>
      <c r="G63" s="81">
        <v>184</v>
      </c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</row>
    <row r="64" spans="1:22" s="80" customFormat="1" ht="12.75">
      <c r="A64" s="80" t="s">
        <v>199</v>
      </c>
      <c r="B64" s="80" t="s">
        <v>298</v>
      </c>
      <c r="C64" s="80" t="s">
        <v>299</v>
      </c>
      <c r="E64" s="81">
        <v>7.2</v>
      </c>
      <c r="F64" s="81">
        <v>7.3</v>
      </c>
      <c r="G64" s="81">
        <v>7.7</v>
      </c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</row>
    <row r="65" spans="1:22" s="80" customFormat="1" ht="12.75">
      <c r="A65" s="80" t="s">
        <v>199</v>
      </c>
      <c r="B65" s="80" t="s">
        <v>300</v>
      </c>
      <c r="C65" s="80" t="s">
        <v>299</v>
      </c>
      <c r="E65" s="81">
        <v>7.2</v>
      </c>
      <c r="F65" s="81">
        <v>7.3</v>
      </c>
      <c r="G65" s="81">
        <v>7.7</v>
      </c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</row>
    <row r="66" spans="5:22" s="80" customFormat="1" ht="12.75"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</row>
    <row r="67" spans="3:22" s="80" customFormat="1" ht="12.75">
      <c r="C67" s="3" t="str">
        <f>A69</f>
        <v>603C9</v>
      </c>
      <c r="E67" s="46" t="s">
        <v>209</v>
      </c>
      <c r="F67" s="46" t="s">
        <v>210</v>
      </c>
      <c r="G67" s="46" t="s">
        <v>211</v>
      </c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</row>
    <row r="68" spans="5:22" s="80" customFormat="1" ht="12.75"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</row>
    <row r="69" spans="1:31" s="80" customFormat="1" ht="12.75">
      <c r="A69" s="80" t="s">
        <v>200</v>
      </c>
      <c r="B69" s="80" t="s">
        <v>298</v>
      </c>
      <c r="C69" s="80" t="s">
        <v>302</v>
      </c>
      <c r="D69" s="80" t="s">
        <v>297</v>
      </c>
      <c r="E69" s="81">
        <v>2265</v>
      </c>
      <c r="F69" s="81">
        <v>2252</v>
      </c>
      <c r="G69" s="81">
        <v>2267</v>
      </c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</row>
    <row r="70" spans="1:22" s="80" customFormat="1" ht="12.75">
      <c r="A70" s="80" t="s">
        <v>200</v>
      </c>
      <c r="B70" s="80" t="s">
        <v>296</v>
      </c>
      <c r="C70" s="80" t="s">
        <v>303</v>
      </c>
      <c r="D70" s="80" t="s">
        <v>297</v>
      </c>
      <c r="E70" s="81">
        <v>183</v>
      </c>
      <c r="F70" s="81">
        <v>183</v>
      </c>
      <c r="G70" s="81">
        <v>183</v>
      </c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</row>
    <row r="71" spans="1:22" s="80" customFormat="1" ht="12.75">
      <c r="A71" s="80" t="s">
        <v>200</v>
      </c>
      <c r="B71" s="80" t="s">
        <v>298</v>
      </c>
      <c r="C71" s="80" t="s">
        <v>299</v>
      </c>
      <c r="E71" s="81">
        <v>6.8</v>
      </c>
      <c r="F71" s="81">
        <v>8</v>
      </c>
      <c r="G71" s="81">
        <v>8.5</v>
      </c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</row>
    <row r="72" spans="1:22" s="80" customFormat="1" ht="12.75">
      <c r="A72" s="80" t="s">
        <v>200</v>
      </c>
      <c r="B72" s="80" t="s">
        <v>300</v>
      </c>
      <c r="C72" s="80" t="s">
        <v>299</v>
      </c>
      <c r="E72" s="81">
        <v>6.8</v>
      </c>
      <c r="F72" s="81">
        <v>8</v>
      </c>
      <c r="G72" s="81">
        <v>8.5</v>
      </c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</row>
    <row r="73" spans="5:22" s="80" customFormat="1" ht="12.75"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</row>
    <row r="74" spans="3:22" s="80" customFormat="1" ht="12.75">
      <c r="C74" s="3" t="str">
        <f>A76</f>
        <v>603B1</v>
      </c>
      <c r="E74" s="46" t="s">
        <v>210</v>
      </c>
      <c r="F74" s="46" t="s">
        <v>211</v>
      </c>
      <c r="G74" s="83" t="s">
        <v>232</v>
      </c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</row>
    <row r="75" spans="5:22" s="80" customFormat="1" ht="12.75">
      <c r="E75" s="81"/>
      <c r="F75" s="81"/>
      <c r="G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</row>
    <row r="76" spans="1:31" s="80" customFormat="1" ht="12.75">
      <c r="A76" s="80" t="s">
        <v>201</v>
      </c>
      <c r="B76" s="80" t="s">
        <v>296</v>
      </c>
      <c r="C76" s="80" t="s">
        <v>301</v>
      </c>
      <c r="D76" s="80" t="s">
        <v>297</v>
      </c>
      <c r="E76" s="81">
        <v>1643</v>
      </c>
      <c r="F76" s="81">
        <v>1677</v>
      </c>
      <c r="G76" s="81">
        <v>1748</v>
      </c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</row>
    <row r="77" spans="1:31" s="80" customFormat="1" ht="12.75">
      <c r="A77" s="80" t="s">
        <v>201</v>
      </c>
      <c r="B77" s="80" t="s">
        <v>298</v>
      </c>
      <c r="C77" s="80" t="s">
        <v>302</v>
      </c>
      <c r="D77" s="80" t="s">
        <v>297</v>
      </c>
      <c r="E77" s="81">
        <v>2194</v>
      </c>
      <c r="F77" s="81">
        <v>2227</v>
      </c>
      <c r="G77" s="81">
        <v>2279</v>
      </c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</row>
    <row r="78" spans="1:22" s="80" customFormat="1" ht="12.75">
      <c r="A78" s="80" t="s">
        <v>201</v>
      </c>
      <c r="B78" s="80" t="s">
        <v>296</v>
      </c>
      <c r="C78" s="80" t="s">
        <v>303</v>
      </c>
      <c r="D78" s="80" t="s">
        <v>297</v>
      </c>
      <c r="E78" s="81">
        <v>187</v>
      </c>
      <c r="F78" s="81">
        <v>189</v>
      </c>
      <c r="G78" s="81">
        <v>188</v>
      </c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</row>
    <row r="79" spans="1:22" s="80" customFormat="1" ht="12.75">
      <c r="A79" s="80" t="s">
        <v>201</v>
      </c>
      <c r="B79" s="80" t="s">
        <v>298</v>
      </c>
      <c r="C79" s="80" t="s">
        <v>299</v>
      </c>
      <c r="E79" s="81">
        <v>7.1</v>
      </c>
      <c r="F79" s="81">
        <v>7.5</v>
      </c>
      <c r="G79" s="81">
        <v>6.8</v>
      </c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</row>
    <row r="80" spans="1:22" s="80" customFormat="1" ht="12.75">
      <c r="A80" s="80" t="s">
        <v>201</v>
      </c>
      <c r="B80" s="80" t="s">
        <v>300</v>
      </c>
      <c r="C80" s="80" t="s">
        <v>299</v>
      </c>
      <c r="E80" s="81">
        <v>7.1</v>
      </c>
      <c r="F80" s="81">
        <v>7.5</v>
      </c>
      <c r="G80" s="81">
        <v>6.8</v>
      </c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</row>
    <row r="81" spans="8:22" s="80" customFormat="1" ht="12.75"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</row>
    <row r="82" spans="3:22" s="80" customFormat="1" ht="12.75">
      <c r="C82" s="3" t="str">
        <f>A84</f>
        <v>603B2</v>
      </c>
      <c r="E82" s="46" t="s">
        <v>209</v>
      </c>
      <c r="F82" s="46" t="s">
        <v>210</v>
      </c>
      <c r="G82" s="46" t="s">
        <v>211</v>
      </c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</row>
    <row r="83" spans="5:22" s="80" customFormat="1" ht="12.75"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</row>
    <row r="84" spans="1:31" s="80" customFormat="1" ht="12.75">
      <c r="A84" s="80" t="s">
        <v>203</v>
      </c>
      <c r="B84" s="80" t="s">
        <v>296</v>
      </c>
      <c r="C84" s="80" t="s">
        <v>301</v>
      </c>
      <c r="D84" s="80" t="s">
        <v>297</v>
      </c>
      <c r="E84" s="81">
        <v>1992</v>
      </c>
      <c r="F84" s="81">
        <v>1991</v>
      </c>
      <c r="G84" s="81">
        <v>2001</v>
      </c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</row>
    <row r="85" spans="1:31" s="80" customFormat="1" ht="12.75">
      <c r="A85" s="80" t="s">
        <v>203</v>
      </c>
      <c r="B85" s="80" t="s">
        <v>298</v>
      </c>
      <c r="C85" s="80" t="s">
        <v>302</v>
      </c>
      <c r="D85" s="80" t="s">
        <v>297</v>
      </c>
      <c r="E85" s="81">
        <v>2317</v>
      </c>
      <c r="F85" s="81">
        <v>2318</v>
      </c>
      <c r="G85" s="81">
        <v>2275</v>
      </c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</row>
    <row r="86" spans="1:22" s="80" customFormat="1" ht="12.75">
      <c r="A86" s="80" t="s">
        <v>203</v>
      </c>
      <c r="B86" s="80" t="s">
        <v>296</v>
      </c>
      <c r="C86" s="80" t="s">
        <v>303</v>
      </c>
      <c r="D86" s="80" t="s">
        <v>297</v>
      </c>
      <c r="E86" s="81">
        <v>188</v>
      </c>
      <c r="F86" s="81">
        <v>188</v>
      </c>
      <c r="G86" s="81">
        <v>189</v>
      </c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</row>
    <row r="87" spans="1:22" s="80" customFormat="1" ht="12.75">
      <c r="A87" s="80" t="s">
        <v>203</v>
      </c>
      <c r="B87" s="80" t="s">
        <v>298</v>
      </c>
      <c r="C87" s="80" t="s">
        <v>299</v>
      </c>
      <c r="E87" s="81">
        <v>7.5</v>
      </c>
      <c r="F87" s="81">
        <v>7.3</v>
      </c>
      <c r="G87" s="81">
        <v>7.5</v>
      </c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</row>
    <row r="88" spans="1:22" s="80" customFormat="1" ht="12.75">
      <c r="A88" s="80" t="s">
        <v>203</v>
      </c>
      <c r="B88" s="80" t="s">
        <v>300</v>
      </c>
      <c r="C88" s="80" t="s">
        <v>299</v>
      </c>
      <c r="E88" s="81">
        <v>7.5</v>
      </c>
      <c r="F88" s="81">
        <v>7.3</v>
      </c>
      <c r="G88" s="81">
        <v>7.5</v>
      </c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</row>
    <row r="89" spans="5:22" s="80" customFormat="1" ht="12.75"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</row>
    <row r="90" spans="3:22" s="80" customFormat="1" ht="12.75">
      <c r="C90" s="3" t="str">
        <f>A92</f>
        <v>603B3</v>
      </c>
      <c r="E90" s="46" t="s">
        <v>209</v>
      </c>
      <c r="F90" s="46" t="s">
        <v>210</v>
      </c>
      <c r="G90" s="46" t="s">
        <v>211</v>
      </c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</row>
    <row r="91" spans="5:22" s="80" customFormat="1" ht="12.75"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</row>
    <row r="92" spans="1:31" s="80" customFormat="1" ht="12.75">
      <c r="A92" s="80" t="s">
        <v>205</v>
      </c>
      <c r="B92" s="80" t="s">
        <v>296</v>
      </c>
      <c r="C92" s="80" t="s">
        <v>301</v>
      </c>
      <c r="D92" s="80" t="s">
        <v>297</v>
      </c>
      <c r="E92" s="81">
        <v>1704</v>
      </c>
      <c r="F92" s="81">
        <v>1725</v>
      </c>
      <c r="G92" s="81">
        <v>1772</v>
      </c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</row>
    <row r="93" spans="1:31" s="80" customFormat="1" ht="12.75">
      <c r="A93" s="80" t="s">
        <v>205</v>
      </c>
      <c r="B93" s="80" t="s">
        <v>298</v>
      </c>
      <c r="C93" s="80" t="s">
        <v>302</v>
      </c>
      <c r="D93" s="80" t="s">
        <v>297</v>
      </c>
      <c r="E93" s="81">
        <v>2058</v>
      </c>
      <c r="F93" s="81">
        <v>2056</v>
      </c>
      <c r="G93" s="81">
        <v>2069</v>
      </c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</row>
    <row r="94" spans="1:22" s="80" customFormat="1" ht="12.75">
      <c r="A94" s="80" t="s">
        <v>205</v>
      </c>
      <c r="B94" s="80" t="s">
        <v>296</v>
      </c>
      <c r="C94" s="80" t="s">
        <v>303</v>
      </c>
      <c r="D94" s="80" t="s">
        <v>297</v>
      </c>
      <c r="E94" s="81">
        <v>186</v>
      </c>
      <c r="F94" s="81">
        <v>186</v>
      </c>
      <c r="G94" s="81">
        <v>172</v>
      </c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</row>
    <row r="95" spans="1:22" s="80" customFormat="1" ht="12.75">
      <c r="A95" s="80" t="s">
        <v>205</v>
      </c>
      <c r="B95" s="80" t="s">
        <v>300</v>
      </c>
      <c r="C95" s="80" t="s">
        <v>299</v>
      </c>
      <c r="E95" s="81">
        <v>8</v>
      </c>
      <c r="F95" s="81">
        <v>8.5</v>
      </c>
      <c r="G95" s="81">
        <v>8.5</v>
      </c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</row>
    <row r="96" spans="1:22" s="80" customFormat="1" ht="12.75">
      <c r="A96" s="80" t="s">
        <v>205</v>
      </c>
      <c r="B96" s="80" t="s">
        <v>298</v>
      </c>
      <c r="C96" s="80" t="s">
        <v>299</v>
      </c>
      <c r="E96" s="81">
        <v>8.2</v>
      </c>
      <c r="F96" s="81">
        <v>8.6</v>
      </c>
      <c r="G96" s="81">
        <v>8.6</v>
      </c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</row>
    <row r="97" spans="5:22" s="80" customFormat="1" ht="12.75"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</row>
    <row r="98" spans="3:22" s="80" customFormat="1" ht="12.75">
      <c r="C98" s="3" t="str">
        <f>A100</f>
        <v>603B4</v>
      </c>
      <c r="E98" s="46" t="s">
        <v>209</v>
      </c>
      <c r="F98" s="46" t="s">
        <v>210</v>
      </c>
      <c r="G98" s="46" t="s">
        <v>211</v>
      </c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</row>
    <row r="99" spans="5:22" s="80" customFormat="1" ht="12.75"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</row>
    <row r="100" spans="1:31" s="80" customFormat="1" ht="12.75">
      <c r="A100" s="80" t="s">
        <v>207</v>
      </c>
      <c r="B100" s="80" t="s">
        <v>296</v>
      </c>
      <c r="C100" s="80" t="s">
        <v>301</v>
      </c>
      <c r="D100" s="80" t="s">
        <v>297</v>
      </c>
      <c r="E100" s="81">
        <v>1181</v>
      </c>
      <c r="F100" s="81">
        <v>1186</v>
      </c>
      <c r="G100" s="81">
        <v>1203</v>
      </c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</row>
    <row r="101" spans="1:31" s="80" customFormat="1" ht="12.75">
      <c r="A101" s="80" t="s">
        <v>207</v>
      </c>
      <c r="B101" s="80" t="s">
        <v>298</v>
      </c>
      <c r="C101" s="80" t="s">
        <v>302</v>
      </c>
      <c r="D101" s="80" t="s">
        <v>297</v>
      </c>
      <c r="E101" s="81">
        <v>2235</v>
      </c>
      <c r="F101" s="81">
        <v>2233</v>
      </c>
      <c r="G101" s="81">
        <v>2243</v>
      </c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</row>
    <row r="102" spans="1:22" s="80" customFormat="1" ht="12.75">
      <c r="A102" s="80" t="s">
        <v>207</v>
      </c>
      <c r="B102" s="80" t="s">
        <v>296</v>
      </c>
      <c r="C102" s="80" t="s">
        <v>303</v>
      </c>
      <c r="D102" s="80" t="s">
        <v>297</v>
      </c>
      <c r="E102" s="81">
        <v>181</v>
      </c>
      <c r="F102" s="81">
        <v>181</v>
      </c>
      <c r="G102" s="81">
        <v>182</v>
      </c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</row>
    <row r="103" spans="1:22" s="80" customFormat="1" ht="12.75">
      <c r="A103" s="80" t="s">
        <v>207</v>
      </c>
      <c r="B103" s="80" t="s">
        <v>300</v>
      </c>
      <c r="C103" s="80" t="s">
        <v>299</v>
      </c>
      <c r="E103" s="81">
        <v>7.3</v>
      </c>
      <c r="F103" s="81">
        <v>7.3</v>
      </c>
      <c r="G103" s="81">
        <v>7.3</v>
      </c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</row>
    <row r="104" spans="1:22" s="80" customFormat="1" ht="12.75">
      <c r="A104" s="80" t="s">
        <v>207</v>
      </c>
      <c r="B104" s="80" t="s">
        <v>298</v>
      </c>
      <c r="C104" s="80" t="s">
        <v>299</v>
      </c>
      <c r="E104" s="81">
        <v>7.9</v>
      </c>
      <c r="F104" s="81">
        <v>8</v>
      </c>
      <c r="G104" s="81">
        <v>7.8</v>
      </c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</row>
    <row r="105" spans="5:22" s="80" customFormat="1" ht="12.75"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</row>
    <row r="106" spans="3:22" s="80" customFormat="1" ht="12.75">
      <c r="C106" s="3" t="str">
        <f>A108</f>
        <v>603B5</v>
      </c>
      <c r="E106" s="46" t="s">
        <v>209</v>
      </c>
      <c r="F106" s="46" t="s">
        <v>210</v>
      </c>
      <c r="G106" s="46" t="s">
        <v>211</v>
      </c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</row>
    <row r="107" spans="5:22" s="80" customFormat="1" ht="12.75"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</row>
    <row r="108" spans="1:31" s="80" customFormat="1" ht="12.75">
      <c r="A108" s="80" t="s">
        <v>208</v>
      </c>
      <c r="B108" s="80" t="s">
        <v>296</v>
      </c>
      <c r="C108" s="80" t="s">
        <v>301</v>
      </c>
      <c r="D108" s="80" t="s">
        <v>297</v>
      </c>
      <c r="E108" s="81">
        <v>1310</v>
      </c>
      <c r="F108" s="81">
        <v>1298</v>
      </c>
      <c r="G108" s="81">
        <v>1307</v>
      </c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</row>
    <row r="109" spans="1:31" s="80" customFormat="1" ht="12.75">
      <c r="A109" s="80" t="s">
        <v>208</v>
      </c>
      <c r="B109" s="80" t="s">
        <v>298</v>
      </c>
      <c r="C109" s="80" t="s">
        <v>302</v>
      </c>
      <c r="D109" s="80" t="s">
        <v>297</v>
      </c>
      <c r="E109" s="81">
        <v>2243</v>
      </c>
      <c r="F109" s="81">
        <v>2246</v>
      </c>
      <c r="G109" s="81">
        <v>2262</v>
      </c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1"/>
      <c r="AE109" s="81"/>
    </row>
    <row r="110" spans="1:22" s="80" customFormat="1" ht="12.75">
      <c r="A110" s="80" t="s">
        <v>208</v>
      </c>
      <c r="B110" s="80" t="s">
        <v>296</v>
      </c>
      <c r="C110" s="80" t="s">
        <v>303</v>
      </c>
      <c r="D110" s="80" t="s">
        <v>297</v>
      </c>
      <c r="E110" s="81">
        <v>181</v>
      </c>
      <c r="F110" s="81">
        <v>182</v>
      </c>
      <c r="G110" s="81">
        <v>182</v>
      </c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</row>
    <row r="111" spans="1:22" s="80" customFormat="1" ht="12.75">
      <c r="A111" s="80" t="s">
        <v>208</v>
      </c>
      <c r="B111" s="80" t="s">
        <v>300</v>
      </c>
      <c r="C111" s="80" t="s">
        <v>299</v>
      </c>
      <c r="E111" s="81">
        <v>7.3</v>
      </c>
      <c r="F111" s="81">
        <v>7.5</v>
      </c>
      <c r="G111" s="81">
        <v>7.4</v>
      </c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</row>
    <row r="112" spans="1:22" s="80" customFormat="1" ht="12.75">
      <c r="A112" s="80" t="s">
        <v>208</v>
      </c>
      <c r="B112" s="80" t="s">
        <v>298</v>
      </c>
      <c r="C112" s="80" t="s">
        <v>299</v>
      </c>
      <c r="E112" s="81">
        <v>7.7</v>
      </c>
      <c r="F112" s="81">
        <v>8.2</v>
      </c>
      <c r="G112" s="81">
        <v>7.9</v>
      </c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</row>
    <row r="113" ht="12.75">
      <c r="C113" s="80"/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Alan Nguyen</cp:lastModifiedBy>
  <cp:lastPrinted>2004-02-25T22:28:31Z</cp:lastPrinted>
  <dcterms:created xsi:type="dcterms:W3CDTF">2000-01-10T00:44:42Z</dcterms:created>
  <dcterms:modified xsi:type="dcterms:W3CDTF">2004-02-25T22:32:09Z</dcterms:modified>
  <cp:category/>
  <cp:version/>
  <cp:contentType/>
  <cp:contentStatus/>
</cp:coreProperties>
</file>