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839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2" sheetId="10" r:id="rId10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<sst xmlns="http://schemas.openxmlformats.org/spreadsheetml/2006/main" count="2335" uniqueCount="276">
  <si>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</si>
  <si>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</si>
  <si>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</si>
  <si>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</si>
  <si>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</si>
  <si>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</si>
  <si>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</si>
  <si>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</si>
  <si>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</si>
  <si>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</si>
  <si>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</si>
  <si>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</si>
  <si>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</si>
  <si>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</si>
  <si>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</si>
  <si>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</si>
  <si>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</si>
  <si>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</si>
  <si>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</si>
  <si>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</si>
  <si>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</si>
  <si>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</si>
  <si>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</si>
  <si>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</si>
  <si>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</si>
  <si>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</si>
  <si>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</si>
  <si>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</si>
  <si>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</si>
  <si>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</si>
  <si>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</si>
  <si>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</si>
  <si>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</si>
  <si>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</si>
  <si>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</si>
  <si>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</si>
  <si>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</si>
  <si>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</si>
  <si>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</si>
  <si>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</si>
  <si>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</si>
  <si>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</si>
  <si>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</si>
  <si>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</si>
  <si>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</si>
  <si>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</si>
  <si>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</si>
  <si>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</si>
  <si>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</si>
  <si>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Heating Value</t>
  </si>
  <si>
    <t>Btu/lb</t>
  </si>
  <si>
    <t>Ash</t>
  </si>
  <si>
    <t>HCl</t>
  </si>
  <si>
    <t>Cl2</t>
  </si>
  <si>
    <t>DRE</t>
  </si>
  <si>
    <t>lb/hr</t>
  </si>
  <si>
    <t>Run 1</t>
  </si>
  <si>
    <t>Run 2</t>
  </si>
  <si>
    <t>Run 3</t>
  </si>
  <si>
    <r>
      <t>o</t>
    </r>
    <r>
      <rPr>
        <sz val="10"/>
        <rFont val="Arial"/>
        <family val="2"/>
      </rPr>
      <t>F</t>
    </r>
  </si>
  <si>
    <t>ug/dscm</t>
  </si>
  <si>
    <t>SVM</t>
  </si>
  <si>
    <t>LVM</t>
  </si>
  <si>
    <t>O2 (%)</t>
  </si>
  <si>
    <t>TEQ Cond Avg</t>
  </si>
  <si>
    <t>Total Cond Avg</t>
  </si>
  <si>
    <t>mg/dscm</t>
  </si>
  <si>
    <t>HW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</si>
  <si>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</si>
  <si>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</si>
  <si>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</si>
  <si>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</si>
  <si>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</si>
  <si>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</si>
  <si>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</si>
  <si>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Capacity (MMBtu/hr)</t>
  </si>
  <si>
    <t xml:space="preserve">    Gas Velocity (ft/sec)</t>
  </si>
  <si>
    <t xml:space="preserve">    Gas Temperature (°F)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</si>
  <si>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</si>
  <si>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</si>
  <si>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</si>
  <si>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</si>
  <si>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</si>
  <si>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Comments</t>
  </si>
  <si>
    <t xml:space="preserve">   O2</t>
  </si>
  <si>
    <t xml:space="preserve">   Moisture</t>
  </si>
  <si>
    <t>CO (RA)</t>
  </si>
  <si>
    <t>Sampling Train</t>
  </si>
  <si>
    <t>*</t>
  </si>
  <si>
    <t>Thermal Feedrate</t>
  </si>
  <si>
    <t>Feed Rate</t>
  </si>
  <si>
    <t>HWC Burn Status (Date if Terminated)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</si>
  <si>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</si>
  <si>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</si>
  <si>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</si>
  <si>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</si>
  <si>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</si>
  <si>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</si>
  <si>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</si>
  <si>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>Total HpCDF</t>
  </si>
  <si>
    <t>PCDD/PCDF (ng in sample)</t>
  </si>
  <si>
    <t>Detected in sample volume (pg)</t>
  </si>
  <si>
    <t>n</t>
  </si>
  <si>
    <t>Cr+6</t>
  </si>
  <si>
    <t>R1</t>
  </si>
  <si>
    <t>R2</t>
  </si>
  <si>
    <t>R3</t>
  </si>
  <si>
    <t>Lake City Army Ammunition Plant</t>
  </si>
  <si>
    <t>Independence</t>
  </si>
  <si>
    <t>MO</t>
  </si>
  <si>
    <t>3rd Trial Burn Program, Lake City Army Ammunition Plant, Explosive Waste Incinerator, Olin Corporation, Independence, Missouri, TRC Projection No. 17791, January 1996</t>
  </si>
  <si>
    <t>TRC Environmental Corporation</t>
  </si>
  <si>
    <t>Nov 28-29, 1995</t>
  </si>
  <si>
    <t>Nov. 29-30, 1995</t>
  </si>
  <si>
    <t>Explosive Waste Incinerator APE 1236</t>
  </si>
  <si>
    <t>Rotary kiln (30 ft long, 30 in ID), afterburner</t>
  </si>
  <si>
    <t>503C2</t>
  </si>
  <si>
    <t>503C1</t>
  </si>
  <si>
    <t>503C3</t>
  </si>
  <si>
    <t>Tier III for Sb, As, Ba, Be, Cd, Cr, Pb, Hg, Ag, Tl</t>
  </si>
  <si>
    <t>g/dscm</t>
  </si>
  <si>
    <t>Trial burn, 5.56mm M855 SAWS feed, max metal feed</t>
  </si>
  <si>
    <t>Trial burn, 20mm M56 HEI feed, max metal feed</t>
  </si>
  <si>
    <t>PM, metals, CO, no feedrate info</t>
  </si>
  <si>
    <t>nd</t>
  </si>
  <si>
    <t>5.56mm M855 SAWs</t>
  </si>
  <si>
    <t>20mm M56 HEI</t>
  </si>
  <si>
    <t>Retort Inlet Temperature</t>
  </si>
  <si>
    <t>Retort Outlet Temperature</t>
  </si>
  <si>
    <t>AF Temperature</t>
  </si>
  <si>
    <t>HTHE Temperature</t>
  </si>
  <si>
    <t>LTHE Temperature</t>
  </si>
  <si>
    <t>Baghouse Temperature</t>
  </si>
  <si>
    <t>APE 1236 Explosive Waste Incinerator Risk Burn Report</t>
  </si>
  <si>
    <t>April 19-24, 1999</t>
  </si>
  <si>
    <t>Risk burn, 0.50 cal M17 feed</t>
  </si>
  <si>
    <t>PM, HCl/Cl2, CO, PCDD/F</t>
  </si>
  <si>
    <t>Trial Burn</t>
  </si>
  <si>
    <t>CO (MHRA)</t>
  </si>
  <si>
    <t>Total Chlorine</t>
  </si>
  <si>
    <t>PM, HCl/Cl2</t>
  </si>
  <si>
    <t>PCDD/F</t>
  </si>
  <si>
    <t>g/hr</t>
  </si>
  <si>
    <t>0.5 cal M17</t>
  </si>
  <si>
    <t>Chlorine</t>
  </si>
  <si>
    <t>Stack Gas Flowrate</t>
  </si>
  <si>
    <t>Oxygen</t>
  </si>
  <si>
    <t>MMBtu/hr</t>
  </si>
  <si>
    <t>Feedrate MTEC Calculations</t>
  </si>
  <si>
    <t>Kiln FE Temp</t>
  </si>
  <si>
    <t>Kiln PE Temp</t>
  </si>
  <si>
    <t>Kiln Rotation</t>
  </si>
  <si>
    <t>AB Outlet Temp</t>
  </si>
  <si>
    <t>HTHE Outlet Temp</t>
  </si>
  <si>
    <t>LTHE Outlet Temp</t>
  </si>
  <si>
    <t>Baghouse Outlet Temp</t>
  </si>
  <si>
    <t>Baghouse Pressure Diff.</t>
  </si>
  <si>
    <t>FE Draft Pressure</t>
  </si>
  <si>
    <t>rpm</t>
  </si>
  <si>
    <t>in. H2O</t>
  </si>
  <si>
    <t>Report Name/Date</t>
  </si>
  <si>
    <t>Report Prepare</t>
  </si>
  <si>
    <t>Testing Firm</t>
  </si>
  <si>
    <t>Testing Dates</t>
  </si>
  <si>
    <t>Condition Descr</t>
  </si>
  <si>
    <t>Content</t>
  </si>
  <si>
    <t>503C12</t>
  </si>
  <si>
    <t>503C11</t>
  </si>
  <si>
    <t>503C10</t>
  </si>
  <si>
    <t>Trial Burn Report for Explosive Waste Incinerator at Lake City Army Ammunition Plant, Independence, Missouri, March 1993</t>
  </si>
  <si>
    <t>Cond Descr</t>
  </si>
  <si>
    <t>Air Pollution  Emission Assessment # 42-21-0475-91, Trial Burn for Deactivation Furnace Building 97, Lake City Army Ammunition plant, Independence, Missouri, February 19- March 6, 1991</t>
  </si>
  <si>
    <t>Feb 26-28, 1991</t>
  </si>
  <si>
    <t>503C4</t>
  </si>
  <si>
    <t>Feb 27- March 4, 1991</t>
  </si>
  <si>
    <t>503C5</t>
  </si>
  <si>
    <t>Feb 23-26, 1991</t>
  </si>
  <si>
    <t>503C6</t>
  </si>
  <si>
    <t>Feb 23 - March 4, 1991</t>
  </si>
  <si>
    <t/>
  </si>
  <si>
    <t>Antimony</t>
  </si>
  <si>
    <t>Arsenic</t>
  </si>
  <si>
    <t>Barium</t>
  </si>
  <si>
    <t>Beryllium</t>
  </si>
  <si>
    <t>Cadmium</t>
  </si>
  <si>
    <t>Chromium</t>
  </si>
  <si>
    <t>Lead</t>
  </si>
  <si>
    <t>Mercury</t>
  </si>
  <si>
    <t>Silver</t>
  </si>
  <si>
    <t>Thallium</t>
  </si>
  <si>
    <t>Metals</t>
  </si>
  <si>
    <t>Particulate</t>
  </si>
  <si>
    <t>SVOC</t>
  </si>
  <si>
    <t>Nitroglycerine</t>
  </si>
  <si>
    <t>2,4-Dinitrotoluene</t>
  </si>
  <si>
    <t>Diphenylamine</t>
  </si>
  <si>
    <t>Liq waste</t>
  </si>
  <si>
    <t>PEP</t>
  </si>
  <si>
    <t>20 MM M96</t>
  </si>
  <si>
    <t>FA-956</t>
  </si>
  <si>
    <t>Hi-Skor 700X</t>
  </si>
  <si>
    <t>IMR 5010</t>
  </si>
  <si>
    <t>Feedrate</t>
  </si>
  <si>
    <t>Heating value</t>
  </si>
  <si>
    <t>wt %</t>
  </si>
  <si>
    <t>ppmw</t>
  </si>
  <si>
    <t>Gas flowrate</t>
  </si>
  <si>
    <t>Feerate MTECs</t>
  </si>
  <si>
    <t>Condition Description</t>
  </si>
  <si>
    <t>Combustor Type</t>
  </si>
  <si>
    <t>Combustor Class</t>
  </si>
  <si>
    <t>Rotary kiln</t>
  </si>
  <si>
    <t>MO4213820489</t>
  </si>
  <si>
    <t>Stack Gas Emissions 1</t>
  </si>
  <si>
    <t>Stack Gas Emissions 2</t>
  </si>
  <si>
    <t>Feedstream 1</t>
  </si>
  <si>
    <t>Feedstream 2</t>
  </si>
  <si>
    <t>Phase I ID No.</t>
  </si>
  <si>
    <t>Off-specification or obsolete ammunitions and explosive wastes</t>
  </si>
  <si>
    <t>50310</t>
  </si>
  <si>
    <t>F</t>
  </si>
  <si>
    <t>50311</t>
  </si>
  <si>
    <t>50312</t>
  </si>
  <si>
    <t>Kiln Temperature</t>
  </si>
  <si>
    <t>Afterburner Temperature</t>
  </si>
  <si>
    <t>FF Temperature</t>
  </si>
  <si>
    <t>Process Information 2</t>
  </si>
  <si>
    <t>Number of Sister Facilities</t>
  </si>
  <si>
    <t>APCS Detailed Acronym</t>
  </si>
  <si>
    <t>APCS General Class</t>
  </si>
  <si>
    <t>HE,C,FF</t>
  </si>
  <si>
    <t>Natural gas, oil</t>
  </si>
  <si>
    <t>fuel oil</t>
  </si>
  <si>
    <t>Cond Dates</t>
  </si>
  <si>
    <t>Trial Burn, IMR 5010 Propellant Feed</t>
  </si>
  <si>
    <t>Trial burn, HI SKOR 700X Propellant Feed</t>
  </si>
  <si>
    <t>Trial burn, FA-965 Primer Feed</t>
  </si>
  <si>
    <t>Trial burn, 20MM M96 Projectile Feed</t>
  </si>
  <si>
    <t>Trial burn,Low Waste Feed</t>
  </si>
  <si>
    <t>Trial burn,High Waste Feed</t>
  </si>
  <si>
    <t>Chromium(Hex)</t>
  </si>
  <si>
    <t>E1</t>
  </si>
  <si>
    <t>E2</t>
  </si>
  <si>
    <t>PM/Metals</t>
  </si>
  <si>
    <t>Onsite Incinerator, government, munitions popping</t>
  </si>
  <si>
    <t>AB/HTHE/LTHE/C/FF</t>
  </si>
  <si>
    <t>High temperature heat exchanger (800F), low temperature heat exchanger (300F), cyclone, fabric filter (2 compartments, 1,414 ft2 / compartment, A/C 4.5:1, Nomex fabric, pulse jet cleaning), after burner.</t>
  </si>
  <si>
    <t>HC (RA)</t>
  </si>
  <si>
    <t>source</t>
  </si>
  <si>
    <t>cond</t>
  </si>
  <si>
    <t>emiss 1</t>
  </si>
  <si>
    <t>emiss 2</t>
  </si>
  <si>
    <t>feed 1</t>
  </si>
  <si>
    <t>feed 2</t>
  </si>
  <si>
    <t>process</t>
  </si>
  <si>
    <t>process 2</t>
  </si>
  <si>
    <t>df c12</t>
  </si>
  <si>
    <t>Feedstream Number</t>
  </si>
  <si>
    <t>Feed Class</t>
  </si>
  <si>
    <t>F1</t>
  </si>
  <si>
    <t>Solid HW</t>
  </si>
  <si>
    <t>Solid, liq</t>
  </si>
  <si>
    <t>Liq HW</t>
  </si>
  <si>
    <t>F2</t>
  </si>
  <si>
    <t>F3</t>
  </si>
  <si>
    <t>F4</t>
  </si>
  <si>
    <t>F5</t>
  </si>
  <si>
    <t>F6</t>
  </si>
  <si>
    <t>F7</t>
  </si>
  <si>
    <t>Feed Class 2</t>
  </si>
  <si>
    <t>(Pb Only)</t>
  </si>
  <si>
    <t>Estimated Firing Rate</t>
  </si>
  <si>
    <t>Full ND</t>
  </si>
  <si>
    <t>Chromium (Hex)</t>
  </si>
  <si>
    <t>Feedrate MTECs</t>
  </si>
  <si>
    <t>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</si>
</sst>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mm/dd/yy"/>
    <numFmt numFmtId="178" formatCode="0.0E+00"/>
    <numFmt numFmtId="179" formatCode="m/d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1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6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/>
    </xf>
    <xf numFmtId="11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" fontId="1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tabSelected="1" workbookViewId="0" topLeftCell="A1">
      <selection activeCell="E22" sqref="E22"/>
    </sheetView>
  </sheetViews>
  <sheetFormatPr defaultColWidth="9.140625" defaultRowHeight="12.75"/>
  <sheetData>
    <row r="1" ht="12.75">
      <c r="A1" t="s">
        <v>248</v>
      </c>
    </row>
    <row r="2" ht="12.75">
      <c r="A2" t="s">
        <v>249</v>
      </c>
    </row>
    <row r="3" ht="12.75">
      <c r="A3" t="s">
        <v>250</v>
      </c>
    </row>
    <row r="4" ht="12.75">
      <c r="A4" t="s">
        <v>251</v>
      </c>
    </row>
    <row r="5" ht="12.75">
      <c r="A5" t="s">
        <v>252</v>
      </c>
    </row>
    <row r="6" ht="12.75">
      <c r="A6" t="s">
        <v>253</v>
      </c>
    </row>
    <row r="7" ht="12.75">
      <c r="A7" t="s">
        <v>254</v>
      </c>
    </row>
    <row r="8" ht="12.75">
      <c r="A8" t="s">
        <v>255</v>
      </c>
    </row>
    <row r="9" ht="12.75">
      <c r="A9" t="s">
        <v>256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87"/>
  <sheetViews>
    <sheetView workbookViewId="0" topLeftCell="A1">
      <selection activeCell="C42" sqref="C42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9.28125" style="0" customWidth="1"/>
    <col min="4" max="4" width="3.7109375" style="0" customWidth="1"/>
    <col min="5" max="5" width="9.421875" style="0" customWidth="1"/>
    <col min="6" max="6" width="9.8515625" style="0" customWidth="1"/>
    <col min="8" max="8" width="9.8515625" style="0" customWidth="1"/>
    <col min="9" max="9" width="3.421875" style="0" customWidth="1"/>
    <col min="11" max="11" width="9.28125" style="0" customWidth="1"/>
    <col min="13" max="13" width="9.28125" style="0" customWidth="1"/>
    <col min="14" max="14" width="2.8515625" style="0" customWidth="1"/>
    <col min="16" max="16" width="9.00390625" style="0" customWidth="1"/>
    <col min="18" max="18" width="9.00390625" style="0" customWidth="1"/>
  </cols>
  <sheetData>
    <row r="1" spans="1:18" ht="12.75">
      <c r="A1" s="46" t="s">
        <v>72</v>
      </c>
      <c r="B1" s="31"/>
      <c r="C1" s="31"/>
      <c r="D1" s="31"/>
      <c r="E1" s="39"/>
      <c r="F1" s="40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12.75">
      <c r="A2" s="31" t="s">
        <v>275</v>
      </c>
      <c r="B2" s="31"/>
      <c r="C2" s="31"/>
      <c r="D2" s="31"/>
      <c r="E2" s="39"/>
      <c r="F2" s="40"/>
      <c r="G2" s="39"/>
      <c r="H2" s="40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18" ht="12.75">
      <c r="A3" s="31" t="s">
        <v>20</v>
      </c>
      <c r="B3" s="31"/>
      <c r="C3" s="12" t="str">
        <f>source!C5</f>
        <v>Lake City Army Ammunition Plant</v>
      </c>
      <c r="D3" s="12"/>
      <c r="E3" s="39"/>
      <c r="F3" s="40"/>
      <c r="G3" s="39"/>
      <c r="H3" s="40"/>
      <c r="I3" s="39"/>
      <c r="J3" s="39"/>
      <c r="K3" s="39"/>
      <c r="L3" s="39"/>
      <c r="M3" s="39"/>
      <c r="N3" s="39"/>
      <c r="O3" s="39"/>
      <c r="P3" s="39"/>
      <c r="Q3" s="39"/>
      <c r="R3" s="39"/>
    </row>
    <row r="4" spans="1:18" ht="12.75">
      <c r="A4" s="31" t="s">
        <v>21</v>
      </c>
      <c r="B4" s="31"/>
      <c r="C4" s="12" t="s">
        <v>166</v>
      </c>
      <c r="D4" s="12"/>
      <c r="E4" s="41"/>
      <c r="F4" s="42"/>
      <c r="G4" s="41"/>
      <c r="H4" s="42"/>
      <c r="I4" s="41"/>
      <c r="J4" s="41"/>
      <c r="K4" s="41"/>
      <c r="L4" s="41"/>
      <c r="M4" s="41"/>
      <c r="N4" s="41"/>
      <c r="O4" s="41"/>
      <c r="P4" s="41"/>
      <c r="Q4" s="41"/>
      <c r="R4" s="41"/>
    </row>
    <row r="5" spans="1:18" ht="12.75">
      <c r="A5" s="31" t="s">
        <v>22</v>
      </c>
      <c r="B5" s="31"/>
      <c r="C5" s="16" t="str">
        <f>cond!C30</f>
        <v>Risk burn, 0.50 cal M17 feed</v>
      </c>
      <c r="D5" s="16"/>
      <c r="E5" s="16"/>
      <c r="F5" s="16"/>
      <c r="G5" s="16"/>
      <c r="H5" s="16"/>
      <c r="I5" s="16"/>
      <c r="J5" s="16"/>
      <c r="K5" s="39"/>
      <c r="L5" s="16"/>
      <c r="M5" s="39"/>
      <c r="N5" s="39"/>
      <c r="O5" s="39"/>
      <c r="P5" s="39"/>
      <c r="Q5" s="39"/>
      <c r="R5" s="39"/>
    </row>
    <row r="6" spans="1:18" ht="12.75">
      <c r="A6" s="31"/>
      <c r="B6" s="31"/>
      <c r="C6" s="33"/>
      <c r="D6" s="33"/>
      <c r="E6" s="43"/>
      <c r="F6" s="40"/>
      <c r="G6" s="43"/>
      <c r="H6" s="40"/>
      <c r="I6" s="39"/>
      <c r="J6" s="43"/>
      <c r="K6" s="39"/>
      <c r="L6" s="43"/>
      <c r="M6" s="39"/>
      <c r="N6" s="39"/>
      <c r="O6" s="43"/>
      <c r="P6" s="39"/>
      <c r="Q6" s="43"/>
      <c r="R6" s="39"/>
    </row>
    <row r="7" spans="1:18" ht="12.75">
      <c r="A7" s="31"/>
      <c r="B7" s="31"/>
      <c r="C7" s="33" t="s">
        <v>23</v>
      </c>
      <c r="D7" s="33"/>
      <c r="E7" s="44" t="s">
        <v>56</v>
      </c>
      <c r="F7" s="44"/>
      <c r="G7" s="44"/>
      <c r="H7" s="44"/>
      <c r="I7" s="15"/>
      <c r="J7" s="44" t="s">
        <v>57</v>
      </c>
      <c r="K7" s="44"/>
      <c r="L7" s="44"/>
      <c r="M7" s="44"/>
      <c r="N7" s="15"/>
      <c r="O7" s="44" t="s">
        <v>58</v>
      </c>
      <c r="P7" s="44"/>
      <c r="Q7" s="44"/>
      <c r="R7" s="44"/>
    </row>
    <row r="8" spans="1:18" ht="12.75">
      <c r="A8" s="31"/>
      <c r="B8" s="31"/>
      <c r="C8" s="33" t="s">
        <v>24</v>
      </c>
      <c r="D8" s="31"/>
      <c r="E8" s="43" t="s">
        <v>25</v>
      </c>
      <c r="F8" s="42" t="s">
        <v>26</v>
      </c>
      <c r="G8" s="43" t="s">
        <v>25</v>
      </c>
      <c r="H8" s="42" t="s">
        <v>26</v>
      </c>
      <c r="I8" s="39"/>
      <c r="J8" s="43" t="s">
        <v>25</v>
      </c>
      <c r="K8" s="43" t="s">
        <v>27</v>
      </c>
      <c r="L8" s="43" t="s">
        <v>25</v>
      </c>
      <c r="M8" s="43" t="s">
        <v>27</v>
      </c>
      <c r="N8" s="39"/>
      <c r="O8" s="43" t="s">
        <v>25</v>
      </c>
      <c r="P8" s="43" t="s">
        <v>27</v>
      </c>
      <c r="Q8" s="43" t="s">
        <v>25</v>
      </c>
      <c r="R8" s="43" t="s">
        <v>27</v>
      </c>
    </row>
    <row r="9" spans="1:18" ht="12.75">
      <c r="A9" s="31"/>
      <c r="B9" s="31"/>
      <c r="C9" s="33"/>
      <c r="D9" s="31"/>
      <c r="E9" s="43" t="s">
        <v>272</v>
      </c>
      <c r="F9" s="43" t="s">
        <v>272</v>
      </c>
      <c r="G9" s="43" t="s">
        <v>71</v>
      </c>
      <c r="H9" s="42" t="s">
        <v>71</v>
      </c>
      <c r="I9" s="39"/>
      <c r="J9" s="43" t="s">
        <v>272</v>
      </c>
      <c r="K9" s="43" t="s">
        <v>272</v>
      </c>
      <c r="L9" s="43" t="s">
        <v>71</v>
      </c>
      <c r="M9" s="42" t="s">
        <v>71</v>
      </c>
      <c r="N9" s="39"/>
      <c r="O9" s="43" t="s">
        <v>272</v>
      </c>
      <c r="P9" s="43" t="s">
        <v>272</v>
      </c>
      <c r="Q9" s="43" t="s">
        <v>71</v>
      </c>
      <c r="R9" s="42" t="s">
        <v>71</v>
      </c>
    </row>
    <row r="10" spans="1:18" ht="12.75">
      <c r="A10" s="31" t="s">
        <v>101</v>
      </c>
      <c r="B10" s="31"/>
      <c r="C10" s="31"/>
      <c r="D10" s="31"/>
      <c r="E10" s="39"/>
      <c r="F10" s="40"/>
      <c r="G10" s="39"/>
      <c r="H10" s="40"/>
      <c r="I10" s="39"/>
      <c r="J10" s="39"/>
      <c r="K10" s="39"/>
      <c r="L10" s="39"/>
      <c r="M10" s="39"/>
      <c r="N10" s="39"/>
      <c r="O10" s="34"/>
      <c r="P10" s="39"/>
      <c r="Q10" s="39"/>
      <c r="R10" s="39"/>
    </row>
    <row r="11" spans="1:18" ht="12.75">
      <c r="A11" s="31"/>
      <c r="B11" s="31" t="s">
        <v>28</v>
      </c>
      <c r="C11" s="33">
        <v>1</v>
      </c>
      <c r="F11" s="37">
        <f aca="true" t="shared" si="0" ref="F11:F35">IF(E11="","",E11*$C11)</f>
      </c>
      <c r="G11" s="37">
        <f aca="true" t="shared" si="1" ref="G11:G35">IF(E11=0,"",IF(D11="nd",E11/2,E11))</f>
      </c>
      <c r="H11" s="37">
        <f aca="true" t="shared" si="2" ref="H11:H35">IF(G11="","",G11*$C11)</f>
      </c>
      <c r="K11" s="37">
        <f aca="true" t="shared" si="3" ref="K11:K35">IF(J11="","",J11*$C11)</f>
      </c>
      <c r="L11" s="37">
        <f>IF(J11=0,"",IF(I11="nd",J11/2,J11))</f>
      </c>
      <c r="M11" s="37">
        <f aca="true" t="shared" si="4" ref="M11:M35">IF(L11="","",L11*$C11)</f>
      </c>
      <c r="P11" s="45">
        <f aca="true" t="shared" si="5" ref="P11:P35">IF(O11="","",O11*$C11)</f>
      </c>
      <c r="Q11" s="45">
        <f>IF(O11=0,"",IF(N11="nd",O11/2,O11))</f>
      </c>
      <c r="R11" s="45">
        <f aca="true" t="shared" si="6" ref="R11:R35">IF(Q11="","",Q11*$C11)</f>
      </c>
    </row>
    <row r="12" spans="1:18" ht="12.75">
      <c r="A12" s="31"/>
      <c r="B12" s="31" t="s">
        <v>92</v>
      </c>
      <c r="C12" s="33">
        <v>0</v>
      </c>
      <c r="F12" s="45">
        <f t="shared" si="0"/>
      </c>
      <c r="G12" s="45">
        <f>IF(E12=0,"",IF(D12="nd",E12/2,E12))</f>
      </c>
      <c r="H12" s="45">
        <f t="shared" si="2"/>
      </c>
      <c r="K12" s="37">
        <f t="shared" si="3"/>
      </c>
      <c r="L12" s="45">
        <f>IF(J12=0,"",IF(I12="nd",J12/2,J12))</f>
      </c>
      <c r="M12" s="37">
        <f t="shared" si="4"/>
      </c>
      <c r="P12" s="45">
        <f t="shared" si="5"/>
      </c>
      <c r="Q12" s="45">
        <f>IF(O12=0,"",IF(N12="nd",O12/2,O12))</f>
      </c>
      <c r="R12" s="45">
        <f t="shared" si="6"/>
      </c>
    </row>
    <row r="13" spans="1:18" ht="12.75">
      <c r="A13" s="31"/>
      <c r="B13" s="31" t="s">
        <v>29</v>
      </c>
      <c r="C13" s="33">
        <v>0.5</v>
      </c>
      <c r="F13" s="37">
        <f t="shared" si="0"/>
      </c>
      <c r="G13" s="37">
        <f t="shared" si="1"/>
      </c>
      <c r="H13" s="37">
        <f t="shared" si="2"/>
      </c>
      <c r="K13" s="37">
        <f t="shared" si="3"/>
      </c>
      <c r="L13" s="37">
        <f aca="true" t="shared" si="7" ref="L13:L35">IF(J13=0,"",IF(I13="nd",J13/2,J13))</f>
      </c>
      <c r="M13" s="37">
        <f t="shared" si="4"/>
      </c>
      <c r="P13" s="45">
        <f t="shared" si="5"/>
      </c>
      <c r="Q13" s="45">
        <f aca="true" t="shared" si="8" ref="Q13:Q35">IF(O13=0,"",IF(N13="nd",O13/2,O13))</f>
      </c>
      <c r="R13" s="45">
        <f t="shared" si="6"/>
      </c>
    </row>
    <row r="14" spans="1:18" ht="12.75">
      <c r="A14" s="31"/>
      <c r="B14" s="31" t="s">
        <v>93</v>
      </c>
      <c r="C14" s="33">
        <v>0</v>
      </c>
      <c r="F14" s="45">
        <f t="shared" si="0"/>
      </c>
      <c r="G14" s="45">
        <f>IF(E14=0,"",IF(D14="nd",E14/2,E14))</f>
      </c>
      <c r="H14" s="45">
        <f t="shared" si="2"/>
      </c>
      <c r="K14" s="37">
        <f t="shared" si="3"/>
      </c>
      <c r="L14" s="45">
        <f>IF(J14=0,"",IF(I14="nd",J14/2,J14))</f>
      </c>
      <c r="M14" s="37">
        <f t="shared" si="4"/>
      </c>
      <c r="P14" s="45">
        <f t="shared" si="5"/>
      </c>
      <c r="Q14" s="45">
        <f>IF(O14=0,"",IF(N14="nd",O14/2,O14))</f>
      </c>
      <c r="R14" s="45">
        <f t="shared" si="6"/>
      </c>
    </row>
    <row r="15" spans="1:18" ht="12.75">
      <c r="A15" s="31"/>
      <c r="B15" s="31" t="s">
        <v>30</v>
      </c>
      <c r="C15" s="33">
        <v>0.1</v>
      </c>
      <c r="F15" s="37">
        <f t="shared" si="0"/>
      </c>
      <c r="G15" s="37">
        <f t="shared" si="1"/>
      </c>
      <c r="H15" s="37">
        <f t="shared" si="2"/>
      </c>
      <c r="K15" s="37">
        <f t="shared" si="3"/>
      </c>
      <c r="L15" s="37">
        <f t="shared" si="7"/>
      </c>
      <c r="M15" s="37">
        <f t="shared" si="4"/>
      </c>
      <c r="P15" s="45">
        <f t="shared" si="5"/>
      </c>
      <c r="Q15" s="45">
        <f t="shared" si="8"/>
      </c>
      <c r="R15" s="45">
        <f t="shared" si="6"/>
      </c>
    </row>
    <row r="16" spans="1:18" ht="12.75">
      <c r="A16" s="31"/>
      <c r="B16" s="31" t="s">
        <v>31</v>
      </c>
      <c r="C16" s="33">
        <v>0.1</v>
      </c>
      <c r="F16" s="37">
        <f t="shared" si="0"/>
      </c>
      <c r="G16" s="37">
        <f t="shared" si="1"/>
      </c>
      <c r="H16" s="37">
        <f t="shared" si="2"/>
      </c>
      <c r="K16" s="37">
        <f t="shared" si="3"/>
      </c>
      <c r="L16" s="37">
        <f t="shared" si="7"/>
      </c>
      <c r="M16" s="37">
        <f t="shared" si="4"/>
      </c>
      <c r="P16" s="45">
        <f t="shared" si="5"/>
      </c>
      <c r="Q16" s="45">
        <f t="shared" si="8"/>
      </c>
      <c r="R16" s="45">
        <f t="shared" si="6"/>
      </c>
    </row>
    <row r="17" spans="1:18" ht="12.75">
      <c r="A17" s="31"/>
      <c r="B17" s="31" t="s">
        <v>32</v>
      </c>
      <c r="C17" s="33">
        <v>0.1</v>
      </c>
      <c r="F17" s="37">
        <f t="shared" si="0"/>
      </c>
      <c r="G17" s="37">
        <f t="shared" si="1"/>
      </c>
      <c r="H17" s="37">
        <f t="shared" si="2"/>
      </c>
      <c r="K17" s="37">
        <f t="shared" si="3"/>
      </c>
      <c r="L17" s="37">
        <f t="shared" si="7"/>
      </c>
      <c r="M17" s="37">
        <f t="shared" si="4"/>
      </c>
      <c r="P17" s="45">
        <f t="shared" si="5"/>
      </c>
      <c r="Q17" s="45">
        <f t="shared" si="8"/>
      </c>
      <c r="R17" s="45">
        <f t="shared" si="6"/>
      </c>
    </row>
    <row r="18" spans="1:18" ht="12.75">
      <c r="A18" s="31"/>
      <c r="B18" s="31" t="s">
        <v>94</v>
      </c>
      <c r="C18" s="33">
        <v>0</v>
      </c>
      <c r="F18" s="45">
        <f t="shared" si="0"/>
      </c>
      <c r="G18" s="45">
        <f>IF(E18=0,"",IF(D18="nd",E18/2,E18))</f>
      </c>
      <c r="H18" s="45">
        <f t="shared" si="2"/>
      </c>
      <c r="K18" s="37">
        <f t="shared" si="3"/>
      </c>
      <c r="L18" s="45">
        <f>IF(J18=0,"",IF(I18="nd",J18/2,J18))</f>
      </c>
      <c r="M18" s="37">
        <f t="shared" si="4"/>
      </c>
      <c r="P18" s="45">
        <f t="shared" si="5"/>
      </c>
      <c r="Q18" s="45">
        <f>IF(O18=0,"",IF(N18="nd",O18/2,O18))</f>
      </c>
      <c r="R18" s="45">
        <f t="shared" si="6"/>
      </c>
    </row>
    <row r="19" spans="1:18" ht="12.75">
      <c r="A19" s="31"/>
      <c r="B19" s="31" t="s">
        <v>33</v>
      </c>
      <c r="C19" s="33">
        <v>0.01</v>
      </c>
      <c r="E19">
        <v>12.589</v>
      </c>
      <c r="F19" s="37">
        <f t="shared" si="0"/>
        <v>0.12589</v>
      </c>
      <c r="G19" s="37">
        <f t="shared" si="1"/>
        <v>12.589</v>
      </c>
      <c r="H19" s="37">
        <f t="shared" si="2"/>
        <v>0.12589</v>
      </c>
      <c r="K19" s="37">
        <f t="shared" si="3"/>
      </c>
      <c r="L19" s="37">
        <f t="shared" si="7"/>
      </c>
      <c r="M19" s="37">
        <f t="shared" si="4"/>
      </c>
      <c r="P19" s="45">
        <f t="shared" si="5"/>
      </c>
      <c r="Q19" s="45">
        <f t="shared" si="8"/>
      </c>
      <c r="R19" s="45">
        <f t="shared" si="6"/>
      </c>
    </row>
    <row r="20" spans="1:18" ht="12.75">
      <c r="A20" s="31"/>
      <c r="B20" s="31" t="s">
        <v>95</v>
      </c>
      <c r="C20" s="33">
        <v>0</v>
      </c>
      <c r="F20" s="45">
        <f t="shared" si="0"/>
      </c>
      <c r="G20" s="45">
        <f>IF(E20=0,"",IF(D20="nd",E20/2,E20))</f>
      </c>
      <c r="H20" s="45">
        <f t="shared" si="2"/>
      </c>
      <c r="K20" s="37">
        <f t="shared" si="3"/>
      </c>
      <c r="L20" s="45">
        <f>IF(J20=0,"",IF(I20="nd",J20/2,J20))</f>
      </c>
      <c r="M20" s="37">
        <f t="shared" si="4"/>
      </c>
      <c r="P20" s="45">
        <f t="shared" si="5"/>
      </c>
      <c r="Q20" s="45">
        <f>IF(O20=0,"",IF(N20="nd",O20/2,O20))</f>
      </c>
      <c r="R20" s="45">
        <f t="shared" si="6"/>
      </c>
    </row>
    <row r="21" spans="1:18" ht="12.75">
      <c r="A21" s="31"/>
      <c r="B21" s="31" t="s">
        <v>34</v>
      </c>
      <c r="C21" s="33">
        <v>0.001</v>
      </c>
      <c r="E21">
        <v>85.246</v>
      </c>
      <c r="F21" s="37">
        <f t="shared" si="0"/>
        <v>0.085246</v>
      </c>
      <c r="G21" s="37">
        <f t="shared" si="1"/>
        <v>85.246</v>
      </c>
      <c r="H21" s="37">
        <f t="shared" si="2"/>
        <v>0.085246</v>
      </c>
      <c r="J21">
        <v>79.23</v>
      </c>
      <c r="K21" s="37">
        <f t="shared" si="3"/>
        <v>0.07923000000000001</v>
      </c>
      <c r="L21" s="45">
        <f t="shared" si="7"/>
        <v>79.23</v>
      </c>
      <c r="M21" s="37">
        <f t="shared" si="4"/>
        <v>0.07923000000000001</v>
      </c>
      <c r="O21">
        <v>69.721</v>
      </c>
      <c r="P21" s="45">
        <f t="shared" si="5"/>
        <v>0.069721</v>
      </c>
      <c r="Q21" s="45">
        <f t="shared" si="8"/>
        <v>69.721</v>
      </c>
      <c r="R21" s="45">
        <f t="shared" si="6"/>
        <v>0.069721</v>
      </c>
    </row>
    <row r="22" spans="1:18" ht="12.75">
      <c r="A22" s="31"/>
      <c r="B22" s="31" t="s">
        <v>35</v>
      </c>
      <c r="C22" s="33">
        <v>0.1</v>
      </c>
      <c r="F22" s="37">
        <f t="shared" si="0"/>
      </c>
      <c r="G22" s="37">
        <f t="shared" si="1"/>
      </c>
      <c r="H22" s="37">
        <f t="shared" si="2"/>
      </c>
      <c r="K22" s="37">
        <f t="shared" si="3"/>
      </c>
      <c r="L22" s="45">
        <f t="shared" si="7"/>
      </c>
      <c r="M22" s="37">
        <f t="shared" si="4"/>
      </c>
      <c r="P22" s="45">
        <f t="shared" si="5"/>
      </c>
      <c r="Q22" s="45">
        <f t="shared" si="8"/>
      </c>
      <c r="R22" s="45">
        <f t="shared" si="6"/>
      </c>
    </row>
    <row r="23" spans="1:18" ht="12.75">
      <c r="A23" s="31"/>
      <c r="B23" s="31" t="s">
        <v>96</v>
      </c>
      <c r="C23" s="33">
        <v>0</v>
      </c>
      <c r="F23" s="45">
        <f t="shared" si="0"/>
      </c>
      <c r="G23" s="45">
        <f>IF(E23=0,"",IF(D23="nd",E23/2,E23))</f>
      </c>
      <c r="H23" s="45">
        <f t="shared" si="2"/>
      </c>
      <c r="K23" s="37">
        <f t="shared" si="3"/>
      </c>
      <c r="L23" s="45">
        <f>IF(J23=0,"",IF(I23="nd",J23/2,J23))</f>
      </c>
      <c r="M23" s="37">
        <f t="shared" si="4"/>
      </c>
      <c r="P23" s="45">
        <f t="shared" si="5"/>
      </c>
      <c r="Q23" s="45">
        <f>IF(O23=0,"",IF(N23="nd",O23/2,O23))</f>
      </c>
      <c r="R23" s="45">
        <f t="shared" si="6"/>
      </c>
    </row>
    <row r="24" spans="1:18" ht="12.75">
      <c r="A24" s="31"/>
      <c r="B24" s="31" t="s">
        <v>36</v>
      </c>
      <c r="C24" s="33">
        <v>0.05</v>
      </c>
      <c r="F24" s="45">
        <f t="shared" si="0"/>
      </c>
      <c r="G24" s="45">
        <f t="shared" si="1"/>
      </c>
      <c r="H24" s="45">
        <f t="shared" si="2"/>
      </c>
      <c r="K24" s="37">
        <f t="shared" si="3"/>
      </c>
      <c r="L24" s="45">
        <f t="shared" si="7"/>
      </c>
      <c r="M24" s="37">
        <f t="shared" si="4"/>
      </c>
      <c r="P24" s="45">
        <f t="shared" si="5"/>
      </c>
      <c r="Q24" s="45">
        <f t="shared" si="8"/>
      </c>
      <c r="R24" s="45">
        <f t="shared" si="6"/>
      </c>
    </row>
    <row r="25" spans="1:18" ht="12.75">
      <c r="A25" s="31"/>
      <c r="B25" s="31" t="s">
        <v>37</v>
      </c>
      <c r="C25" s="33">
        <v>0.5</v>
      </c>
      <c r="F25" s="45">
        <f t="shared" si="0"/>
      </c>
      <c r="G25" s="45">
        <f t="shared" si="1"/>
      </c>
      <c r="H25" s="45">
        <f t="shared" si="2"/>
      </c>
      <c r="K25" s="37">
        <f t="shared" si="3"/>
      </c>
      <c r="L25" s="45">
        <f t="shared" si="7"/>
      </c>
      <c r="M25" s="37">
        <f t="shared" si="4"/>
      </c>
      <c r="P25" s="45">
        <f t="shared" si="5"/>
      </c>
      <c r="Q25" s="45">
        <f t="shared" si="8"/>
      </c>
      <c r="R25" s="45">
        <f t="shared" si="6"/>
      </c>
    </row>
    <row r="26" spans="1:18" ht="12.75">
      <c r="A26" s="31"/>
      <c r="B26" s="31" t="s">
        <v>97</v>
      </c>
      <c r="C26" s="33">
        <v>0</v>
      </c>
      <c r="F26" s="45">
        <f t="shared" si="0"/>
      </c>
      <c r="G26" s="45">
        <f>IF(E26=0,"",IF(D26="nd",E26/2,E26))</f>
      </c>
      <c r="H26" s="45">
        <f t="shared" si="2"/>
      </c>
      <c r="K26" s="37">
        <f t="shared" si="3"/>
      </c>
      <c r="L26" s="45">
        <f>IF(J26=0,"",IF(I26="nd",J26/2,J26))</f>
      </c>
      <c r="M26" s="37">
        <f t="shared" si="4"/>
      </c>
      <c r="P26" s="45">
        <f t="shared" si="5"/>
      </c>
      <c r="Q26" s="45">
        <f>IF(O26=0,"",IF(N26="nd",O26/2,O26))</f>
      </c>
      <c r="R26" s="45">
        <f t="shared" si="6"/>
      </c>
    </row>
    <row r="27" spans="1:18" ht="12.75">
      <c r="A27" s="31"/>
      <c r="B27" s="31" t="s">
        <v>38</v>
      </c>
      <c r="C27" s="33">
        <v>0.1</v>
      </c>
      <c r="F27" s="45">
        <f t="shared" si="0"/>
      </c>
      <c r="G27" s="45">
        <f t="shared" si="1"/>
      </c>
      <c r="H27" s="45">
        <f t="shared" si="2"/>
      </c>
      <c r="K27" s="37">
        <f t="shared" si="3"/>
      </c>
      <c r="L27" s="45">
        <f t="shared" si="7"/>
      </c>
      <c r="M27" s="37">
        <f t="shared" si="4"/>
      </c>
      <c r="P27" s="45">
        <f t="shared" si="5"/>
      </c>
      <c r="Q27" s="45">
        <f t="shared" si="8"/>
      </c>
      <c r="R27" s="45">
        <f t="shared" si="6"/>
      </c>
    </row>
    <row r="28" spans="1:18" ht="12.75">
      <c r="A28" s="31"/>
      <c r="B28" s="31" t="s">
        <v>39</v>
      </c>
      <c r="C28" s="33">
        <v>0.1</v>
      </c>
      <c r="F28" s="45">
        <f t="shared" si="0"/>
      </c>
      <c r="G28" s="45">
        <f t="shared" si="1"/>
      </c>
      <c r="H28" s="45">
        <f t="shared" si="2"/>
      </c>
      <c r="K28" s="37">
        <f t="shared" si="3"/>
      </c>
      <c r="L28" s="45">
        <f t="shared" si="7"/>
      </c>
      <c r="M28" s="37">
        <f t="shared" si="4"/>
      </c>
      <c r="P28" s="45">
        <f t="shared" si="5"/>
      </c>
      <c r="Q28" s="45">
        <f t="shared" si="8"/>
      </c>
      <c r="R28" s="45">
        <f t="shared" si="6"/>
      </c>
    </row>
    <row r="29" spans="1:18" ht="12.75">
      <c r="A29" s="31"/>
      <c r="B29" s="31" t="s">
        <v>40</v>
      </c>
      <c r="C29" s="33">
        <v>0.1</v>
      </c>
      <c r="F29" s="45">
        <f t="shared" si="0"/>
      </c>
      <c r="G29" s="45">
        <f t="shared" si="1"/>
      </c>
      <c r="H29" s="45">
        <f t="shared" si="2"/>
      </c>
      <c r="K29" s="37">
        <f t="shared" si="3"/>
      </c>
      <c r="L29" s="45">
        <f t="shared" si="7"/>
      </c>
      <c r="M29" s="37">
        <f t="shared" si="4"/>
      </c>
      <c r="P29" s="45">
        <f t="shared" si="5"/>
      </c>
      <c r="Q29" s="45">
        <f t="shared" si="8"/>
      </c>
      <c r="R29" s="45">
        <f t="shared" si="6"/>
      </c>
    </row>
    <row r="30" spans="1:18" ht="12.75">
      <c r="A30" s="31"/>
      <c r="B30" s="31" t="s">
        <v>41</v>
      </c>
      <c r="C30" s="33">
        <v>0.1</v>
      </c>
      <c r="F30" s="45">
        <f t="shared" si="0"/>
      </c>
      <c r="G30" s="45">
        <f t="shared" si="1"/>
      </c>
      <c r="H30" s="45">
        <f t="shared" si="2"/>
      </c>
      <c r="K30" s="37">
        <f t="shared" si="3"/>
      </c>
      <c r="L30" s="45">
        <f t="shared" si="7"/>
      </c>
      <c r="M30" s="37">
        <f t="shared" si="4"/>
      </c>
      <c r="P30" s="45">
        <f t="shared" si="5"/>
      </c>
      <c r="Q30" s="45">
        <f t="shared" si="8"/>
      </c>
      <c r="R30" s="45">
        <f t="shared" si="6"/>
      </c>
    </row>
    <row r="31" spans="1:18" ht="12.75">
      <c r="A31" s="31"/>
      <c r="B31" s="31" t="s">
        <v>98</v>
      </c>
      <c r="C31" s="33">
        <v>0</v>
      </c>
      <c r="F31" s="45">
        <f t="shared" si="0"/>
      </c>
      <c r="G31" s="45">
        <f>IF(E31=0,"",IF(D31="nd",E31/2,E31))</f>
      </c>
      <c r="H31" s="45">
        <f t="shared" si="2"/>
      </c>
      <c r="K31" s="37">
        <f t="shared" si="3"/>
      </c>
      <c r="L31" s="45">
        <f>IF(J31=0,"",IF(I31="nd",J31/2,J31))</f>
      </c>
      <c r="M31" s="37">
        <f t="shared" si="4"/>
      </c>
      <c r="P31" s="45">
        <f t="shared" si="5"/>
      </c>
      <c r="Q31" s="45">
        <f>IF(O31=0,"",IF(N31="nd",O31/2,O31))</f>
      </c>
      <c r="R31" s="45">
        <f t="shared" si="6"/>
      </c>
    </row>
    <row r="32" spans="1:18" ht="12.75">
      <c r="A32" s="31"/>
      <c r="B32" s="31" t="s">
        <v>42</v>
      </c>
      <c r="C32" s="33">
        <v>0.01</v>
      </c>
      <c r="F32" s="45">
        <f t="shared" si="0"/>
      </c>
      <c r="G32" s="45">
        <f t="shared" si="1"/>
      </c>
      <c r="H32" s="45">
        <f t="shared" si="2"/>
      </c>
      <c r="K32" s="37">
        <f t="shared" si="3"/>
      </c>
      <c r="L32" s="45">
        <f t="shared" si="7"/>
      </c>
      <c r="M32" s="37">
        <f t="shared" si="4"/>
      </c>
      <c r="P32" s="45">
        <f t="shared" si="5"/>
      </c>
      <c r="Q32" s="45">
        <f t="shared" si="8"/>
      </c>
      <c r="R32" s="45">
        <f t="shared" si="6"/>
      </c>
    </row>
    <row r="33" spans="1:18" ht="12.75">
      <c r="A33" s="31"/>
      <c r="B33" s="31" t="s">
        <v>43</v>
      </c>
      <c r="C33" s="33">
        <v>0.01</v>
      </c>
      <c r="F33" s="45">
        <f t="shared" si="0"/>
      </c>
      <c r="G33" s="45">
        <f t="shared" si="1"/>
      </c>
      <c r="H33" s="45">
        <f t="shared" si="2"/>
      </c>
      <c r="K33" s="37">
        <f t="shared" si="3"/>
      </c>
      <c r="L33" s="45">
        <f t="shared" si="7"/>
      </c>
      <c r="M33" s="37">
        <f t="shared" si="4"/>
      </c>
      <c r="P33" s="45">
        <f t="shared" si="5"/>
      </c>
      <c r="Q33" s="45">
        <f t="shared" si="8"/>
      </c>
      <c r="R33" s="45">
        <f t="shared" si="6"/>
      </c>
    </row>
    <row r="34" spans="1:18" ht="12.75">
      <c r="A34" s="31"/>
      <c r="B34" s="31" t="s">
        <v>99</v>
      </c>
      <c r="C34" s="33">
        <v>0</v>
      </c>
      <c r="F34" s="45">
        <f t="shared" si="0"/>
      </c>
      <c r="G34" s="45">
        <f>IF(E34=0,"",IF(D34="nd",E34/2,E34))</f>
      </c>
      <c r="H34" s="45">
        <f t="shared" si="2"/>
      </c>
      <c r="K34" s="37">
        <f t="shared" si="3"/>
      </c>
      <c r="L34" s="45">
        <f>IF(J34=0,"",IF(I34="nd",J34/2,J34))</f>
      </c>
      <c r="M34" s="37">
        <f t="shared" si="4"/>
      </c>
      <c r="P34" s="45">
        <f t="shared" si="5"/>
      </c>
      <c r="Q34" s="45">
        <f>IF(O34=0,"",IF(N34="nd",O34/2,O34))</f>
      </c>
      <c r="R34" s="45">
        <f t="shared" si="6"/>
      </c>
    </row>
    <row r="35" spans="1:18" ht="12.75">
      <c r="A35" s="31"/>
      <c r="B35" s="31" t="s">
        <v>44</v>
      </c>
      <c r="C35" s="33">
        <v>0.001</v>
      </c>
      <c r="E35">
        <v>11.54</v>
      </c>
      <c r="F35" s="36">
        <f t="shared" si="0"/>
        <v>0.01154</v>
      </c>
      <c r="G35" s="45">
        <f t="shared" si="1"/>
        <v>11.54</v>
      </c>
      <c r="H35" s="36">
        <f t="shared" si="2"/>
        <v>0.01154</v>
      </c>
      <c r="K35" s="37">
        <f t="shared" si="3"/>
      </c>
      <c r="L35" s="45">
        <f t="shared" si="7"/>
      </c>
      <c r="M35" s="37">
        <f t="shared" si="4"/>
      </c>
      <c r="P35" s="45">
        <f t="shared" si="5"/>
      </c>
      <c r="Q35" s="45">
        <f t="shared" si="8"/>
      </c>
      <c r="R35" s="45">
        <f t="shared" si="6"/>
      </c>
    </row>
    <row r="36" spans="1:18" ht="12.75">
      <c r="A36" s="31"/>
      <c r="B36" s="31"/>
      <c r="C36" s="31"/>
      <c r="D36" s="31"/>
      <c r="E36" s="37"/>
      <c r="F36" s="40"/>
      <c r="G36" s="37"/>
      <c r="H36" s="40"/>
      <c r="I36" s="37"/>
      <c r="J36" s="16"/>
      <c r="K36" s="34"/>
      <c r="L36" s="34"/>
      <c r="M36" s="34"/>
      <c r="N36" s="37"/>
      <c r="O36" s="16"/>
      <c r="P36" s="39"/>
      <c r="Q36" s="37"/>
      <c r="R36" s="39"/>
    </row>
    <row r="37" spans="1:18" ht="12.75">
      <c r="A37" s="31"/>
      <c r="B37" s="31" t="s">
        <v>45</v>
      </c>
      <c r="C37" s="31"/>
      <c r="D37" s="31"/>
      <c r="E37" s="37"/>
      <c r="F37">
        <v>107.595</v>
      </c>
      <c r="G37">
        <v>107.595</v>
      </c>
      <c r="H37">
        <v>107.595</v>
      </c>
      <c r="K37">
        <v>111.863</v>
      </c>
      <c r="L37">
        <v>111.863</v>
      </c>
      <c r="M37">
        <v>111.863</v>
      </c>
      <c r="P37">
        <v>105.134</v>
      </c>
      <c r="Q37">
        <v>105.134</v>
      </c>
      <c r="R37">
        <v>105.134</v>
      </c>
    </row>
    <row r="38" spans="1:18" ht="12.75">
      <c r="A38" s="31"/>
      <c r="B38" s="31" t="s">
        <v>63</v>
      </c>
      <c r="C38" s="31"/>
      <c r="D38" s="31"/>
      <c r="E38" s="37"/>
      <c r="F38">
        <v>15.4</v>
      </c>
      <c r="G38">
        <v>15.4</v>
      </c>
      <c r="H38">
        <v>15.4</v>
      </c>
      <c r="K38">
        <v>15.6</v>
      </c>
      <c r="L38">
        <v>15.6</v>
      </c>
      <c r="M38">
        <v>15.6</v>
      </c>
      <c r="P38">
        <v>16.3</v>
      </c>
      <c r="Q38">
        <v>16.3</v>
      </c>
      <c r="R38">
        <v>16.3</v>
      </c>
    </row>
    <row r="39" spans="1:18" ht="12.75">
      <c r="A39" s="31"/>
      <c r="B39" s="31"/>
      <c r="C39" s="31"/>
      <c r="D39" s="31"/>
      <c r="E39" s="37"/>
      <c r="F39" s="16"/>
      <c r="G39" s="37"/>
      <c r="H39" s="16"/>
      <c r="I39" s="16"/>
      <c r="J39" s="37"/>
      <c r="K39" s="38"/>
      <c r="L39" s="34"/>
      <c r="M39" s="38"/>
      <c r="N39" s="37"/>
      <c r="O39" s="37"/>
      <c r="P39" s="37"/>
      <c r="Q39" s="37"/>
      <c r="R39" s="37"/>
    </row>
    <row r="40" spans="1:18" ht="12.75">
      <c r="A40" s="31"/>
      <c r="B40" s="31" t="s">
        <v>100</v>
      </c>
      <c r="C40" s="40"/>
      <c r="D40" s="40"/>
      <c r="E40" s="34"/>
      <c r="F40" s="40">
        <f>SUM(F11:F35)/1000</f>
        <v>0.000222676</v>
      </c>
      <c r="G40" s="34"/>
      <c r="H40" s="40">
        <f>SUM(H11:H35)/1000</f>
        <v>0.000222676</v>
      </c>
      <c r="I40" s="40"/>
      <c r="J40" s="34"/>
      <c r="K40" s="58">
        <f>SUM(K11:K35)/1000</f>
        <v>7.923000000000001E-05</v>
      </c>
      <c r="L40" s="34"/>
      <c r="M40" s="58">
        <f>SUM(M11:M35)/1000</f>
        <v>7.923000000000001E-05</v>
      </c>
      <c r="N40" s="40"/>
      <c r="O40" s="37"/>
      <c r="P40" s="58">
        <f>SUM(P11:P35)/1000</f>
        <v>6.9721E-05</v>
      </c>
      <c r="Q40" s="34"/>
      <c r="R40" s="58">
        <f>SUM(R11:R35)/1000</f>
        <v>6.9721E-05</v>
      </c>
    </row>
    <row r="41" spans="1:18" ht="12.75">
      <c r="A41" s="31"/>
      <c r="B41" s="31" t="s">
        <v>46</v>
      </c>
      <c r="C41" s="40"/>
      <c r="D41" s="45">
        <f>(F41-H41)*2/F41*100</f>
        <v>0</v>
      </c>
      <c r="E41" s="37"/>
      <c r="F41" s="40">
        <f>(F40/F37/0.0283*(21-7)/(21-F38))</f>
        <v>0.00018282471058118254</v>
      </c>
      <c r="G41" s="37"/>
      <c r="H41" s="40">
        <f>(H40/H37/0.0283*(21-7)/(21-H38))</f>
        <v>0.00018282471058118254</v>
      </c>
      <c r="I41" s="45">
        <f>(K41-M41)*2/K41*100</f>
        <v>0</v>
      </c>
      <c r="J41" s="37"/>
      <c r="K41" s="58">
        <f>K40/K37/0.0283*(21-7)/(21-K38)</f>
        <v>6.488600474511245E-05</v>
      </c>
      <c r="L41" s="37"/>
      <c r="M41" s="58">
        <f>M40/M37/0.0283*(21-7)/(21-M38)</f>
        <v>6.488600474511245E-05</v>
      </c>
      <c r="N41" s="45">
        <f>(P41-R41)*2/P41*100</f>
        <v>0</v>
      </c>
      <c r="O41" s="37"/>
      <c r="P41" s="58">
        <f>P40/P37/0.0283*(21-7)/(21-P38)</f>
        <v>6.980140453703511E-05</v>
      </c>
      <c r="Q41" s="37"/>
      <c r="R41" s="58">
        <f>R40/R37/0.0283*(21-7)/(21-R38)</f>
        <v>6.980140453703511E-05</v>
      </c>
    </row>
    <row r="42" spans="1:18" ht="12.75">
      <c r="A42" s="31"/>
      <c r="B42" s="31"/>
      <c r="C42" s="31"/>
      <c r="D42" s="31"/>
      <c r="E42" s="36"/>
      <c r="F42" s="40"/>
      <c r="G42" s="36"/>
      <c r="H42" s="40"/>
      <c r="I42" s="36"/>
      <c r="J42" s="36"/>
      <c r="K42" s="36"/>
      <c r="L42" s="36"/>
      <c r="M42" s="36"/>
      <c r="N42" s="36"/>
      <c r="O42" s="36"/>
      <c r="P42" s="39"/>
      <c r="Q42" s="36"/>
      <c r="R42" s="39"/>
    </row>
    <row r="43" spans="1:18" ht="12.75">
      <c r="A43" s="37"/>
      <c r="B43" s="31" t="s">
        <v>64</v>
      </c>
      <c r="C43" s="40">
        <f>AVERAGE(H41,M41,R41)</f>
        <v>0.00010583737328777672</v>
      </c>
      <c r="D43" s="37"/>
      <c r="E43" s="37"/>
      <c r="F43" s="40"/>
      <c r="G43" s="37"/>
      <c r="H43" s="40"/>
      <c r="I43" s="37"/>
      <c r="J43" s="37"/>
      <c r="K43" s="37"/>
      <c r="L43" s="37"/>
      <c r="M43" s="37"/>
      <c r="N43" s="37"/>
      <c r="O43" s="37"/>
      <c r="P43" s="39"/>
      <c r="Q43" s="37"/>
      <c r="R43" s="39"/>
    </row>
    <row r="44" spans="1:18" ht="12.75">
      <c r="A44" s="31"/>
      <c r="B44" s="31" t="s">
        <v>65</v>
      </c>
      <c r="C44" s="37"/>
      <c r="D44" s="31"/>
      <c r="E44" s="39"/>
      <c r="F44" s="40"/>
      <c r="G44" s="39"/>
      <c r="H44" s="40"/>
      <c r="I44" s="39"/>
      <c r="J44" s="39"/>
      <c r="K44" s="39"/>
      <c r="L44" s="39"/>
      <c r="M44" s="39"/>
      <c r="N44" s="39"/>
      <c r="O44" s="39"/>
      <c r="P44" s="39"/>
      <c r="Q44" s="39"/>
      <c r="R44" s="39"/>
    </row>
    <row r="85" spans="1:18" ht="12.75">
      <c r="A85" s="2"/>
      <c r="B85" s="2"/>
      <c r="C85" s="2"/>
      <c r="D85" s="2"/>
      <c r="E85" s="7"/>
      <c r="G85" s="7"/>
      <c r="J85" s="7"/>
      <c r="K85" s="6"/>
      <c r="L85" s="4"/>
      <c r="M85" s="6"/>
      <c r="N85" s="7"/>
      <c r="O85" s="7"/>
      <c r="P85" s="7"/>
      <c r="Q85" s="7"/>
      <c r="R85" s="7"/>
    </row>
    <row r="86" spans="1:18" ht="12.75">
      <c r="A86" s="2"/>
      <c r="B86" s="2"/>
      <c r="C86" s="3"/>
      <c r="D86" s="3"/>
      <c r="E86" s="4"/>
      <c r="F86" s="7"/>
      <c r="G86" s="4"/>
      <c r="H86" s="7"/>
      <c r="I86" s="3"/>
      <c r="J86" s="4"/>
      <c r="K86" s="4"/>
      <c r="L86" s="4"/>
      <c r="M86" s="4"/>
      <c r="N86" s="3"/>
      <c r="O86" s="7"/>
      <c r="P86" s="3"/>
      <c r="Q86" s="3"/>
      <c r="R86" s="3"/>
    </row>
    <row r="87" spans="1:18" ht="12.75">
      <c r="A87" s="2"/>
      <c r="B87" s="2"/>
      <c r="C87" s="3"/>
      <c r="D87" s="3"/>
      <c r="E87" s="7"/>
      <c r="F87" s="3"/>
      <c r="G87" s="5"/>
      <c r="H87" s="3"/>
      <c r="I87" s="3"/>
      <c r="J87" s="7"/>
      <c r="K87" s="3"/>
      <c r="L87" s="4"/>
      <c r="M87" s="3"/>
      <c r="N87" s="3"/>
      <c r="O87" s="7"/>
      <c r="P87" s="5"/>
      <c r="Q87" s="5"/>
      <c r="R87" s="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workbookViewId="0" topLeftCell="B1">
      <selection activeCell="C42" sqref="C42"/>
    </sheetView>
  </sheetViews>
  <sheetFormatPr defaultColWidth="9.140625" defaultRowHeight="12.75"/>
  <cols>
    <col min="1" max="1" width="2.7109375" style="1" hidden="1" customWidth="1"/>
    <col min="2" max="2" width="25.140625" style="1" customWidth="1"/>
    <col min="3" max="3" width="63.140625" style="1" customWidth="1"/>
    <col min="4" max="16384" width="8.8515625" style="1" customWidth="1"/>
  </cols>
  <sheetData>
    <row r="1" spans="2:12" ht="12.75">
      <c r="B1" s="8" t="s">
        <v>78</v>
      </c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2:12" ht="12.7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2.75">
      <c r="B3" s="16" t="s">
        <v>217</v>
      </c>
      <c r="C3" s="17">
        <v>503</v>
      </c>
      <c r="D3" s="16"/>
      <c r="E3" s="16"/>
      <c r="F3" s="16"/>
      <c r="G3" s="16"/>
      <c r="H3" s="16"/>
      <c r="I3" s="16"/>
      <c r="J3" s="16"/>
      <c r="K3" s="16"/>
      <c r="L3" s="16"/>
    </row>
    <row r="4" spans="2:12" ht="12.75">
      <c r="B4" s="16" t="s">
        <v>0</v>
      </c>
      <c r="C4" t="s">
        <v>212</v>
      </c>
      <c r="D4" s="16"/>
      <c r="E4" s="16"/>
      <c r="F4" s="16"/>
      <c r="G4" s="16"/>
      <c r="H4" s="16"/>
      <c r="I4" s="16"/>
      <c r="J4" s="16"/>
      <c r="K4" s="16"/>
      <c r="L4" s="16"/>
    </row>
    <row r="5" spans="2:12" ht="12.75">
      <c r="B5" s="16" t="s">
        <v>1</v>
      </c>
      <c r="C5" s="16" t="s">
        <v>107</v>
      </c>
      <c r="D5" s="16"/>
      <c r="E5" s="16"/>
      <c r="F5" s="16"/>
      <c r="G5" s="16"/>
      <c r="H5" s="16"/>
      <c r="I5" s="16"/>
      <c r="J5" s="16"/>
      <c r="K5" s="16"/>
      <c r="L5" s="16"/>
    </row>
    <row r="6" spans="2:12" ht="12.75">
      <c r="B6" s="16" t="s">
        <v>2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ht="12.75">
      <c r="B7" s="16" t="s">
        <v>3</v>
      </c>
      <c r="C7" s="16" t="s">
        <v>108</v>
      </c>
      <c r="D7" s="16"/>
      <c r="E7" s="16"/>
      <c r="F7" s="16"/>
      <c r="G7" s="16"/>
      <c r="H7" s="16"/>
      <c r="I7" s="16"/>
      <c r="J7" s="16"/>
      <c r="K7" s="16"/>
      <c r="L7" s="16"/>
    </row>
    <row r="8" spans="2:12" ht="12.75">
      <c r="B8" s="16" t="s">
        <v>4</v>
      </c>
      <c r="C8" s="16" t="s">
        <v>109</v>
      </c>
      <c r="D8" s="16"/>
      <c r="E8" s="16"/>
      <c r="F8" s="16"/>
      <c r="G8" s="16"/>
      <c r="H8" s="16"/>
      <c r="I8" s="16"/>
      <c r="J8" s="16"/>
      <c r="K8" s="16"/>
      <c r="L8" s="16"/>
    </row>
    <row r="9" spans="2:12" ht="12.75">
      <c r="B9" s="16" t="s">
        <v>5</v>
      </c>
      <c r="C9" s="16" t="s">
        <v>114</v>
      </c>
      <c r="D9" s="16"/>
      <c r="E9" s="16"/>
      <c r="F9" s="16"/>
      <c r="G9" s="16"/>
      <c r="H9" s="16"/>
      <c r="I9" s="16"/>
      <c r="J9" s="16"/>
      <c r="K9" s="16"/>
      <c r="L9" s="16"/>
    </row>
    <row r="10" spans="2:12" ht="12.75">
      <c r="B10" s="16" t="s">
        <v>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ht="12.75">
      <c r="B11" s="16" t="s">
        <v>227</v>
      </c>
      <c r="C11" s="17">
        <v>0</v>
      </c>
      <c r="D11" s="16"/>
      <c r="E11" s="16"/>
      <c r="F11" s="16"/>
      <c r="G11" s="16"/>
      <c r="H11" s="16"/>
      <c r="I11" s="16"/>
      <c r="J11" s="16"/>
      <c r="K11" s="16"/>
      <c r="L11" s="16"/>
    </row>
    <row r="12" spans="2:12" ht="12.75">
      <c r="B12" s="16" t="s">
        <v>210</v>
      </c>
      <c r="C12" s="16" t="s">
        <v>244</v>
      </c>
      <c r="D12" s="16"/>
      <c r="E12" s="16"/>
      <c r="F12" s="16"/>
      <c r="G12" s="16"/>
      <c r="H12" s="16"/>
      <c r="I12" s="16"/>
      <c r="J12" s="16"/>
      <c r="K12" s="16"/>
      <c r="L12" s="16"/>
    </row>
    <row r="13" spans="2:12" ht="12.75">
      <c r="B13" s="16" t="s">
        <v>209</v>
      </c>
      <c r="C13" s="16" t="s">
        <v>211</v>
      </c>
      <c r="D13" s="16"/>
      <c r="E13" s="16"/>
      <c r="F13" s="16"/>
      <c r="G13" s="16"/>
      <c r="H13" s="16"/>
      <c r="I13" s="16"/>
      <c r="J13" s="16"/>
      <c r="K13" s="16"/>
      <c r="L13" s="16"/>
    </row>
    <row r="14" spans="2:12" s="48" customFormat="1" ht="12.75">
      <c r="B14" s="47" t="s">
        <v>68</v>
      </c>
      <c r="C14" s="47" t="s">
        <v>115</v>
      </c>
      <c r="D14" s="47"/>
      <c r="E14" s="47"/>
      <c r="F14" s="47"/>
      <c r="G14" s="47"/>
      <c r="H14" s="47"/>
      <c r="I14" s="47"/>
      <c r="J14" s="47"/>
      <c r="K14" s="47"/>
      <c r="L14" s="47"/>
    </row>
    <row r="15" spans="2:12" s="48" customFormat="1" ht="12.75">
      <c r="B15" s="47" t="s">
        <v>75</v>
      </c>
      <c r="C15" s="49"/>
      <c r="D15" s="47"/>
      <c r="E15" s="47"/>
      <c r="F15" s="47"/>
      <c r="G15" s="47"/>
      <c r="H15" s="47"/>
      <c r="I15" s="47"/>
      <c r="J15" s="47"/>
      <c r="K15" s="47"/>
      <c r="L15" s="47"/>
    </row>
    <row r="16" spans="2:12" s="48" customFormat="1" ht="12.75">
      <c r="B16" s="16" t="s">
        <v>79</v>
      </c>
      <c r="C16" s="47"/>
      <c r="F16" s="47"/>
      <c r="G16" s="47"/>
      <c r="H16" s="47"/>
      <c r="I16" s="47"/>
      <c r="J16" s="47"/>
      <c r="K16" s="47"/>
      <c r="L16" s="47"/>
    </row>
    <row r="17" spans="2:12" s="48" customFormat="1" ht="12.75">
      <c r="B17" s="47" t="s">
        <v>228</v>
      </c>
      <c r="C17" s="47" t="s">
        <v>245</v>
      </c>
      <c r="D17" s="47"/>
      <c r="E17" s="47"/>
      <c r="F17" s="47"/>
      <c r="G17" s="47"/>
      <c r="H17" s="47"/>
      <c r="I17" s="47"/>
      <c r="J17" s="47"/>
      <c r="K17" s="47"/>
      <c r="L17" s="47"/>
    </row>
    <row r="18" spans="2:12" s="48" customFormat="1" ht="12.75">
      <c r="B18" s="47" t="s">
        <v>229</v>
      </c>
      <c r="C18" s="47" t="s">
        <v>230</v>
      </c>
      <c r="D18" s="47"/>
      <c r="E18" s="47"/>
      <c r="F18" s="47"/>
      <c r="G18" s="47"/>
      <c r="H18" s="47"/>
      <c r="I18" s="47"/>
      <c r="J18" s="47"/>
      <c r="K18" s="47"/>
      <c r="L18" s="47"/>
    </row>
    <row r="19" spans="2:12" ht="38.25">
      <c r="B19" s="47" t="s">
        <v>7</v>
      </c>
      <c r="C19" s="47" t="s">
        <v>246</v>
      </c>
      <c r="D19" s="16"/>
      <c r="E19" s="16"/>
      <c r="F19" s="16"/>
      <c r="G19" s="16"/>
      <c r="H19" s="16"/>
      <c r="I19" s="16"/>
      <c r="J19" s="16"/>
      <c r="K19" s="16"/>
      <c r="L19" s="16"/>
    </row>
    <row r="20" spans="2:12" ht="12.75">
      <c r="B20" s="16" t="s">
        <v>73</v>
      </c>
      <c r="C20" s="16" t="s">
        <v>261</v>
      </c>
      <c r="D20" s="16"/>
      <c r="E20" s="16"/>
      <c r="F20" s="16"/>
      <c r="G20" s="16"/>
      <c r="H20" s="16"/>
      <c r="I20" s="16"/>
      <c r="J20" s="16"/>
      <c r="K20" s="16"/>
      <c r="L20" s="16"/>
    </row>
    <row r="21" spans="2:12" ht="12.75">
      <c r="B21" s="16" t="s">
        <v>80</v>
      </c>
      <c r="C21" s="52" t="s">
        <v>218</v>
      </c>
      <c r="D21" s="16"/>
      <c r="E21" s="16"/>
      <c r="F21" s="16"/>
      <c r="G21" s="16"/>
      <c r="H21" s="16"/>
      <c r="I21" s="16"/>
      <c r="J21" s="16"/>
      <c r="K21" s="16"/>
      <c r="L21" s="16"/>
    </row>
    <row r="22" spans="2:12" ht="12.75">
      <c r="B22" s="16" t="s">
        <v>74</v>
      </c>
      <c r="C22" s="16" t="s">
        <v>231</v>
      </c>
      <c r="D22" s="16"/>
      <c r="E22" s="16"/>
      <c r="F22" s="16"/>
      <c r="G22" s="16"/>
      <c r="H22" s="16"/>
      <c r="I22" s="16"/>
      <c r="J22" s="16"/>
      <c r="K22" s="16"/>
      <c r="L22" s="16"/>
    </row>
    <row r="23" spans="2:12" ht="12.75" customHeight="1">
      <c r="B23" s="16"/>
      <c r="C23" s="16" t="s">
        <v>232</v>
      </c>
      <c r="D23" s="16"/>
      <c r="E23" s="16"/>
      <c r="F23" s="16"/>
      <c r="G23" s="16"/>
      <c r="H23" s="16"/>
      <c r="I23" s="16"/>
      <c r="J23" s="16"/>
      <c r="K23" s="16"/>
      <c r="L23" s="16"/>
    </row>
    <row r="24" spans="2:12" ht="12.75">
      <c r="B24" s="16" t="s">
        <v>8</v>
      </c>
      <c r="C24" s="17"/>
      <c r="D24" s="16"/>
      <c r="E24" s="16"/>
      <c r="F24" s="16"/>
      <c r="G24" s="16"/>
      <c r="H24" s="16"/>
      <c r="I24" s="16"/>
      <c r="J24" s="16"/>
      <c r="K24" s="16"/>
      <c r="L24" s="16"/>
    </row>
    <row r="25" spans="2:12" ht="12.75">
      <c r="B25" s="16" t="s">
        <v>9</v>
      </c>
      <c r="C25" s="51">
        <f>30/12</f>
        <v>2.5</v>
      </c>
      <c r="D25" s="16"/>
      <c r="E25" s="16"/>
      <c r="F25" s="16"/>
      <c r="G25" s="16"/>
      <c r="H25" s="16"/>
      <c r="I25" s="16"/>
      <c r="J25" s="16"/>
      <c r="K25" s="16"/>
      <c r="L25" s="16"/>
    </row>
    <row r="26" spans="2:12" ht="12.75">
      <c r="B26" s="16" t="s">
        <v>10</v>
      </c>
      <c r="C26" s="18">
        <v>29.99853607142388</v>
      </c>
      <c r="D26" s="16"/>
      <c r="E26" s="16"/>
      <c r="F26" s="16"/>
      <c r="G26" s="16"/>
      <c r="H26" s="16"/>
      <c r="I26" s="16"/>
      <c r="J26" s="16"/>
      <c r="K26" s="16"/>
      <c r="L26" s="16"/>
    </row>
    <row r="27" spans="2:12" ht="12.75">
      <c r="B27" s="16" t="s">
        <v>76</v>
      </c>
      <c r="C27" s="18">
        <f>2772/60</f>
        <v>46.2</v>
      </c>
      <c r="D27" s="16"/>
      <c r="E27" s="16"/>
      <c r="F27" s="16"/>
      <c r="G27" s="16"/>
      <c r="H27" s="16"/>
      <c r="I27" s="16"/>
      <c r="J27" s="16"/>
      <c r="K27" s="16"/>
      <c r="L27" s="16"/>
    </row>
    <row r="28" spans="2:12" ht="14.25" customHeight="1">
      <c r="B28" s="16" t="s">
        <v>77</v>
      </c>
      <c r="C28" s="17">
        <v>230</v>
      </c>
      <c r="D28" s="16"/>
      <c r="E28" s="16"/>
      <c r="F28" s="16"/>
      <c r="G28" s="16"/>
      <c r="H28" s="16"/>
      <c r="I28" s="16"/>
      <c r="J28" s="16"/>
      <c r="K28" s="16"/>
      <c r="L28" s="16"/>
    </row>
    <row r="29" spans="2:12" ht="12" customHeight="1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2:12" ht="12.75">
      <c r="B30" s="16" t="s">
        <v>11</v>
      </c>
      <c r="C30" t="s">
        <v>119</v>
      </c>
      <c r="D30" s="16"/>
      <c r="E30" s="16"/>
      <c r="F30" s="16"/>
      <c r="G30" s="16"/>
      <c r="H30" s="16"/>
      <c r="I30" s="16"/>
      <c r="J30" s="16"/>
      <c r="K30" s="16"/>
      <c r="L30" s="16"/>
    </row>
    <row r="31" spans="2:12" ht="12.75">
      <c r="B31" s="16" t="s">
        <v>91</v>
      </c>
      <c r="C31"/>
      <c r="D31" s="16"/>
      <c r="E31" s="16"/>
      <c r="F31" s="16"/>
      <c r="G31" s="16"/>
      <c r="H31" s="16"/>
      <c r="I31" s="16"/>
      <c r="J31" s="16"/>
      <c r="K31" s="16"/>
      <c r="L31" s="16"/>
    </row>
    <row r="32" spans="2:12" ht="14.25" customHeight="1">
      <c r="B32" s="16"/>
      <c r="C32"/>
      <c r="D32" s="16"/>
      <c r="E32" s="16"/>
      <c r="F32" s="16"/>
      <c r="G32" s="16"/>
      <c r="H32" s="16"/>
      <c r="I32" s="16"/>
      <c r="J32" s="16"/>
      <c r="K32" s="16"/>
      <c r="L32" s="1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85"/>
  <sheetViews>
    <sheetView workbookViewId="0" topLeftCell="B63">
      <selection activeCell="C42" sqref="C42"/>
    </sheetView>
  </sheetViews>
  <sheetFormatPr defaultColWidth="9.140625" defaultRowHeight="12.75"/>
  <cols>
    <col min="1" max="1" width="6.8515625" style="0" hidden="1" customWidth="1"/>
    <col min="2" max="2" width="21.8515625" style="0" customWidth="1"/>
    <col min="3" max="3" width="61.28125" style="59" customWidth="1"/>
  </cols>
  <sheetData>
    <row r="1" ht="12.75">
      <c r="B1" s="8" t="s">
        <v>208</v>
      </c>
    </row>
    <row r="3" spans="2:12" s="1" customFormat="1" ht="12.75">
      <c r="B3" s="8" t="s">
        <v>168</v>
      </c>
      <c r="C3"/>
      <c r="D3" s="16"/>
      <c r="E3" s="16"/>
      <c r="F3" s="16"/>
      <c r="G3" s="16"/>
      <c r="H3" s="16"/>
      <c r="I3" s="16"/>
      <c r="J3" s="16"/>
      <c r="K3" s="16"/>
      <c r="L3" s="16"/>
    </row>
    <row r="4" spans="2:12" s="1" customFormat="1" ht="12.75">
      <c r="B4" s="16"/>
      <c r="C4"/>
      <c r="D4" s="16"/>
      <c r="E4" s="16"/>
      <c r="F4" s="16"/>
      <c r="G4" s="16"/>
      <c r="H4" s="16"/>
      <c r="I4" s="16"/>
      <c r="J4" s="16"/>
      <c r="K4" s="16"/>
      <c r="L4" s="16"/>
    </row>
    <row r="5" spans="2:12" s="1" customFormat="1" ht="38.25">
      <c r="B5" s="54" t="s">
        <v>160</v>
      </c>
      <c r="C5" s="53" t="s">
        <v>110</v>
      </c>
      <c r="D5" s="16"/>
      <c r="E5" s="16"/>
      <c r="F5" s="16"/>
      <c r="G5" s="16"/>
      <c r="H5" s="16"/>
      <c r="I5" s="16"/>
      <c r="J5" s="16"/>
      <c r="K5" s="16"/>
      <c r="L5" s="16"/>
    </row>
    <row r="6" spans="2:12" s="1" customFormat="1" ht="12.75">
      <c r="B6" s="16" t="s">
        <v>161</v>
      </c>
      <c r="C6" t="s">
        <v>111</v>
      </c>
      <c r="D6" s="16"/>
      <c r="E6" s="16"/>
      <c r="F6" s="16"/>
      <c r="G6" s="16"/>
      <c r="H6" s="16"/>
      <c r="I6" s="16"/>
      <c r="J6" s="16"/>
      <c r="K6" s="16"/>
      <c r="L6" s="16"/>
    </row>
    <row r="7" spans="2:12" s="1" customFormat="1" ht="12.75">
      <c r="B7" s="16" t="s">
        <v>162</v>
      </c>
      <c r="C7" t="s">
        <v>111</v>
      </c>
      <c r="D7" s="16"/>
      <c r="E7" s="16"/>
      <c r="F7" s="16"/>
      <c r="G7" s="16"/>
      <c r="H7" s="16"/>
      <c r="I7" s="16"/>
      <c r="J7" s="16"/>
      <c r="K7" s="16"/>
      <c r="L7" s="16"/>
    </row>
    <row r="8" spans="2:12" s="1" customFormat="1" ht="12.75">
      <c r="B8" s="16" t="s">
        <v>163</v>
      </c>
      <c r="C8" s="1" t="s">
        <v>112</v>
      </c>
      <c r="D8" s="16"/>
      <c r="E8" s="16"/>
      <c r="F8" s="16"/>
      <c r="G8" s="16"/>
      <c r="H8" s="16"/>
      <c r="I8" s="16"/>
      <c r="J8" s="16"/>
      <c r="K8" s="16"/>
      <c r="L8" s="16"/>
    </row>
    <row r="9" spans="2:12" s="1" customFormat="1" ht="12.75">
      <c r="B9" s="16" t="s">
        <v>233</v>
      </c>
      <c r="C9" s="74">
        <v>35032</v>
      </c>
      <c r="D9" s="16"/>
      <c r="E9" s="16"/>
      <c r="F9" s="16"/>
      <c r="G9" s="16"/>
      <c r="H9" s="16"/>
      <c r="I9" s="16"/>
      <c r="J9" s="16"/>
      <c r="K9" s="16"/>
      <c r="L9" s="16"/>
    </row>
    <row r="10" spans="2:12" s="1" customFormat="1" ht="12.75">
      <c r="B10" s="16" t="s">
        <v>164</v>
      </c>
      <c r="C10" t="s">
        <v>121</v>
      </c>
      <c r="D10" s="16"/>
      <c r="E10" s="16"/>
      <c r="F10" s="16"/>
      <c r="G10" s="16"/>
      <c r="H10" s="16"/>
      <c r="I10" s="16"/>
      <c r="J10" s="16"/>
      <c r="K10" s="16"/>
      <c r="L10" s="16"/>
    </row>
    <row r="11" spans="2:12" s="1" customFormat="1" ht="12.75">
      <c r="B11" s="16" t="s">
        <v>165</v>
      </c>
      <c r="C11" t="s">
        <v>123</v>
      </c>
      <c r="D11" s="16"/>
      <c r="E11" s="16"/>
      <c r="F11" s="16"/>
      <c r="G11" s="16"/>
      <c r="H11" s="16"/>
      <c r="I11" s="16"/>
      <c r="J11" s="16"/>
      <c r="K11" s="16"/>
      <c r="L11" s="16"/>
    </row>
    <row r="12" spans="2:12" s="1" customFormat="1" ht="12.75">
      <c r="B12" s="16"/>
      <c r="C12"/>
      <c r="D12" s="16"/>
      <c r="E12" s="16"/>
      <c r="F12" s="16"/>
      <c r="G12" s="16"/>
      <c r="H12" s="16"/>
      <c r="I12" s="16"/>
      <c r="J12" s="16"/>
      <c r="K12" s="16"/>
      <c r="L12" s="16"/>
    </row>
    <row r="13" spans="2:12" s="1" customFormat="1" ht="12.75">
      <c r="B13" s="8" t="s">
        <v>167</v>
      </c>
      <c r="C13"/>
      <c r="D13" s="16"/>
      <c r="E13" s="16"/>
      <c r="F13" s="16"/>
      <c r="G13" s="16"/>
      <c r="H13" s="16"/>
      <c r="I13" s="16"/>
      <c r="J13" s="16"/>
      <c r="K13" s="16"/>
      <c r="L13" s="16"/>
    </row>
    <row r="14" spans="2:12" s="1" customFormat="1" ht="12.75">
      <c r="B14" s="16"/>
      <c r="C14"/>
      <c r="D14" s="16"/>
      <c r="E14" s="16"/>
      <c r="F14" s="16"/>
      <c r="G14" s="16"/>
      <c r="H14" s="16"/>
      <c r="I14" s="16"/>
      <c r="J14" s="16"/>
      <c r="K14" s="16"/>
      <c r="L14" s="16"/>
    </row>
    <row r="15" spans="2:12" s="1" customFormat="1" ht="38.25">
      <c r="B15" s="54" t="s">
        <v>160</v>
      </c>
      <c r="C15" s="53" t="s">
        <v>110</v>
      </c>
      <c r="D15" s="16"/>
      <c r="E15" s="16"/>
      <c r="F15" s="16"/>
      <c r="G15" s="16"/>
      <c r="H15" s="16"/>
      <c r="I15" s="16"/>
      <c r="J15" s="16"/>
      <c r="K15" s="16"/>
      <c r="L15" s="16"/>
    </row>
    <row r="16" spans="2:12" s="1" customFormat="1" ht="12.75">
      <c r="B16" s="16" t="s">
        <v>161</v>
      </c>
      <c r="C16" t="s">
        <v>111</v>
      </c>
      <c r="D16" s="16"/>
      <c r="E16" s="16"/>
      <c r="F16" s="16"/>
      <c r="G16" s="16"/>
      <c r="H16" s="16"/>
      <c r="I16" s="16"/>
      <c r="J16" s="16"/>
      <c r="K16" s="16"/>
      <c r="L16" s="16"/>
    </row>
    <row r="17" spans="2:12" s="1" customFormat="1" ht="12.75">
      <c r="B17" s="16" t="s">
        <v>162</v>
      </c>
      <c r="C17" t="s">
        <v>111</v>
      </c>
      <c r="D17" s="16"/>
      <c r="E17" s="16"/>
      <c r="F17" s="16"/>
      <c r="G17" s="16"/>
      <c r="H17" s="16"/>
      <c r="I17" s="16"/>
      <c r="J17" s="16"/>
      <c r="K17" s="16"/>
      <c r="L17" s="16"/>
    </row>
    <row r="18" spans="2:12" s="1" customFormat="1" ht="12.75">
      <c r="B18" s="16" t="s">
        <v>163</v>
      </c>
      <c r="C18" s="1" t="s">
        <v>113</v>
      </c>
      <c r="D18" s="16"/>
      <c r="E18" s="16"/>
      <c r="F18" s="16"/>
      <c r="G18" s="16"/>
      <c r="H18" s="16"/>
      <c r="I18" s="16"/>
      <c r="J18" s="16"/>
      <c r="K18" s="16"/>
      <c r="L18" s="16"/>
    </row>
    <row r="19" spans="2:12" s="1" customFormat="1" ht="12.75">
      <c r="B19" s="16" t="s">
        <v>233</v>
      </c>
      <c r="C19" s="74">
        <v>35032</v>
      </c>
      <c r="D19" s="16"/>
      <c r="E19" s="16"/>
      <c r="F19" s="16"/>
      <c r="G19" s="16"/>
      <c r="H19" s="16"/>
      <c r="I19" s="16"/>
      <c r="J19" s="16"/>
      <c r="K19" s="16"/>
      <c r="L19" s="16"/>
    </row>
    <row r="20" spans="2:12" s="1" customFormat="1" ht="12.75">
      <c r="B20" s="16" t="s">
        <v>164</v>
      </c>
      <c r="C20" t="s">
        <v>122</v>
      </c>
      <c r="D20" s="16"/>
      <c r="E20" s="16"/>
      <c r="F20" s="16"/>
      <c r="G20" s="16"/>
      <c r="H20" s="16"/>
      <c r="I20" s="16"/>
      <c r="J20" s="16"/>
      <c r="K20" s="16"/>
      <c r="L20" s="16"/>
    </row>
    <row r="21" spans="2:12" s="1" customFormat="1" ht="12.75">
      <c r="B21" s="16" t="s">
        <v>165</v>
      </c>
      <c r="C21" t="s">
        <v>123</v>
      </c>
      <c r="D21" s="16"/>
      <c r="E21" s="16"/>
      <c r="F21" s="16"/>
      <c r="G21" s="16"/>
      <c r="H21" s="16"/>
      <c r="I21" s="16"/>
      <c r="J21" s="16"/>
      <c r="K21" s="16"/>
      <c r="L21" s="16"/>
    </row>
    <row r="22" spans="2:12" s="1" customFormat="1" ht="12.75">
      <c r="B22" s="16"/>
      <c r="C22"/>
      <c r="D22" s="16"/>
      <c r="E22" s="16"/>
      <c r="F22" s="16"/>
      <c r="G22" s="16"/>
      <c r="H22" s="16"/>
      <c r="I22" s="16"/>
      <c r="J22" s="16"/>
      <c r="K22" s="16"/>
      <c r="L22" s="16"/>
    </row>
    <row r="23" spans="2:12" s="1" customFormat="1" ht="12.75">
      <c r="B23" s="8" t="s">
        <v>166</v>
      </c>
      <c r="C23"/>
      <c r="D23" s="16"/>
      <c r="E23" s="16"/>
      <c r="F23" s="16"/>
      <c r="G23" s="16"/>
      <c r="H23" s="16"/>
      <c r="I23" s="16"/>
      <c r="J23" s="16"/>
      <c r="K23" s="16"/>
      <c r="L23" s="16"/>
    </row>
    <row r="24" spans="2:12" s="1" customFormat="1" ht="12.75">
      <c r="B24" s="16"/>
      <c r="C24"/>
      <c r="D24" s="16"/>
      <c r="E24" s="16"/>
      <c r="F24" s="16"/>
      <c r="G24" s="16"/>
      <c r="H24" s="16"/>
      <c r="I24" s="16"/>
      <c r="J24" s="16"/>
      <c r="K24" s="16"/>
      <c r="L24" s="16"/>
    </row>
    <row r="25" spans="2:12" s="1" customFormat="1" ht="12.75">
      <c r="B25" s="54" t="s">
        <v>160</v>
      </c>
      <c r="C25" s="53" t="s">
        <v>133</v>
      </c>
      <c r="D25" s="16"/>
      <c r="E25" s="16"/>
      <c r="F25" s="16"/>
      <c r="G25" s="16"/>
      <c r="H25" s="16"/>
      <c r="I25" s="16"/>
      <c r="J25" s="16"/>
      <c r="K25" s="16"/>
      <c r="L25" s="16"/>
    </row>
    <row r="26" spans="2:12" s="1" customFormat="1" ht="12.75">
      <c r="B26" s="16" t="s">
        <v>161</v>
      </c>
      <c r="C26" t="s">
        <v>111</v>
      </c>
      <c r="D26" s="16"/>
      <c r="E26" s="16"/>
      <c r="F26" s="16"/>
      <c r="G26" s="16"/>
      <c r="H26" s="16"/>
      <c r="I26" s="16"/>
      <c r="J26" s="16"/>
      <c r="K26" s="16"/>
      <c r="L26" s="16"/>
    </row>
    <row r="27" spans="2:12" s="1" customFormat="1" ht="12.75">
      <c r="B27" s="16" t="s">
        <v>162</v>
      </c>
      <c r="C27"/>
      <c r="D27" s="16"/>
      <c r="E27" s="16"/>
      <c r="F27" s="16"/>
      <c r="G27" s="16"/>
      <c r="H27" s="16"/>
      <c r="I27" s="16"/>
      <c r="J27" s="16"/>
      <c r="K27" s="16"/>
      <c r="L27" s="16"/>
    </row>
    <row r="28" spans="2:12" s="1" customFormat="1" ht="12.75">
      <c r="B28" s="16" t="s">
        <v>163</v>
      </c>
      <c r="C28" s="1" t="s">
        <v>134</v>
      </c>
      <c r="D28" s="16"/>
      <c r="E28" s="16"/>
      <c r="F28" s="16"/>
      <c r="G28" s="16"/>
      <c r="H28" s="16"/>
      <c r="I28" s="16"/>
      <c r="J28" s="16"/>
      <c r="K28" s="16"/>
      <c r="L28" s="16"/>
    </row>
    <row r="29" spans="2:12" s="1" customFormat="1" ht="12.75">
      <c r="B29" s="16" t="s">
        <v>233</v>
      </c>
      <c r="C29" s="74">
        <v>36274</v>
      </c>
      <c r="D29" s="16"/>
      <c r="E29" s="16"/>
      <c r="F29" s="16"/>
      <c r="G29" s="16"/>
      <c r="H29" s="16"/>
      <c r="I29" s="16"/>
      <c r="J29" s="16"/>
      <c r="K29" s="16"/>
      <c r="L29" s="16"/>
    </row>
    <row r="30" spans="2:12" s="1" customFormat="1" ht="12.75">
      <c r="B30" s="16" t="s">
        <v>164</v>
      </c>
      <c r="C30" t="s">
        <v>135</v>
      </c>
      <c r="D30" s="16"/>
      <c r="E30" s="16"/>
      <c r="F30" s="16"/>
      <c r="G30" s="16"/>
      <c r="H30" s="16"/>
      <c r="I30" s="16"/>
      <c r="J30" s="16"/>
      <c r="K30" s="16"/>
      <c r="L30" s="16"/>
    </row>
    <row r="31" spans="2:12" s="1" customFormat="1" ht="12.75">
      <c r="B31" s="16" t="s">
        <v>165</v>
      </c>
      <c r="C31" t="s">
        <v>136</v>
      </c>
      <c r="D31" s="16"/>
      <c r="E31" s="16"/>
      <c r="F31" s="16"/>
      <c r="G31" s="16"/>
      <c r="H31" s="16"/>
      <c r="I31" s="16"/>
      <c r="J31" s="16"/>
      <c r="K31" s="16"/>
      <c r="L31" s="16"/>
    </row>
    <row r="33" ht="12.75">
      <c r="B33" s="8" t="s">
        <v>117</v>
      </c>
    </row>
    <row r="34" ht="12.75">
      <c r="B34" s="8"/>
    </row>
    <row r="35" spans="2:3" ht="25.5">
      <c r="B35" s="60" t="s">
        <v>160</v>
      </c>
      <c r="C35" s="61" t="s">
        <v>169</v>
      </c>
    </row>
    <row r="36" ht="12.75">
      <c r="B36" t="s">
        <v>161</v>
      </c>
    </row>
    <row r="37" ht="12.75">
      <c r="B37" t="s">
        <v>162</v>
      </c>
    </row>
    <row r="38" spans="1:3" ht="12.75">
      <c r="A38" t="s">
        <v>117</v>
      </c>
      <c r="B38" t="s">
        <v>170</v>
      </c>
      <c r="C38" s="59" t="s">
        <v>239</v>
      </c>
    </row>
    <row r="39" ht="12.75">
      <c r="B39" t="s">
        <v>163</v>
      </c>
    </row>
    <row r="40" spans="2:3" ht="12.75">
      <c r="B40" t="s">
        <v>233</v>
      </c>
      <c r="C40" s="75">
        <v>34029</v>
      </c>
    </row>
    <row r="42" ht="12.75">
      <c r="B42" s="8" t="s">
        <v>116</v>
      </c>
    </row>
    <row r="43" ht="12.75">
      <c r="B43" s="8"/>
    </row>
    <row r="44" spans="2:3" ht="25.5">
      <c r="B44" s="60" t="s">
        <v>160</v>
      </c>
      <c r="C44" s="61" t="s">
        <v>169</v>
      </c>
    </row>
    <row r="45" ht="12.75">
      <c r="B45" t="s">
        <v>161</v>
      </c>
    </row>
    <row r="46" ht="12.75">
      <c r="B46" t="s">
        <v>162</v>
      </c>
    </row>
    <row r="47" spans="1:3" ht="12.75">
      <c r="A47" t="s">
        <v>116</v>
      </c>
      <c r="B47" t="s">
        <v>170</v>
      </c>
      <c r="C47" s="59" t="s">
        <v>238</v>
      </c>
    </row>
    <row r="48" ht="12.75">
      <c r="B48" t="s">
        <v>163</v>
      </c>
    </row>
    <row r="49" spans="2:3" ht="12.75">
      <c r="B49" t="s">
        <v>233</v>
      </c>
      <c r="C49" s="75">
        <v>34029</v>
      </c>
    </row>
    <row r="51" ht="12.75">
      <c r="B51" s="8" t="s">
        <v>118</v>
      </c>
    </row>
    <row r="52" ht="12.75">
      <c r="B52" s="8"/>
    </row>
    <row r="53" spans="2:3" ht="38.25">
      <c r="B53" s="60" t="s">
        <v>160</v>
      </c>
      <c r="C53" s="61" t="s">
        <v>171</v>
      </c>
    </row>
    <row r="54" ht="12.75">
      <c r="B54" t="s">
        <v>161</v>
      </c>
    </row>
    <row r="55" ht="12.75">
      <c r="B55" t="s">
        <v>162</v>
      </c>
    </row>
    <row r="56" spans="1:3" ht="12.75">
      <c r="A56" t="s">
        <v>118</v>
      </c>
      <c r="B56" t="s">
        <v>170</v>
      </c>
      <c r="C56" s="59" t="s">
        <v>237</v>
      </c>
    </row>
    <row r="57" spans="1:3" ht="12.75">
      <c r="A57" t="s">
        <v>118</v>
      </c>
      <c r="B57" t="s">
        <v>163</v>
      </c>
      <c r="C57" s="59" t="s">
        <v>172</v>
      </c>
    </row>
    <row r="58" spans="1:3" ht="12.75">
      <c r="A58" t="s">
        <v>118</v>
      </c>
      <c r="B58" t="s">
        <v>233</v>
      </c>
      <c r="C58" s="75">
        <v>33388</v>
      </c>
    </row>
    <row r="60" ht="12.75">
      <c r="B60" s="8" t="s">
        <v>173</v>
      </c>
    </row>
    <row r="61" ht="12.75">
      <c r="B61" s="8"/>
    </row>
    <row r="62" spans="2:3" ht="38.25">
      <c r="B62" s="60" t="s">
        <v>160</v>
      </c>
      <c r="C62" s="61" t="s">
        <v>171</v>
      </c>
    </row>
    <row r="63" ht="12.75">
      <c r="B63" t="s">
        <v>161</v>
      </c>
    </row>
    <row r="64" ht="12.75">
      <c r="B64" t="s">
        <v>162</v>
      </c>
    </row>
    <row r="65" spans="1:3" ht="12.75">
      <c r="A65" t="s">
        <v>173</v>
      </c>
      <c r="B65" t="s">
        <v>170</v>
      </c>
      <c r="C65" s="59" t="s">
        <v>236</v>
      </c>
    </row>
    <row r="66" spans="1:3" ht="12.75">
      <c r="A66" t="s">
        <v>173</v>
      </c>
      <c r="B66" t="s">
        <v>163</v>
      </c>
      <c r="C66" s="59" t="s">
        <v>174</v>
      </c>
    </row>
    <row r="67" spans="2:3" ht="12.75">
      <c r="B67" t="s">
        <v>233</v>
      </c>
      <c r="C67" s="75">
        <v>33388</v>
      </c>
    </row>
    <row r="69" ht="12.75">
      <c r="B69" s="8" t="s">
        <v>175</v>
      </c>
    </row>
    <row r="70" ht="12.75">
      <c r="B70" s="8"/>
    </row>
    <row r="71" spans="2:3" ht="38.25">
      <c r="B71" s="60" t="s">
        <v>160</v>
      </c>
      <c r="C71" s="61" t="s">
        <v>171</v>
      </c>
    </row>
    <row r="72" ht="12.75">
      <c r="B72" t="s">
        <v>161</v>
      </c>
    </row>
    <row r="73" ht="12.75">
      <c r="B73" t="s">
        <v>162</v>
      </c>
    </row>
    <row r="74" spans="1:4" ht="12.75">
      <c r="A74" t="s">
        <v>175</v>
      </c>
      <c r="B74" t="s">
        <v>170</v>
      </c>
      <c r="C74" s="59" t="s">
        <v>235</v>
      </c>
      <c r="D74" s="59"/>
    </row>
    <row r="75" spans="1:3" ht="12.75">
      <c r="A75" t="s">
        <v>175</v>
      </c>
      <c r="B75" t="s">
        <v>163</v>
      </c>
      <c r="C75" s="59" t="s">
        <v>176</v>
      </c>
    </row>
    <row r="76" spans="1:3" ht="12.75">
      <c r="A76" t="s">
        <v>175</v>
      </c>
      <c r="B76" t="s">
        <v>233</v>
      </c>
      <c r="C76" s="75">
        <v>33388</v>
      </c>
    </row>
    <row r="78" ht="12.75">
      <c r="B78" s="8" t="s">
        <v>177</v>
      </c>
    </row>
    <row r="79" ht="12.75">
      <c r="B79" s="8"/>
    </row>
    <row r="80" spans="2:3" ht="38.25">
      <c r="B80" s="60" t="s">
        <v>160</v>
      </c>
      <c r="C80" s="61" t="s">
        <v>171</v>
      </c>
    </row>
    <row r="81" ht="12.75">
      <c r="B81" t="s">
        <v>161</v>
      </c>
    </row>
    <row r="82" ht="12.75">
      <c r="B82" t="s">
        <v>162</v>
      </c>
    </row>
    <row r="83" spans="1:3" ht="12.75">
      <c r="A83" t="s">
        <v>177</v>
      </c>
      <c r="B83" t="s">
        <v>170</v>
      </c>
      <c r="C83" s="59" t="s">
        <v>234</v>
      </c>
    </row>
    <row r="84" spans="1:3" ht="12.75">
      <c r="A84" t="s">
        <v>177</v>
      </c>
      <c r="B84" t="s">
        <v>163</v>
      </c>
      <c r="C84" s="59" t="s">
        <v>178</v>
      </c>
    </row>
    <row r="85" spans="1:3" ht="12.75">
      <c r="A85" t="s">
        <v>177</v>
      </c>
      <c r="B85" t="s">
        <v>233</v>
      </c>
      <c r="C85" s="75">
        <v>33388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16"/>
  <sheetViews>
    <sheetView workbookViewId="0" topLeftCell="B88">
      <selection activeCell="C42" sqref="C42"/>
    </sheetView>
  </sheetViews>
  <sheetFormatPr defaultColWidth="9.140625" defaultRowHeight="12.75"/>
  <cols>
    <col min="1" max="1" width="3.00390625" style="20" hidden="1" customWidth="1"/>
    <col min="2" max="2" width="21.140625" style="20" customWidth="1"/>
    <col min="3" max="3" width="11.57421875" style="20" customWidth="1"/>
    <col min="4" max="4" width="8.8515625" style="10" customWidth="1"/>
    <col min="5" max="5" width="6.140625" style="10" customWidth="1"/>
    <col min="6" max="6" width="3.140625" style="10" customWidth="1"/>
    <col min="7" max="7" width="10.421875" style="20" customWidth="1"/>
    <col min="8" max="8" width="2.7109375" style="20" customWidth="1"/>
    <col min="9" max="9" width="10.7109375" style="21" customWidth="1"/>
    <col min="10" max="10" width="2.8515625" style="20" customWidth="1"/>
    <col min="11" max="11" width="10.7109375" style="20" customWidth="1"/>
    <col min="12" max="12" width="3.7109375" style="20" customWidth="1"/>
    <col min="13" max="13" width="11.57421875" style="20" customWidth="1"/>
    <col min="14" max="14" width="2.140625" style="20" customWidth="1"/>
    <col min="15" max="16384" width="8.8515625" style="20" customWidth="1"/>
  </cols>
  <sheetData>
    <row r="1" spans="2:3" ht="12.75">
      <c r="B1" s="19" t="s">
        <v>213</v>
      </c>
      <c r="C1" s="19"/>
    </row>
    <row r="2" spans="2:12" ht="12.75">
      <c r="B2" s="22"/>
      <c r="C2" s="22"/>
      <c r="G2" s="22"/>
      <c r="H2" s="22"/>
      <c r="I2" s="23"/>
      <c r="J2" s="22"/>
      <c r="K2" s="22"/>
      <c r="L2" s="22"/>
    </row>
    <row r="3" spans="2:5" ht="12.75">
      <c r="B3" s="16"/>
      <c r="C3" s="16" t="s">
        <v>83</v>
      </c>
      <c r="D3" s="10" t="s">
        <v>12</v>
      </c>
      <c r="E3" s="10" t="s">
        <v>69</v>
      </c>
    </row>
    <row r="4" spans="2:12" ht="12.75">
      <c r="B4" s="16"/>
      <c r="C4" s="16"/>
      <c r="G4" s="22"/>
      <c r="H4" s="22"/>
      <c r="I4" s="23"/>
      <c r="J4" s="22"/>
      <c r="K4" s="22"/>
      <c r="L4" s="22"/>
    </row>
    <row r="5" spans="1:13" ht="12.75">
      <c r="A5" s="20">
        <v>1</v>
      </c>
      <c r="B5" s="24" t="s">
        <v>168</v>
      </c>
      <c r="C5" s="24"/>
      <c r="G5" s="22" t="s">
        <v>104</v>
      </c>
      <c r="H5" s="22"/>
      <c r="I5" s="23" t="s">
        <v>105</v>
      </c>
      <c r="J5" s="22"/>
      <c r="K5" s="22" t="s">
        <v>106</v>
      </c>
      <c r="L5" s="22"/>
      <c r="M5" s="20" t="s">
        <v>47</v>
      </c>
    </row>
    <row r="6" spans="2:12" ht="12.75">
      <c r="B6" s="10"/>
      <c r="C6" s="10"/>
      <c r="D6" s="16"/>
      <c r="E6" s="16"/>
      <c r="F6" s="16"/>
      <c r="G6" s="16"/>
      <c r="H6" s="16"/>
      <c r="I6" s="25"/>
      <c r="J6" s="16"/>
      <c r="K6" s="16"/>
      <c r="L6" s="22"/>
    </row>
    <row r="7" spans="2:13" ht="12.75">
      <c r="B7" s="10" t="s">
        <v>13</v>
      </c>
      <c r="C7" s="10" t="s">
        <v>241</v>
      </c>
      <c r="D7" s="10" t="s">
        <v>14</v>
      </c>
      <c r="E7" s="10" t="s">
        <v>15</v>
      </c>
      <c r="F7"/>
      <c r="G7">
        <v>0.0008</v>
      </c>
      <c r="H7"/>
      <c r="I7">
        <v>0.0009</v>
      </c>
      <c r="J7"/>
      <c r="K7">
        <v>0.002</v>
      </c>
      <c r="L7" s="22"/>
      <c r="M7" s="26">
        <f>AVERAGE(K7,I7,G7)</f>
        <v>0.0012333333333333332</v>
      </c>
    </row>
    <row r="8" spans="2:13" ht="12.75">
      <c r="B8" s="10" t="s">
        <v>86</v>
      </c>
      <c r="C8" s="10" t="s">
        <v>241</v>
      </c>
      <c r="D8" s="10" t="s">
        <v>16</v>
      </c>
      <c r="E8" s="10" t="s">
        <v>15</v>
      </c>
      <c r="F8"/>
      <c r="G8">
        <v>60.6</v>
      </c>
      <c r="H8"/>
      <c r="I8">
        <v>73.8</v>
      </c>
      <c r="J8"/>
      <c r="K8">
        <v>10.2</v>
      </c>
      <c r="L8" s="22"/>
      <c r="M8" s="29">
        <f>AVERAGE(K8,I8,G8)</f>
        <v>48.199999999999996</v>
      </c>
    </row>
    <row r="9" spans="2:13" ht="12.75">
      <c r="B9" s="10"/>
      <c r="C9" s="10"/>
      <c r="F9"/>
      <c r="G9"/>
      <c r="H9"/>
      <c r="I9"/>
      <c r="J9"/>
      <c r="K9"/>
      <c r="L9" s="22"/>
      <c r="M9" s="28"/>
    </row>
    <row r="10" spans="2:13" ht="12.75">
      <c r="B10" s="10" t="s">
        <v>180</v>
      </c>
      <c r="C10" s="10"/>
      <c r="D10" s="10" t="s">
        <v>120</v>
      </c>
      <c r="E10" s="10" t="s">
        <v>102</v>
      </c>
      <c r="F10"/>
      <c r="G10" s="55">
        <v>2.27E-05</v>
      </c>
      <c r="H10"/>
      <c r="I10" s="55">
        <v>1.64E-05</v>
      </c>
      <c r="J10"/>
      <c r="K10" s="55">
        <v>1.81E-05</v>
      </c>
      <c r="L10" s="22"/>
      <c r="M10" s="28"/>
    </row>
    <row r="11" spans="2:13" ht="12.75">
      <c r="B11" s="10" t="s">
        <v>181</v>
      </c>
      <c r="C11" s="10"/>
      <c r="D11" s="10" t="s">
        <v>120</v>
      </c>
      <c r="E11" s="10" t="s">
        <v>102</v>
      </c>
      <c r="F11" s="10" t="s">
        <v>124</v>
      </c>
      <c r="G11" s="55">
        <v>3.25E-05</v>
      </c>
      <c r="H11" s="10" t="s">
        <v>124</v>
      </c>
      <c r="I11" s="55">
        <v>3.16E-05</v>
      </c>
      <c r="J11" s="10" t="s">
        <v>124</v>
      </c>
      <c r="K11" s="55">
        <v>3.02E-05</v>
      </c>
      <c r="L11" s="22"/>
      <c r="M11" s="28"/>
    </row>
    <row r="12" spans="2:13" ht="12.75">
      <c r="B12" s="10" t="s">
        <v>182</v>
      </c>
      <c r="C12" s="10"/>
      <c r="D12" s="10" t="s">
        <v>120</v>
      </c>
      <c r="E12" s="10" t="s">
        <v>102</v>
      </c>
      <c r="F12"/>
      <c r="G12" s="55">
        <v>3.27E-05</v>
      </c>
      <c r="H12"/>
      <c r="I12" s="55">
        <v>1.49E-05</v>
      </c>
      <c r="J12"/>
      <c r="K12" s="55">
        <v>2.12E-05</v>
      </c>
      <c r="L12" s="22"/>
      <c r="M12" s="28"/>
    </row>
    <row r="13" spans="2:13" ht="12.75">
      <c r="B13" s="10" t="s">
        <v>183</v>
      </c>
      <c r="C13" s="10"/>
      <c r="D13" s="10" t="s">
        <v>120</v>
      </c>
      <c r="E13" s="10" t="s">
        <v>102</v>
      </c>
      <c r="F13" s="10" t="s">
        <v>124</v>
      </c>
      <c r="G13" s="55">
        <v>3.25E-07</v>
      </c>
      <c r="H13" s="10" t="s">
        <v>124</v>
      </c>
      <c r="I13" s="55">
        <v>3.16E-07</v>
      </c>
      <c r="J13" s="10" t="s">
        <v>124</v>
      </c>
      <c r="K13" s="55">
        <v>3.02E-07</v>
      </c>
      <c r="L13" s="22"/>
      <c r="M13" s="28"/>
    </row>
    <row r="14" spans="2:13" ht="12.75">
      <c r="B14" s="10" t="s">
        <v>184</v>
      </c>
      <c r="C14" s="10"/>
      <c r="D14" s="10" t="s">
        <v>120</v>
      </c>
      <c r="E14" s="10" t="s">
        <v>102</v>
      </c>
      <c r="F14" s="10" t="s">
        <v>124</v>
      </c>
      <c r="G14" s="55">
        <v>8.12E-07</v>
      </c>
      <c r="H14" s="10" t="s">
        <v>124</v>
      </c>
      <c r="I14" s="55">
        <v>7.89E-07</v>
      </c>
      <c r="J14" s="10" t="s">
        <v>124</v>
      </c>
      <c r="K14" s="55">
        <v>1.04E-06</v>
      </c>
      <c r="L14" s="22"/>
      <c r="M14" s="28"/>
    </row>
    <row r="15" spans="2:13" ht="12.75">
      <c r="B15" s="10" t="s">
        <v>185</v>
      </c>
      <c r="C15" s="10"/>
      <c r="D15" s="10" t="s">
        <v>120</v>
      </c>
      <c r="E15" s="10" t="s">
        <v>102</v>
      </c>
      <c r="F15"/>
      <c r="G15" s="55">
        <v>3.12E-06</v>
      </c>
      <c r="H15"/>
      <c r="I15" s="55">
        <v>2.9E-06</v>
      </c>
      <c r="J15"/>
      <c r="K15" s="55">
        <v>3.26E-06</v>
      </c>
      <c r="L15" s="22"/>
      <c r="M15" s="28"/>
    </row>
    <row r="16" spans="2:13" ht="12.75">
      <c r="B16" s="10" t="s">
        <v>186</v>
      </c>
      <c r="C16" s="10"/>
      <c r="D16" s="10" t="s">
        <v>120</v>
      </c>
      <c r="E16" s="10" t="s">
        <v>102</v>
      </c>
      <c r="F16"/>
      <c r="G16" s="55">
        <v>0.000267</v>
      </c>
      <c r="H16"/>
      <c r="I16" s="55">
        <v>0.000209</v>
      </c>
      <c r="J16"/>
      <c r="K16" s="55">
        <v>0.000178</v>
      </c>
      <c r="L16" s="22"/>
      <c r="M16" s="28"/>
    </row>
    <row r="17" spans="2:13" ht="12.75">
      <c r="B17" s="10" t="s">
        <v>187</v>
      </c>
      <c r="C17" s="10"/>
      <c r="D17" s="10" t="s">
        <v>120</v>
      </c>
      <c r="E17" s="10" t="s">
        <v>102</v>
      </c>
      <c r="F17"/>
      <c r="G17" s="55">
        <v>2.06E-05</v>
      </c>
      <c r="H17"/>
      <c r="I17" s="55">
        <v>1.37E-05</v>
      </c>
      <c r="J17"/>
      <c r="K17" s="55">
        <v>1.69E-05</v>
      </c>
      <c r="L17" s="22"/>
      <c r="M17" s="28"/>
    </row>
    <row r="18" spans="2:13" ht="12.75">
      <c r="B18" s="10" t="s">
        <v>188</v>
      </c>
      <c r="C18" s="10"/>
      <c r="D18" s="10" t="s">
        <v>120</v>
      </c>
      <c r="E18" s="10" t="s">
        <v>102</v>
      </c>
      <c r="F18" s="10" t="s">
        <v>124</v>
      </c>
      <c r="G18" s="55">
        <v>1.62E-06</v>
      </c>
      <c r="H18" s="10" t="s">
        <v>124</v>
      </c>
      <c r="I18" s="55">
        <v>1.58E-06</v>
      </c>
      <c r="J18" s="10" t="s">
        <v>124</v>
      </c>
      <c r="K18" s="55">
        <v>1.51E-06</v>
      </c>
      <c r="L18" s="22"/>
      <c r="M18" s="28"/>
    </row>
    <row r="19" spans="2:13" ht="12.75">
      <c r="B19" s="10" t="s">
        <v>189</v>
      </c>
      <c r="C19" s="10"/>
      <c r="D19" s="10" t="s">
        <v>120</v>
      </c>
      <c r="E19" s="10" t="s">
        <v>102</v>
      </c>
      <c r="F19" s="10" t="s">
        <v>124</v>
      </c>
      <c r="G19" s="55">
        <v>6.49E-05</v>
      </c>
      <c r="H19" s="10" t="s">
        <v>124</v>
      </c>
      <c r="I19" s="55">
        <v>6.31E-05</v>
      </c>
      <c r="J19" s="10" t="s">
        <v>124</v>
      </c>
      <c r="K19" s="55">
        <v>6.04E-05</v>
      </c>
      <c r="L19" s="22"/>
      <c r="M19" s="28"/>
    </row>
    <row r="20" spans="2:13" ht="12.75">
      <c r="B20" s="10" t="s">
        <v>240</v>
      </c>
      <c r="C20" s="10"/>
      <c r="D20" s="10" t="s">
        <v>120</v>
      </c>
      <c r="E20" s="10" t="s">
        <v>102</v>
      </c>
      <c r="F20"/>
      <c r="G20" s="55">
        <v>4.41E-07</v>
      </c>
      <c r="H20"/>
      <c r="I20" s="55">
        <v>1.1E-06</v>
      </c>
      <c r="J20"/>
      <c r="K20" s="55">
        <v>7.76E-07</v>
      </c>
      <c r="L20" s="22"/>
      <c r="M20" s="28"/>
    </row>
    <row r="21" spans="2:13" ht="12.75">
      <c r="B21" s="10"/>
      <c r="C21" s="10"/>
      <c r="G21"/>
      <c r="H21"/>
      <c r="I21"/>
      <c r="J21"/>
      <c r="K21"/>
      <c r="L21" s="22"/>
      <c r="M21" s="28"/>
    </row>
    <row r="22" spans="2:13" ht="12.75">
      <c r="B22" s="10" t="s">
        <v>87</v>
      </c>
      <c r="C22" s="10" t="s">
        <v>243</v>
      </c>
      <c r="D22" s="10" t="s">
        <v>241</v>
      </c>
      <c r="G22"/>
      <c r="H22"/>
      <c r="I22"/>
      <c r="J22"/>
      <c r="K22"/>
      <c r="L22" s="22"/>
      <c r="M22" s="29"/>
    </row>
    <row r="23" spans="2:13" ht="12.75">
      <c r="B23" s="10" t="s">
        <v>82</v>
      </c>
      <c r="C23" s="10"/>
      <c r="D23" s="10" t="s">
        <v>17</v>
      </c>
      <c r="G23">
        <v>4359</v>
      </c>
      <c r="H23"/>
      <c r="I23">
        <v>4503</v>
      </c>
      <c r="J23"/>
      <c r="K23">
        <v>4594</v>
      </c>
      <c r="L23" s="22"/>
      <c r="M23" s="27">
        <f>AVERAGE(K23,G23,I23)</f>
        <v>4485.333333333333</v>
      </c>
    </row>
    <row r="24" spans="2:13" ht="12.75">
      <c r="B24" s="10" t="s">
        <v>84</v>
      </c>
      <c r="C24" s="10"/>
      <c r="D24" s="10" t="s">
        <v>18</v>
      </c>
      <c r="G24">
        <v>15.15</v>
      </c>
      <c r="H24"/>
      <c r="I24">
        <v>15.56</v>
      </c>
      <c r="J24"/>
      <c r="K24">
        <v>15.24</v>
      </c>
      <c r="M24" s="27">
        <f>AVERAGE(K24,G24,I24)</f>
        <v>15.316666666666668</v>
      </c>
    </row>
    <row r="25" spans="2:13" ht="12.75">
      <c r="B25" s="10" t="s">
        <v>85</v>
      </c>
      <c r="C25" s="10"/>
      <c r="D25" s="10" t="s">
        <v>18</v>
      </c>
      <c r="G25">
        <v>5.3</v>
      </c>
      <c r="H25"/>
      <c r="I25">
        <v>4.4</v>
      </c>
      <c r="J25"/>
      <c r="K25">
        <v>6</v>
      </c>
      <c r="M25" s="27">
        <f>AVERAGE(K25,G25,I25)</f>
        <v>5.233333333333333</v>
      </c>
    </row>
    <row r="26" spans="2:13" ht="12.75">
      <c r="B26" s="10" t="s">
        <v>81</v>
      </c>
      <c r="C26" s="10"/>
      <c r="D26" s="10" t="s">
        <v>19</v>
      </c>
      <c r="G26">
        <v>214</v>
      </c>
      <c r="H26"/>
      <c r="I26">
        <v>213</v>
      </c>
      <c r="J26"/>
      <c r="K26">
        <v>220</v>
      </c>
      <c r="M26" s="27">
        <f>AVERAGE(K26,G26,I26)</f>
        <v>215.66666666666666</v>
      </c>
    </row>
    <row r="27" spans="2:13" ht="12.75">
      <c r="B27" s="10"/>
      <c r="C27" s="10"/>
      <c r="G27"/>
      <c r="H27"/>
      <c r="I27"/>
      <c r="J27"/>
      <c r="K27"/>
      <c r="M27" s="29"/>
    </row>
    <row r="28" spans="2:13" ht="12.75">
      <c r="B28" s="10" t="s">
        <v>87</v>
      </c>
      <c r="C28" s="10" t="s">
        <v>103</v>
      </c>
      <c r="D28" s="10" t="s">
        <v>242</v>
      </c>
      <c r="G28"/>
      <c r="H28"/>
      <c r="I28"/>
      <c r="J28"/>
      <c r="K28"/>
      <c r="M28" s="29"/>
    </row>
    <row r="29" spans="2:13" ht="12.75">
      <c r="B29" s="10" t="s">
        <v>82</v>
      </c>
      <c r="C29" s="10"/>
      <c r="D29" s="10" t="s">
        <v>17</v>
      </c>
      <c r="G29">
        <v>4805</v>
      </c>
      <c r="H29"/>
      <c r="I29">
        <v>4878</v>
      </c>
      <c r="J29"/>
      <c r="K29">
        <v>5004</v>
      </c>
      <c r="M29" s="28">
        <f>AVERAGE(K29,G29,I29)</f>
        <v>4895.666666666667</v>
      </c>
    </row>
    <row r="30" spans="2:13" ht="12.75">
      <c r="B30" s="10" t="s">
        <v>84</v>
      </c>
      <c r="C30" s="10"/>
      <c r="D30" s="10" t="s">
        <v>18</v>
      </c>
      <c r="G30"/>
      <c r="H30"/>
      <c r="I30"/>
      <c r="J30"/>
      <c r="K30"/>
      <c r="M30" s="28"/>
    </row>
    <row r="31" spans="2:13" ht="12.75">
      <c r="B31" s="10" t="s">
        <v>85</v>
      </c>
      <c r="C31" s="10"/>
      <c r="D31" s="10" t="s">
        <v>18</v>
      </c>
      <c r="G31">
        <v>5.7</v>
      </c>
      <c r="H31"/>
      <c r="I31">
        <v>6.8</v>
      </c>
      <c r="J31"/>
      <c r="K31">
        <v>7.3</v>
      </c>
      <c r="M31" s="28">
        <f>AVERAGE(K31,G31,I31)</f>
        <v>6.6000000000000005</v>
      </c>
    </row>
    <row r="32" spans="2:13" ht="12.75">
      <c r="B32" s="10" t="s">
        <v>81</v>
      </c>
      <c r="C32" s="10"/>
      <c r="D32" s="10" t="s">
        <v>19</v>
      </c>
      <c r="G32">
        <v>208</v>
      </c>
      <c r="H32"/>
      <c r="I32">
        <v>209</v>
      </c>
      <c r="J32"/>
      <c r="K32">
        <v>217</v>
      </c>
      <c r="M32" s="28">
        <f>AVERAGE(K32,G32,I32)</f>
        <v>211.33333333333334</v>
      </c>
    </row>
    <row r="33" spans="2:13" ht="12.75">
      <c r="B33" s="10"/>
      <c r="C33" s="10"/>
      <c r="G33"/>
      <c r="H33"/>
      <c r="I33"/>
      <c r="J33"/>
      <c r="K33"/>
      <c r="L33" s="11"/>
      <c r="M33" s="27"/>
    </row>
    <row r="34" spans="2:13" ht="12.75">
      <c r="B34" s="10" t="s">
        <v>180</v>
      </c>
      <c r="C34" s="10" t="s">
        <v>241</v>
      </c>
      <c r="D34" s="10" t="s">
        <v>60</v>
      </c>
      <c r="E34" s="10" t="s">
        <v>15</v>
      </c>
      <c r="F34"/>
      <c r="G34" s="6">
        <f>G10*1000000*14/(21-G$24)</f>
        <v>54.32478632478633</v>
      </c>
      <c r="H34"/>
      <c r="I34" s="6">
        <f>I10*1000000*14/(21-I$24)</f>
        <v>42.205882352941174</v>
      </c>
      <c r="J34"/>
      <c r="K34" s="6">
        <f aca="true" t="shared" si="0" ref="K34:K44">K10*1000000*14/(21-K$24)</f>
        <v>43.99305555555555</v>
      </c>
      <c r="L34" s="22"/>
      <c r="M34" s="27">
        <f aca="true" t="shared" si="1" ref="M34:M40">AVERAGE(K34,G34,I34)</f>
        <v>46.84124141109436</v>
      </c>
    </row>
    <row r="35" spans="2:13" ht="12.75">
      <c r="B35" s="10" t="s">
        <v>181</v>
      </c>
      <c r="C35" s="10" t="s">
        <v>241</v>
      </c>
      <c r="D35" s="10" t="s">
        <v>60</v>
      </c>
      <c r="E35" s="10" t="s">
        <v>15</v>
      </c>
      <c r="F35" s="10" t="s">
        <v>124</v>
      </c>
      <c r="G35" s="6">
        <f aca="true" t="shared" si="2" ref="G35:I44">G11*1000000*14/(21-G$24)</f>
        <v>77.77777777777779</v>
      </c>
      <c r="H35" s="10" t="s">
        <v>124</v>
      </c>
      <c r="I35" s="6">
        <f t="shared" si="2"/>
        <v>81.32352941176472</v>
      </c>
      <c r="J35" s="10" t="s">
        <v>124</v>
      </c>
      <c r="K35" s="6">
        <f t="shared" si="0"/>
        <v>73.40277777777779</v>
      </c>
      <c r="L35" s="22"/>
      <c r="M35" s="27">
        <f t="shared" si="1"/>
        <v>77.50136165577344</v>
      </c>
    </row>
    <row r="36" spans="2:13" ht="12.75">
      <c r="B36" s="10" t="s">
        <v>182</v>
      </c>
      <c r="C36" s="10" t="s">
        <v>241</v>
      </c>
      <c r="D36" s="10" t="s">
        <v>60</v>
      </c>
      <c r="E36" s="10" t="s">
        <v>15</v>
      </c>
      <c r="F36"/>
      <c r="G36" s="6">
        <f t="shared" si="2"/>
        <v>78.25641025641028</v>
      </c>
      <c r="H36"/>
      <c r="I36" s="6">
        <f t="shared" si="2"/>
        <v>38.34558823529412</v>
      </c>
      <c r="J36"/>
      <c r="K36" s="6">
        <f t="shared" si="0"/>
        <v>51.52777777777778</v>
      </c>
      <c r="L36" s="22"/>
      <c r="M36" s="27">
        <f t="shared" si="1"/>
        <v>56.043258756494055</v>
      </c>
    </row>
    <row r="37" spans="2:13" ht="12.75">
      <c r="B37" s="10" t="s">
        <v>183</v>
      </c>
      <c r="C37" s="10" t="s">
        <v>241</v>
      </c>
      <c r="D37" s="10" t="s">
        <v>60</v>
      </c>
      <c r="E37" s="10" t="s">
        <v>15</v>
      </c>
      <c r="F37" s="10" t="s">
        <v>124</v>
      </c>
      <c r="G37" s="6">
        <f t="shared" si="2"/>
        <v>0.7777777777777778</v>
      </c>
      <c r="H37" s="10" t="s">
        <v>124</v>
      </c>
      <c r="I37" s="6">
        <f t="shared" si="2"/>
        <v>0.8132352941176472</v>
      </c>
      <c r="J37" s="10" t="s">
        <v>124</v>
      </c>
      <c r="K37" s="6">
        <f t="shared" si="0"/>
        <v>0.7340277777777777</v>
      </c>
      <c r="L37" s="22"/>
      <c r="M37" s="27">
        <f t="shared" si="1"/>
        <v>0.7750136165577343</v>
      </c>
    </row>
    <row r="38" spans="2:13" ht="12.75">
      <c r="B38" s="10" t="s">
        <v>184</v>
      </c>
      <c r="C38" s="10" t="s">
        <v>241</v>
      </c>
      <c r="D38" s="10" t="s">
        <v>60</v>
      </c>
      <c r="E38" s="10" t="s">
        <v>15</v>
      </c>
      <c r="F38" s="10" t="s">
        <v>124</v>
      </c>
      <c r="G38" s="6">
        <f t="shared" si="2"/>
        <v>1.9432478632478634</v>
      </c>
      <c r="H38" s="10" t="s">
        <v>124</v>
      </c>
      <c r="I38" s="6">
        <f t="shared" si="2"/>
        <v>2.030514705882353</v>
      </c>
      <c r="J38" s="10" t="s">
        <v>124</v>
      </c>
      <c r="K38" s="6">
        <f t="shared" si="0"/>
        <v>2.527777777777778</v>
      </c>
      <c r="L38" s="22"/>
      <c r="M38" s="27">
        <f t="shared" si="1"/>
        <v>2.167180115635998</v>
      </c>
    </row>
    <row r="39" spans="2:13" ht="12.75">
      <c r="B39" s="10" t="s">
        <v>185</v>
      </c>
      <c r="C39" s="10" t="s">
        <v>241</v>
      </c>
      <c r="D39" s="10" t="s">
        <v>60</v>
      </c>
      <c r="E39" s="10" t="s">
        <v>15</v>
      </c>
      <c r="F39"/>
      <c r="G39" s="6">
        <f t="shared" si="2"/>
        <v>7.466666666666667</v>
      </c>
      <c r="H39"/>
      <c r="I39" s="6">
        <f t="shared" si="2"/>
        <v>7.463235294117649</v>
      </c>
      <c r="J39"/>
      <c r="K39" s="6">
        <f t="shared" si="0"/>
        <v>7.923611111111112</v>
      </c>
      <c r="L39" s="22"/>
      <c r="M39" s="27">
        <f t="shared" si="1"/>
        <v>7.617837690631809</v>
      </c>
    </row>
    <row r="40" spans="2:13" ht="12.75">
      <c r="B40" s="10" t="s">
        <v>186</v>
      </c>
      <c r="C40" s="10" t="s">
        <v>241</v>
      </c>
      <c r="D40" s="10" t="s">
        <v>60</v>
      </c>
      <c r="E40" s="10" t="s">
        <v>15</v>
      </c>
      <c r="F40"/>
      <c r="G40" s="6">
        <f t="shared" si="2"/>
        <v>638.974358974359</v>
      </c>
      <c r="H40"/>
      <c r="I40" s="6">
        <f t="shared" si="2"/>
        <v>537.8676470588235</v>
      </c>
      <c r="J40"/>
      <c r="K40" s="6">
        <f t="shared" si="0"/>
        <v>432.6388888888889</v>
      </c>
      <c r="L40" s="22"/>
      <c r="M40" s="27">
        <f t="shared" si="1"/>
        <v>536.4936316406905</v>
      </c>
    </row>
    <row r="41" spans="2:13" ht="12.75">
      <c r="B41" s="10" t="s">
        <v>187</v>
      </c>
      <c r="C41" s="10" t="s">
        <v>241</v>
      </c>
      <c r="D41" s="10" t="s">
        <v>60</v>
      </c>
      <c r="E41" s="10" t="s">
        <v>15</v>
      </c>
      <c r="F41"/>
      <c r="G41" s="6">
        <f t="shared" si="2"/>
        <v>49.2991452991453</v>
      </c>
      <c r="H41"/>
      <c r="I41" s="6">
        <f t="shared" si="2"/>
        <v>35.25735294117647</v>
      </c>
      <c r="J41"/>
      <c r="K41" s="6">
        <f t="shared" si="0"/>
        <v>41.07638888888889</v>
      </c>
      <c r="L41" s="22"/>
      <c r="M41" s="27">
        <f>AVERAGE(K41,G41,I41)</f>
        <v>41.87762904307022</v>
      </c>
    </row>
    <row r="42" spans="2:13" ht="12.75">
      <c r="B42" s="10" t="s">
        <v>188</v>
      </c>
      <c r="C42" s="10" t="s">
        <v>241</v>
      </c>
      <c r="D42" s="10" t="s">
        <v>60</v>
      </c>
      <c r="E42" s="10" t="s">
        <v>15</v>
      </c>
      <c r="F42" s="10" t="s">
        <v>124</v>
      </c>
      <c r="G42" s="6">
        <f t="shared" si="2"/>
        <v>3.876923076923077</v>
      </c>
      <c r="H42" s="10" t="s">
        <v>124</v>
      </c>
      <c r="I42" s="6">
        <f t="shared" si="2"/>
        <v>4.0661764705882355</v>
      </c>
      <c r="J42" s="10" t="s">
        <v>124</v>
      </c>
      <c r="K42" s="6">
        <f t="shared" si="0"/>
        <v>3.6701388888888893</v>
      </c>
      <c r="L42" s="22"/>
      <c r="M42" s="27">
        <f>AVERAGE(K42,G42,I42)</f>
        <v>3.8710794788000675</v>
      </c>
    </row>
    <row r="43" spans="2:13" ht="12.75">
      <c r="B43" s="10" t="s">
        <v>189</v>
      </c>
      <c r="C43" s="10" t="s">
        <v>241</v>
      </c>
      <c r="D43" s="10" t="s">
        <v>60</v>
      </c>
      <c r="E43" s="10" t="s">
        <v>15</v>
      </c>
      <c r="F43" s="10" t="s">
        <v>124</v>
      </c>
      <c r="G43" s="6">
        <f t="shared" si="2"/>
        <v>155.31623931623935</v>
      </c>
      <c r="H43" s="10" t="s">
        <v>124</v>
      </c>
      <c r="I43" s="6">
        <f t="shared" si="2"/>
        <v>162.38970588235296</v>
      </c>
      <c r="J43" s="10" t="s">
        <v>124</v>
      </c>
      <c r="K43" s="6">
        <f t="shared" si="0"/>
        <v>146.80555555555557</v>
      </c>
      <c r="L43" s="22"/>
      <c r="M43" s="27">
        <f>AVERAGE(K43,G43,I43)</f>
        <v>154.8371669180493</v>
      </c>
    </row>
    <row r="44" spans="2:13" ht="12.75">
      <c r="B44" s="10" t="s">
        <v>273</v>
      </c>
      <c r="C44" s="10" t="s">
        <v>242</v>
      </c>
      <c r="D44" s="10" t="s">
        <v>60</v>
      </c>
      <c r="E44" s="10" t="s">
        <v>15</v>
      </c>
      <c r="F44"/>
      <c r="G44" s="6">
        <f t="shared" si="2"/>
        <v>1.0553846153846156</v>
      </c>
      <c r="H44"/>
      <c r="I44" s="6">
        <f t="shared" si="2"/>
        <v>2.830882352941177</v>
      </c>
      <c r="J44"/>
      <c r="K44" s="6">
        <f t="shared" si="0"/>
        <v>1.886111111111111</v>
      </c>
      <c r="L44" s="22"/>
      <c r="M44" s="27">
        <f>AVERAGE(K44,G44,I44)</f>
        <v>1.9241260264789677</v>
      </c>
    </row>
    <row r="45" spans="2:13" ht="12.75">
      <c r="B45" s="10"/>
      <c r="C45" s="10"/>
      <c r="F45"/>
      <c r="G45"/>
      <c r="H45"/>
      <c r="I45"/>
      <c r="J45"/>
      <c r="K45"/>
      <c r="L45" s="22"/>
      <c r="M45" s="28"/>
    </row>
    <row r="46" spans="2:13" ht="12.75">
      <c r="B46" s="10" t="s">
        <v>61</v>
      </c>
      <c r="C46" s="10" t="s">
        <v>241</v>
      </c>
      <c r="D46" s="10" t="s">
        <v>60</v>
      </c>
      <c r="E46" s="10" t="s">
        <v>15</v>
      </c>
      <c r="F46"/>
      <c r="G46" s="6">
        <f>G40+G38</f>
        <v>640.9176068376069</v>
      </c>
      <c r="H46"/>
      <c r="I46" s="6">
        <f>I40+I38</f>
        <v>539.8981617647058</v>
      </c>
      <c r="J46"/>
      <c r="K46" s="6">
        <f>K40+K38</f>
        <v>435.1666666666667</v>
      </c>
      <c r="L46" s="22"/>
      <c r="M46" s="27">
        <f>AVERAGE(G46,I46,K46)</f>
        <v>538.6608117563266</v>
      </c>
    </row>
    <row r="47" spans="2:13" ht="12.75">
      <c r="B47" s="10" t="s">
        <v>62</v>
      </c>
      <c r="C47" s="10" t="s">
        <v>241</v>
      </c>
      <c r="D47" s="10" t="s">
        <v>60</v>
      </c>
      <c r="E47" s="10" t="s">
        <v>15</v>
      </c>
      <c r="F47"/>
      <c r="G47" s="6">
        <f>G39+G37+G35</f>
        <v>86.02222222222223</v>
      </c>
      <c r="H47"/>
      <c r="I47" s="6">
        <f>I39+I37+I35</f>
        <v>89.60000000000002</v>
      </c>
      <c r="J47"/>
      <c r="K47" s="6">
        <f>K39+K37+K35</f>
        <v>82.06041666666667</v>
      </c>
      <c r="L47" s="22"/>
      <c r="M47" s="27">
        <f>AVERAGE(G47,I47,K47)</f>
        <v>85.89421296296298</v>
      </c>
    </row>
    <row r="48" spans="2:13" ht="13.5" customHeight="1">
      <c r="B48" s="10"/>
      <c r="C48" s="10"/>
      <c r="G48"/>
      <c r="H48"/>
      <c r="I48"/>
      <c r="J48"/>
      <c r="K48"/>
      <c r="M48" s="29"/>
    </row>
    <row r="49" spans="1:13" ht="12.75">
      <c r="A49" s="20">
        <v>1</v>
      </c>
      <c r="B49" s="24" t="s">
        <v>167</v>
      </c>
      <c r="C49" s="24"/>
      <c r="G49" s="22" t="s">
        <v>104</v>
      </c>
      <c r="H49" s="22"/>
      <c r="I49" s="23" t="s">
        <v>105</v>
      </c>
      <c r="J49" s="22"/>
      <c r="K49" s="22" t="s">
        <v>106</v>
      </c>
      <c r="L49" s="22"/>
      <c r="M49" s="20" t="s">
        <v>47</v>
      </c>
    </row>
    <row r="50" spans="2:12" ht="12.75">
      <c r="B50" s="10"/>
      <c r="C50" s="10"/>
      <c r="D50" s="16"/>
      <c r="E50" s="16"/>
      <c r="F50" s="16"/>
      <c r="G50" s="16"/>
      <c r="H50" s="16"/>
      <c r="I50" s="25"/>
      <c r="J50" s="16"/>
      <c r="K50" s="16"/>
      <c r="L50" s="22"/>
    </row>
    <row r="51" spans="2:13" ht="12.75">
      <c r="B51" s="10" t="s">
        <v>13</v>
      </c>
      <c r="C51" s="10" t="s">
        <v>241</v>
      </c>
      <c r="D51" s="10" t="s">
        <v>14</v>
      </c>
      <c r="E51" s="10" t="s">
        <v>15</v>
      </c>
      <c r="F51"/>
      <c r="G51">
        <v>0.0022</v>
      </c>
      <c r="H51"/>
      <c r="I51">
        <v>0.0045</v>
      </c>
      <c r="J51"/>
      <c r="K51">
        <v>0.0024</v>
      </c>
      <c r="L51" s="22"/>
      <c r="M51" s="26">
        <f>AVERAGE(K51,I51,G51)</f>
        <v>0.0030333333333333336</v>
      </c>
    </row>
    <row r="52" spans="2:13" ht="12.75">
      <c r="B52" s="10" t="s">
        <v>86</v>
      </c>
      <c r="C52" s="10" t="s">
        <v>241</v>
      </c>
      <c r="D52" s="10" t="s">
        <v>16</v>
      </c>
      <c r="E52" s="10" t="s">
        <v>15</v>
      </c>
      <c r="F52"/>
      <c r="G52">
        <v>6.9</v>
      </c>
      <c r="H52"/>
      <c r="I52">
        <v>45.9</v>
      </c>
      <c r="J52"/>
      <c r="K52">
        <v>59.4</v>
      </c>
      <c r="L52" s="22"/>
      <c r="M52" s="29">
        <f>AVERAGE(K52,I52,G52)</f>
        <v>37.4</v>
      </c>
    </row>
    <row r="53" spans="2:13" ht="12.75">
      <c r="B53" s="10"/>
      <c r="C53" s="10"/>
      <c r="F53"/>
      <c r="G53"/>
      <c r="H53"/>
      <c r="I53"/>
      <c r="J53"/>
      <c r="K53"/>
      <c r="L53" s="22"/>
      <c r="M53" s="28"/>
    </row>
    <row r="54" spans="2:13" ht="12.75">
      <c r="B54" s="10" t="s">
        <v>180</v>
      </c>
      <c r="C54" s="10"/>
      <c r="D54" s="10" t="s">
        <v>120</v>
      </c>
      <c r="E54" s="10" t="s">
        <v>102</v>
      </c>
      <c r="F54"/>
      <c r="G54" s="55">
        <v>2.41E-05</v>
      </c>
      <c r="H54"/>
      <c r="I54" s="55">
        <v>5.09E-05</v>
      </c>
      <c r="J54"/>
      <c r="K54" s="55">
        <v>2.44E-05</v>
      </c>
      <c r="L54" s="22"/>
      <c r="M54" s="28"/>
    </row>
    <row r="55" spans="2:13" ht="12.75">
      <c r="B55" s="10" t="s">
        <v>181</v>
      </c>
      <c r="C55" s="10"/>
      <c r="D55" s="10" t="s">
        <v>120</v>
      </c>
      <c r="E55" s="10" t="s">
        <v>102</v>
      </c>
      <c r="F55" s="10" t="s">
        <v>124</v>
      </c>
      <c r="G55" s="55">
        <v>3.02E-05</v>
      </c>
      <c r="H55" s="10" t="s">
        <v>124</v>
      </c>
      <c r="I55" s="55">
        <v>2.92E-05</v>
      </c>
      <c r="J55" s="10" t="s">
        <v>124</v>
      </c>
      <c r="K55" s="55">
        <v>2.85E-05</v>
      </c>
      <c r="L55" s="22"/>
      <c r="M55" s="28"/>
    </row>
    <row r="56" spans="2:13" ht="12.75">
      <c r="B56" s="10" t="s">
        <v>182</v>
      </c>
      <c r="C56" s="10"/>
      <c r="D56" s="10" t="s">
        <v>120</v>
      </c>
      <c r="E56" s="10" t="s">
        <v>102</v>
      </c>
      <c r="F56"/>
      <c r="G56" s="55">
        <v>3.59E-05</v>
      </c>
      <c r="H56"/>
      <c r="I56" s="55">
        <v>9E-05</v>
      </c>
      <c r="J56"/>
      <c r="K56" s="55">
        <v>4.04E-05</v>
      </c>
      <c r="L56" s="22"/>
      <c r="M56" s="28"/>
    </row>
    <row r="57" spans="2:13" ht="12.75">
      <c r="B57" s="10" t="s">
        <v>183</v>
      </c>
      <c r="C57" s="10"/>
      <c r="D57" s="10" t="s">
        <v>120</v>
      </c>
      <c r="E57" s="10" t="s">
        <v>102</v>
      </c>
      <c r="F57" s="10" t="s">
        <v>124</v>
      </c>
      <c r="G57" s="55">
        <v>3.02E-07</v>
      </c>
      <c r="H57" s="10" t="s">
        <v>124</v>
      </c>
      <c r="I57" s="55">
        <v>2.92E-07</v>
      </c>
      <c r="J57" s="10" t="s">
        <v>124</v>
      </c>
      <c r="K57" s="55">
        <v>2.85E-07</v>
      </c>
      <c r="L57" s="22"/>
      <c r="M57" s="28"/>
    </row>
    <row r="58" spans="2:13" ht="12.75">
      <c r="B58" s="10" t="s">
        <v>184</v>
      </c>
      <c r="C58" s="10"/>
      <c r="D58" s="10" t="s">
        <v>120</v>
      </c>
      <c r="E58" s="10" t="s">
        <v>102</v>
      </c>
      <c r="G58" s="55">
        <v>2.54E-06</v>
      </c>
      <c r="H58" s="10"/>
      <c r="I58" s="55">
        <v>2.17E-05</v>
      </c>
      <c r="J58" s="10"/>
      <c r="K58" s="55">
        <v>1.43E-05</v>
      </c>
      <c r="L58" s="22"/>
      <c r="M58" s="28"/>
    </row>
    <row r="59" spans="2:13" ht="12.75">
      <c r="B59" s="10" t="s">
        <v>185</v>
      </c>
      <c r="C59" s="10"/>
      <c r="D59" s="10" t="s">
        <v>120</v>
      </c>
      <c r="E59" s="10" t="s">
        <v>102</v>
      </c>
      <c r="F59"/>
      <c r="G59" s="55">
        <v>4.4E-06</v>
      </c>
      <c r="H59"/>
      <c r="I59" s="55">
        <v>4.61E-06</v>
      </c>
      <c r="J59"/>
      <c r="K59" s="55">
        <v>5E-06</v>
      </c>
      <c r="L59" s="22"/>
      <c r="M59" s="28"/>
    </row>
    <row r="60" spans="2:13" ht="12.75">
      <c r="B60" s="10" t="s">
        <v>186</v>
      </c>
      <c r="C60" s="10"/>
      <c r="D60" s="10" t="s">
        <v>120</v>
      </c>
      <c r="E60" s="10" t="s">
        <v>102</v>
      </c>
      <c r="F60"/>
      <c r="G60" s="55">
        <v>0.000265</v>
      </c>
      <c r="H60"/>
      <c r="I60" s="55">
        <v>0.000643</v>
      </c>
      <c r="J60"/>
      <c r="K60" s="55">
        <v>0.000259</v>
      </c>
      <c r="L60" s="22"/>
      <c r="M60" s="28"/>
    </row>
    <row r="61" spans="2:13" ht="12.75">
      <c r="B61" s="10" t="s">
        <v>187</v>
      </c>
      <c r="C61" s="10"/>
      <c r="D61" s="10" t="s">
        <v>120</v>
      </c>
      <c r="E61" s="10" t="s">
        <v>102</v>
      </c>
      <c r="F61"/>
      <c r="G61" s="55">
        <v>0.000111</v>
      </c>
      <c r="H61"/>
      <c r="I61" s="55">
        <v>0.000132</v>
      </c>
      <c r="J61"/>
      <c r="K61" s="55">
        <v>0.000109</v>
      </c>
      <c r="L61" s="22"/>
      <c r="M61" s="28"/>
    </row>
    <row r="62" spans="2:13" ht="12.75">
      <c r="B62" s="10" t="s">
        <v>188</v>
      </c>
      <c r="C62" s="10"/>
      <c r="D62" s="10" t="s">
        <v>120</v>
      </c>
      <c r="E62" s="10" t="s">
        <v>102</v>
      </c>
      <c r="F62" s="10" t="s">
        <v>124</v>
      </c>
      <c r="G62" s="55">
        <v>1.51E-06</v>
      </c>
      <c r="H62" s="10" t="s">
        <v>124</v>
      </c>
      <c r="I62" s="55">
        <v>1.46E-06</v>
      </c>
      <c r="J62" s="10" t="s">
        <v>124</v>
      </c>
      <c r="K62" s="55">
        <v>1.43E-06</v>
      </c>
      <c r="L62" s="22"/>
      <c r="M62" s="28"/>
    </row>
    <row r="63" spans="2:13" ht="12.75">
      <c r="B63" s="10" t="s">
        <v>189</v>
      </c>
      <c r="C63" s="10"/>
      <c r="D63" s="10" t="s">
        <v>120</v>
      </c>
      <c r="E63" s="10" t="s">
        <v>102</v>
      </c>
      <c r="F63" s="10" t="s">
        <v>124</v>
      </c>
      <c r="G63" s="55">
        <v>6.03E-05</v>
      </c>
      <c r="H63" s="10" t="s">
        <v>124</v>
      </c>
      <c r="I63" s="55">
        <v>5.84E-05</v>
      </c>
      <c r="J63" s="10" t="s">
        <v>124</v>
      </c>
      <c r="K63" s="55">
        <v>5.7E-05</v>
      </c>
      <c r="L63" s="22"/>
      <c r="M63" s="28"/>
    </row>
    <row r="64" spans="2:13" ht="12.75">
      <c r="B64" s="10" t="s">
        <v>240</v>
      </c>
      <c r="C64" s="10"/>
      <c r="D64" s="10" t="s">
        <v>120</v>
      </c>
      <c r="E64" s="10" t="s">
        <v>102</v>
      </c>
      <c r="F64"/>
      <c r="G64" s="55">
        <v>6.32E-07</v>
      </c>
      <c r="H64"/>
      <c r="I64" s="55">
        <v>1.04E-07</v>
      </c>
      <c r="J64"/>
      <c r="K64" s="55">
        <v>6.44E-07</v>
      </c>
      <c r="L64" s="22"/>
      <c r="M64" s="28"/>
    </row>
    <row r="65" spans="2:13" ht="12.75">
      <c r="B65" s="10"/>
      <c r="C65" s="10"/>
      <c r="G65"/>
      <c r="H65"/>
      <c r="I65"/>
      <c r="J65"/>
      <c r="K65"/>
      <c r="L65" s="22"/>
      <c r="M65" s="28"/>
    </row>
    <row r="66" spans="2:13" ht="12.75">
      <c r="B66" s="10" t="s">
        <v>87</v>
      </c>
      <c r="C66" s="10" t="s">
        <v>243</v>
      </c>
      <c r="D66" s="10" t="s">
        <v>241</v>
      </c>
      <c r="G66"/>
      <c r="H66"/>
      <c r="I66"/>
      <c r="J66"/>
      <c r="K66"/>
      <c r="L66" s="22"/>
      <c r="M66" s="29"/>
    </row>
    <row r="67" spans="2:13" ht="12.75">
      <c r="B67" s="10" t="s">
        <v>82</v>
      </c>
      <c r="C67" s="10"/>
      <c r="D67" s="10" t="s">
        <v>17</v>
      </c>
      <c r="G67">
        <v>4607</v>
      </c>
      <c r="H67"/>
      <c r="I67">
        <v>4721</v>
      </c>
      <c r="J67"/>
      <c r="K67">
        <v>4838</v>
      </c>
      <c r="L67" s="22"/>
      <c r="M67" s="27">
        <f>AVERAGE(K67,G67,I67)</f>
        <v>4722</v>
      </c>
    </row>
    <row r="68" spans="2:13" ht="12.75">
      <c r="B68" s="10" t="s">
        <v>84</v>
      </c>
      <c r="C68" s="10"/>
      <c r="D68" s="10" t="s">
        <v>18</v>
      </c>
      <c r="G68">
        <v>14.17</v>
      </c>
      <c r="H68"/>
      <c r="I68">
        <v>13.86</v>
      </c>
      <c r="J68"/>
      <c r="K68">
        <v>14.14</v>
      </c>
      <c r="M68" s="27">
        <f>AVERAGE(K68,G68,I68)</f>
        <v>14.056666666666667</v>
      </c>
    </row>
    <row r="69" spans="2:13" ht="12.75">
      <c r="B69" s="10" t="s">
        <v>85</v>
      </c>
      <c r="C69" s="10"/>
      <c r="D69" s="10" t="s">
        <v>18</v>
      </c>
      <c r="G69">
        <v>7.1</v>
      </c>
      <c r="H69"/>
      <c r="I69">
        <v>6.7</v>
      </c>
      <c r="J69"/>
      <c r="K69">
        <v>7.2</v>
      </c>
      <c r="M69" s="27">
        <f>AVERAGE(K69,G69,I69)</f>
        <v>7</v>
      </c>
    </row>
    <row r="70" spans="2:13" ht="12.75">
      <c r="B70" s="10" t="s">
        <v>81</v>
      </c>
      <c r="C70" s="10"/>
      <c r="D70" s="10" t="s">
        <v>19</v>
      </c>
      <c r="G70">
        <v>233</v>
      </c>
      <c r="H70"/>
      <c r="I70">
        <v>235</v>
      </c>
      <c r="J70"/>
      <c r="K70">
        <v>234</v>
      </c>
      <c r="M70" s="27">
        <f>AVERAGE(K70,G70,I70)</f>
        <v>234</v>
      </c>
    </row>
    <row r="71" spans="2:13" ht="12.75">
      <c r="B71" s="10"/>
      <c r="C71" s="10"/>
      <c r="G71"/>
      <c r="H71"/>
      <c r="I71"/>
      <c r="J71"/>
      <c r="K71"/>
      <c r="M71" s="29"/>
    </row>
    <row r="72" spans="2:13" ht="12.75">
      <c r="B72" s="10" t="s">
        <v>87</v>
      </c>
      <c r="C72" s="10" t="s">
        <v>103</v>
      </c>
      <c r="D72" s="10" t="s">
        <v>242</v>
      </c>
      <c r="G72"/>
      <c r="H72"/>
      <c r="I72"/>
      <c r="J72"/>
      <c r="K72"/>
      <c r="M72" s="29"/>
    </row>
    <row r="73" spans="2:13" ht="12.75">
      <c r="B73" s="10" t="s">
        <v>82</v>
      </c>
      <c r="C73" s="10"/>
      <c r="D73" s="10" t="s">
        <v>17</v>
      </c>
      <c r="G73">
        <v>4907</v>
      </c>
      <c r="H73"/>
      <c r="I73">
        <v>5033</v>
      </c>
      <c r="J73"/>
      <c r="K73">
        <v>5175</v>
      </c>
      <c r="M73" s="28">
        <f>AVERAGE(K73,G73,I73)</f>
        <v>5038.333333333333</v>
      </c>
    </row>
    <row r="74" spans="2:13" ht="12.75">
      <c r="B74" s="10" t="s">
        <v>84</v>
      </c>
      <c r="C74" s="10"/>
      <c r="D74" s="10" t="s">
        <v>18</v>
      </c>
      <c r="G74"/>
      <c r="H74"/>
      <c r="I74"/>
      <c r="J74"/>
      <c r="K74"/>
      <c r="M74" s="28"/>
    </row>
    <row r="75" spans="2:13" ht="12.75">
      <c r="B75" s="10" t="s">
        <v>85</v>
      </c>
      <c r="C75" s="10"/>
      <c r="D75" s="10" t="s">
        <v>18</v>
      </c>
      <c r="G75">
        <v>8.6</v>
      </c>
      <c r="H75"/>
      <c r="I75">
        <v>8.1</v>
      </c>
      <c r="J75"/>
      <c r="K75">
        <v>8.1</v>
      </c>
      <c r="M75" s="28">
        <f>AVERAGE(K75,G75,I75)</f>
        <v>8.266666666666666</v>
      </c>
    </row>
    <row r="76" spans="2:13" ht="12.75">
      <c r="B76" s="10" t="s">
        <v>81</v>
      </c>
      <c r="C76" s="10"/>
      <c r="D76" s="10" t="s">
        <v>19</v>
      </c>
      <c r="G76">
        <v>230</v>
      </c>
      <c r="H76"/>
      <c r="I76">
        <v>219</v>
      </c>
      <c r="J76"/>
      <c r="K76">
        <v>229</v>
      </c>
      <c r="M76" s="28">
        <f>AVERAGE(K76,G76,I76)</f>
        <v>226</v>
      </c>
    </row>
    <row r="77" spans="2:13" ht="12.75">
      <c r="B77" s="10"/>
      <c r="C77" s="10"/>
      <c r="G77"/>
      <c r="H77"/>
      <c r="I77"/>
      <c r="J77"/>
      <c r="K77"/>
      <c r="L77" s="11"/>
      <c r="M77" s="27"/>
    </row>
    <row r="78" spans="2:13" ht="12.75">
      <c r="B78" s="10" t="s">
        <v>180</v>
      </c>
      <c r="C78" s="10" t="s">
        <v>241</v>
      </c>
      <c r="D78" s="10" t="s">
        <v>60</v>
      </c>
      <c r="E78" s="10" t="s">
        <v>15</v>
      </c>
      <c r="F78"/>
      <c r="G78" s="6">
        <f>G54*1000000*14/(21-G$68)</f>
        <v>49.39970717423134</v>
      </c>
      <c r="H78"/>
      <c r="I78" s="6">
        <f>I54*1000000*14/(21-I$68)</f>
        <v>99.80392156862744</v>
      </c>
      <c r="J78"/>
      <c r="K78" s="6">
        <f aca="true" t="shared" si="3" ref="K78:K88">K54*1000000*14/(21-K$68)</f>
        <v>49.795918367346935</v>
      </c>
      <c r="L78" s="22"/>
      <c r="M78" s="27">
        <f aca="true" t="shared" si="4" ref="M78:M84">AVERAGE(K78,G78,I78)</f>
        <v>66.33318237006857</v>
      </c>
    </row>
    <row r="79" spans="2:13" ht="12.75">
      <c r="B79" s="10" t="s">
        <v>181</v>
      </c>
      <c r="C79" s="10" t="s">
        <v>241</v>
      </c>
      <c r="D79" s="10" t="s">
        <v>60</v>
      </c>
      <c r="E79" s="10" t="s">
        <v>15</v>
      </c>
      <c r="F79" s="10" t="s">
        <v>124</v>
      </c>
      <c r="G79" s="6">
        <f aca="true" t="shared" si="5" ref="G79:I88">G55*1000000*14/(21-G$68)</f>
        <v>61.903367496339676</v>
      </c>
      <c r="H79" s="10" t="s">
        <v>124</v>
      </c>
      <c r="I79" s="6">
        <f t="shared" si="5"/>
        <v>57.254901960784316</v>
      </c>
      <c r="J79" s="10" t="s">
        <v>124</v>
      </c>
      <c r="K79" s="6">
        <f t="shared" si="3"/>
        <v>58.163265306122454</v>
      </c>
      <c r="L79" s="22"/>
      <c r="M79" s="27">
        <f t="shared" si="4"/>
        <v>59.10717825441548</v>
      </c>
    </row>
    <row r="80" spans="2:13" ht="12.75">
      <c r="B80" s="10" t="s">
        <v>182</v>
      </c>
      <c r="C80" s="10" t="s">
        <v>241</v>
      </c>
      <c r="D80" s="10" t="s">
        <v>60</v>
      </c>
      <c r="E80" s="10" t="s">
        <v>15</v>
      </c>
      <c r="F80"/>
      <c r="G80" s="6">
        <f t="shared" si="5"/>
        <v>73.58711566617862</v>
      </c>
      <c r="H80"/>
      <c r="I80" s="6">
        <f t="shared" si="5"/>
        <v>176.47058823529412</v>
      </c>
      <c r="J80"/>
      <c r="K80" s="6">
        <f t="shared" si="3"/>
        <v>82.44897959183675</v>
      </c>
      <c r="L80" s="22"/>
      <c r="M80" s="27">
        <f t="shared" si="4"/>
        <v>110.8355611644365</v>
      </c>
    </row>
    <row r="81" spans="2:13" ht="12.75">
      <c r="B81" s="10" t="s">
        <v>183</v>
      </c>
      <c r="C81" s="10" t="s">
        <v>241</v>
      </c>
      <c r="D81" s="10" t="s">
        <v>60</v>
      </c>
      <c r="E81" s="10" t="s">
        <v>15</v>
      </c>
      <c r="F81" s="10" t="s">
        <v>124</v>
      </c>
      <c r="G81" s="6">
        <f t="shared" si="5"/>
        <v>0.6190336749633968</v>
      </c>
      <c r="H81" s="10" t="s">
        <v>124</v>
      </c>
      <c r="I81" s="6">
        <f t="shared" si="5"/>
        <v>0.5725490196078432</v>
      </c>
      <c r="J81" s="10" t="s">
        <v>124</v>
      </c>
      <c r="K81" s="6">
        <f t="shared" si="3"/>
        <v>0.5816326530612246</v>
      </c>
      <c r="L81" s="22"/>
      <c r="M81" s="27">
        <f t="shared" si="4"/>
        <v>0.5910717825441548</v>
      </c>
    </row>
    <row r="82" spans="2:13" ht="12.75">
      <c r="B82" s="10" t="s">
        <v>184</v>
      </c>
      <c r="C82" s="10" t="s">
        <v>241</v>
      </c>
      <c r="D82" s="10" t="s">
        <v>60</v>
      </c>
      <c r="E82" s="10" t="s">
        <v>15</v>
      </c>
      <c r="G82" s="6">
        <f t="shared" si="5"/>
        <v>5.206442166910689</v>
      </c>
      <c r="H82" s="10"/>
      <c r="I82" s="6">
        <f t="shared" si="5"/>
        <v>42.549019607843135</v>
      </c>
      <c r="J82" s="10"/>
      <c r="K82" s="6">
        <f t="shared" si="3"/>
        <v>29.18367346938776</v>
      </c>
      <c r="L82" s="22"/>
      <c r="M82" s="27">
        <f t="shared" si="4"/>
        <v>25.646378414713862</v>
      </c>
    </row>
    <row r="83" spans="2:13" ht="12.75">
      <c r="B83" s="10" t="s">
        <v>185</v>
      </c>
      <c r="C83" s="10" t="s">
        <v>241</v>
      </c>
      <c r="D83" s="10" t="s">
        <v>60</v>
      </c>
      <c r="E83" s="10" t="s">
        <v>15</v>
      </c>
      <c r="F83"/>
      <c r="G83" s="6">
        <f t="shared" si="5"/>
        <v>9.019033674963397</v>
      </c>
      <c r="H83"/>
      <c r="I83" s="6">
        <f t="shared" si="5"/>
        <v>9.03921568627451</v>
      </c>
      <c r="J83"/>
      <c r="K83" s="6">
        <f t="shared" si="3"/>
        <v>10.204081632653063</v>
      </c>
      <c r="L83" s="22"/>
      <c r="M83" s="27">
        <f t="shared" si="4"/>
        <v>9.420776997963657</v>
      </c>
    </row>
    <row r="84" spans="2:13" ht="12.75">
      <c r="B84" s="10" t="s">
        <v>186</v>
      </c>
      <c r="C84" s="10" t="s">
        <v>241</v>
      </c>
      <c r="D84" s="10" t="s">
        <v>60</v>
      </c>
      <c r="E84" s="10" t="s">
        <v>15</v>
      </c>
      <c r="F84"/>
      <c r="G84" s="6">
        <f t="shared" si="5"/>
        <v>543.1918008784774</v>
      </c>
      <c r="H84"/>
      <c r="I84" s="6">
        <f t="shared" si="5"/>
        <v>1260.7843137254902</v>
      </c>
      <c r="J84"/>
      <c r="K84" s="6">
        <f t="shared" si="3"/>
        <v>528.5714285714287</v>
      </c>
      <c r="L84" s="22"/>
      <c r="M84" s="27">
        <f t="shared" si="4"/>
        <v>777.5158477251321</v>
      </c>
    </row>
    <row r="85" spans="2:13" ht="12.75">
      <c r="B85" s="10" t="s">
        <v>187</v>
      </c>
      <c r="C85" s="10" t="s">
        <v>241</v>
      </c>
      <c r="D85" s="10" t="s">
        <v>60</v>
      </c>
      <c r="E85" s="10" t="s">
        <v>15</v>
      </c>
      <c r="F85"/>
      <c r="G85" s="6">
        <f t="shared" si="5"/>
        <v>227.52562225475842</v>
      </c>
      <c r="H85"/>
      <c r="I85" s="6">
        <f t="shared" si="5"/>
        <v>258.8235294117647</v>
      </c>
      <c r="J85"/>
      <c r="K85" s="6">
        <f t="shared" si="3"/>
        <v>222.44897959183675</v>
      </c>
      <c r="L85" s="22"/>
      <c r="M85" s="27">
        <f>AVERAGE(K85,G85,I85)</f>
        <v>236.26604375278666</v>
      </c>
    </row>
    <row r="86" spans="2:13" ht="12.75">
      <c r="B86" s="10" t="s">
        <v>188</v>
      </c>
      <c r="C86" s="10" t="s">
        <v>241</v>
      </c>
      <c r="D86" s="10" t="s">
        <v>60</v>
      </c>
      <c r="E86" s="10" t="s">
        <v>15</v>
      </c>
      <c r="F86" s="10" t="s">
        <v>124</v>
      </c>
      <c r="G86" s="6">
        <f t="shared" si="5"/>
        <v>3.095168374816984</v>
      </c>
      <c r="H86" s="10" t="s">
        <v>124</v>
      </c>
      <c r="I86" s="6">
        <f t="shared" si="5"/>
        <v>2.8627450980392153</v>
      </c>
      <c r="J86" s="10" t="s">
        <v>124</v>
      </c>
      <c r="K86" s="6">
        <f t="shared" si="3"/>
        <v>2.9183673469387763</v>
      </c>
      <c r="L86" s="22"/>
      <c r="M86" s="27">
        <f>AVERAGE(K86,G86,I86)</f>
        <v>2.9587602732649914</v>
      </c>
    </row>
    <row r="87" spans="2:13" ht="12.75">
      <c r="B87" s="10" t="s">
        <v>189</v>
      </c>
      <c r="C87" s="10" t="s">
        <v>241</v>
      </c>
      <c r="D87" s="10" t="s">
        <v>60</v>
      </c>
      <c r="E87" s="10" t="s">
        <v>15</v>
      </c>
      <c r="F87" s="10" t="s">
        <v>124</v>
      </c>
      <c r="G87" s="6">
        <f t="shared" si="5"/>
        <v>123.60175695461201</v>
      </c>
      <c r="H87" s="10" t="s">
        <v>124</v>
      </c>
      <c r="I87" s="6">
        <f t="shared" si="5"/>
        <v>114.50980392156863</v>
      </c>
      <c r="J87" s="10" t="s">
        <v>124</v>
      </c>
      <c r="K87" s="6">
        <f t="shared" si="3"/>
        <v>116.32653061224491</v>
      </c>
      <c r="L87" s="22"/>
      <c r="M87" s="27">
        <f>AVERAGE(K87,G87,I87)</f>
        <v>118.14603049614185</v>
      </c>
    </row>
    <row r="88" spans="2:13" ht="12.75">
      <c r="B88" s="10" t="s">
        <v>273</v>
      </c>
      <c r="C88" s="10" t="s">
        <v>242</v>
      </c>
      <c r="D88" s="10" t="s">
        <v>60</v>
      </c>
      <c r="E88" s="10" t="s">
        <v>15</v>
      </c>
      <c r="F88"/>
      <c r="G88" s="6">
        <f t="shared" si="5"/>
        <v>1.2954612005856516</v>
      </c>
      <c r="H88"/>
      <c r="I88" s="6">
        <f t="shared" si="5"/>
        <v>0.20392156862745098</v>
      </c>
      <c r="J88"/>
      <c r="K88" s="6">
        <f t="shared" si="3"/>
        <v>1.3142857142857145</v>
      </c>
      <c r="L88" s="22"/>
      <c r="M88" s="27">
        <f>AVERAGE(K88,G88,I88)</f>
        <v>0.9378894944996058</v>
      </c>
    </row>
    <row r="89" spans="2:13" ht="12.75">
      <c r="B89" s="10"/>
      <c r="C89" s="10"/>
      <c r="F89"/>
      <c r="G89"/>
      <c r="H89"/>
      <c r="I89"/>
      <c r="J89"/>
      <c r="K89"/>
      <c r="L89" s="22"/>
      <c r="M89" s="28"/>
    </row>
    <row r="90" spans="2:13" ht="12.75">
      <c r="B90" s="10" t="s">
        <v>61</v>
      </c>
      <c r="C90" s="10" t="s">
        <v>241</v>
      </c>
      <c r="D90" s="10" t="s">
        <v>60</v>
      </c>
      <c r="E90" s="10" t="s">
        <v>15</v>
      </c>
      <c r="F90"/>
      <c r="G90" s="6">
        <f>G84+G82</f>
        <v>548.3982430453881</v>
      </c>
      <c r="H90"/>
      <c r="I90" s="6">
        <f>I84+I82</f>
        <v>1303.3333333333333</v>
      </c>
      <c r="J90"/>
      <c r="K90" s="6">
        <f>K84+K82</f>
        <v>557.7551020408164</v>
      </c>
      <c r="L90" s="22"/>
      <c r="M90" s="6">
        <f>AVERAGE(K90,I90,G90)</f>
        <v>803.162226139846</v>
      </c>
    </row>
    <row r="91" spans="2:13" ht="12.75">
      <c r="B91" s="10" t="s">
        <v>62</v>
      </c>
      <c r="C91" s="10" t="s">
        <v>241</v>
      </c>
      <c r="D91" s="10" t="s">
        <v>60</v>
      </c>
      <c r="E91" s="10" t="s">
        <v>15</v>
      </c>
      <c r="F91"/>
      <c r="G91" s="6">
        <f>G83+G81+G79</f>
        <v>71.54143484626647</v>
      </c>
      <c r="H91"/>
      <c r="I91" s="6">
        <f>I83+I81+I79</f>
        <v>66.86666666666667</v>
      </c>
      <c r="J91"/>
      <c r="K91" s="6">
        <f>K83+K81+K79</f>
        <v>68.94897959183675</v>
      </c>
      <c r="L91" s="22"/>
      <c r="M91" s="6">
        <f>AVERAGE(K91,I91,G91)</f>
        <v>69.11902703492329</v>
      </c>
    </row>
    <row r="92" spans="2:3" ht="12.75">
      <c r="B92" s="24"/>
      <c r="C92" s="24"/>
    </row>
    <row r="93" spans="1:13" ht="12.75">
      <c r="A93" s="20">
        <v>1</v>
      </c>
      <c r="B93" s="24" t="s">
        <v>166</v>
      </c>
      <c r="C93" s="24" t="s">
        <v>137</v>
      </c>
      <c r="G93" s="22" t="s">
        <v>104</v>
      </c>
      <c r="H93" s="22"/>
      <c r="I93" s="23" t="s">
        <v>105</v>
      </c>
      <c r="J93" s="22"/>
      <c r="K93" s="22" t="s">
        <v>106</v>
      </c>
      <c r="L93" s="22"/>
      <c r="M93" s="20" t="s">
        <v>47</v>
      </c>
    </row>
    <row r="94" spans="2:12" ht="12.75">
      <c r="B94" s="24"/>
      <c r="C94" s="24"/>
      <c r="G94" s="22"/>
      <c r="H94" s="22"/>
      <c r="I94" s="23"/>
      <c r="J94" s="22"/>
      <c r="K94" s="22"/>
      <c r="L94" s="22"/>
    </row>
    <row r="95" spans="2:13" ht="12.75">
      <c r="B95" s="10" t="s">
        <v>13</v>
      </c>
      <c r="C95" s="10" t="s">
        <v>241</v>
      </c>
      <c r="D95" s="10" t="s">
        <v>14</v>
      </c>
      <c r="E95" s="10" t="s">
        <v>15</v>
      </c>
      <c r="F95"/>
      <c r="G95" s="56">
        <v>0.0032</v>
      </c>
      <c r="H95"/>
      <c r="I95" s="56">
        <v>0.0044</v>
      </c>
      <c r="J95"/>
      <c r="K95" s="56">
        <v>0.0021</v>
      </c>
      <c r="L95"/>
      <c r="M95" s="56">
        <f>AVERAGE(K95,I95,G95)</f>
        <v>0.0032333333333333333</v>
      </c>
    </row>
    <row r="96" spans="2:13" ht="12.75">
      <c r="B96" s="10" t="s">
        <v>86</v>
      </c>
      <c r="C96" s="10" t="s">
        <v>241</v>
      </c>
      <c r="D96" s="16" t="s">
        <v>16</v>
      </c>
      <c r="E96" s="10" t="s">
        <v>15</v>
      </c>
      <c r="F96" s="16"/>
      <c r="G96" s="16">
        <v>16</v>
      </c>
      <c r="H96" s="16"/>
      <c r="I96" s="25">
        <v>38</v>
      </c>
      <c r="J96" s="16"/>
      <c r="K96" s="16">
        <v>14</v>
      </c>
      <c r="L96" s="16"/>
      <c r="M96" s="6">
        <f>AVERAGE(K96,I96,G96)</f>
        <v>22.666666666666668</v>
      </c>
    </row>
    <row r="97" spans="2:13" ht="12.75">
      <c r="B97" s="10" t="s">
        <v>138</v>
      </c>
      <c r="C97" s="10" t="s">
        <v>241</v>
      </c>
      <c r="D97" s="16" t="s">
        <v>16</v>
      </c>
      <c r="E97" s="10" t="s">
        <v>15</v>
      </c>
      <c r="F97" s="16"/>
      <c r="G97" s="16">
        <v>19.3</v>
      </c>
      <c r="H97" s="16"/>
      <c r="I97" s="25">
        <v>54.4</v>
      </c>
      <c r="J97" s="16"/>
      <c r="K97" s="16">
        <v>19.3</v>
      </c>
      <c r="L97" s="16"/>
      <c r="M97" s="6">
        <f>AVERAGE(K97,I97,G97)</f>
        <v>31</v>
      </c>
    </row>
    <row r="98" spans="2:13" ht="12.75">
      <c r="B98" s="10"/>
      <c r="C98" s="10"/>
      <c r="F98"/>
      <c r="G98"/>
      <c r="H98"/>
      <c r="I98"/>
      <c r="J98"/>
      <c r="K98"/>
      <c r="L98"/>
      <c r="M98" s="6"/>
    </row>
    <row r="99" spans="2:13" ht="12.75">
      <c r="B99" s="10" t="s">
        <v>52</v>
      </c>
      <c r="C99" s="10"/>
      <c r="D99" s="10" t="s">
        <v>142</v>
      </c>
      <c r="E99" s="10" t="s">
        <v>102</v>
      </c>
      <c r="F99"/>
      <c r="G99" s="57">
        <f>0.001006*60*60</f>
        <v>3.6216</v>
      </c>
      <c r="H99" s="57"/>
      <c r="I99" s="57">
        <f>0.001107*3600</f>
        <v>3.9852</v>
      </c>
      <c r="J99" s="57"/>
      <c r="K99" s="57">
        <f>0.001076*3600</f>
        <v>3.8735999999999997</v>
      </c>
      <c r="L99"/>
      <c r="M99" s="6"/>
    </row>
    <row r="100" spans="2:13" ht="12.75">
      <c r="B100" s="10" t="s">
        <v>53</v>
      </c>
      <c r="C100" s="10"/>
      <c r="D100" s="10" t="s">
        <v>142</v>
      </c>
      <c r="E100" s="10" t="s">
        <v>102</v>
      </c>
      <c r="F100"/>
      <c r="G100" s="57">
        <f>0.003586*3600</f>
        <v>12.909600000000001</v>
      </c>
      <c r="H100" s="57"/>
      <c r="I100" s="57">
        <f>0.003851*3600</f>
        <v>13.8636</v>
      </c>
      <c r="J100" s="57"/>
      <c r="K100" s="57">
        <f>0.003911*3600</f>
        <v>14.079600000000001</v>
      </c>
      <c r="L100"/>
      <c r="M100" s="6"/>
    </row>
    <row r="101" spans="2:12" ht="12.75">
      <c r="B101" s="10"/>
      <c r="C101" s="10"/>
      <c r="F101"/>
      <c r="G101"/>
      <c r="H101"/>
      <c r="I101"/>
      <c r="J101"/>
      <c r="K101"/>
      <c r="L101"/>
    </row>
    <row r="102" spans="2:13" ht="12.75">
      <c r="B102" s="10" t="s">
        <v>87</v>
      </c>
      <c r="C102" s="10" t="s">
        <v>140</v>
      </c>
      <c r="D102" s="10" t="s">
        <v>241</v>
      </c>
      <c r="F102"/>
      <c r="G102"/>
      <c r="H102"/>
      <c r="I102"/>
      <c r="J102"/>
      <c r="K102"/>
      <c r="L102"/>
      <c r="M102"/>
    </row>
    <row r="103" spans="2:13" ht="12.75">
      <c r="B103" s="10" t="s">
        <v>82</v>
      </c>
      <c r="C103" s="10"/>
      <c r="D103" s="10" t="s">
        <v>17</v>
      </c>
      <c r="F103"/>
      <c r="G103" s="20">
        <f>212700/60</f>
        <v>3545</v>
      </c>
      <c r="I103" s="21">
        <f>209500/60</f>
        <v>3491.6666666666665</v>
      </c>
      <c r="K103" s="20">
        <f>220600/60</f>
        <v>3676.6666666666665</v>
      </c>
      <c r="M103" s="6">
        <f>AVERAGE(K103,I103,G103)</f>
        <v>3571.111111111111</v>
      </c>
    </row>
    <row r="104" spans="2:13" ht="12.75">
      <c r="B104" s="10" t="s">
        <v>84</v>
      </c>
      <c r="C104" s="10"/>
      <c r="D104" s="10" t="s">
        <v>18</v>
      </c>
      <c r="F104"/>
      <c r="G104" s="20">
        <v>15.4</v>
      </c>
      <c r="I104" s="21">
        <v>15.6</v>
      </c>
      <c r="K104" s="20">
        <v>16.3</v>
      </c>
      <c r="M104" s="6">
        <f>AVERAGE(K104,I104,G104)</f>
        <v>15.766666666666666</v>
      </c>
    </row>
    <row r="105" spans="2:13" ht="12.75">
      <c r="B105" s="10" t="s">
        <v>85</v>
      </c>
      <c r="C105" s="10"/>
      <c r="D105" s="10" t="s">
        <v>18</v>
      </c>
      <c r="F105"/>
      <c r="G105" s="20">
        <v>7.3</v>
      </c>
      <c r="I105" s="21">
        <v>7.2</v>
      </c>
      <c r="K105" s="20">
        <v>6.7</v>
      </c>
      <c r="M105" s="6">
        <f>AVERAGE(K105,I105,G105)</f>
        <v>7.066666666666666</v>
      </c>
    </row>
    <row r="106" spans="2:13" ht="12.75">
      <c r="B106" s="10" t="s">
        <v>81</v>
      </c>
      <c r="C106" s="10"/>
      <c r="D106" s="10" t="s">
        <v>19</v>
      </c>
      <c r="F106"/>
      <c r="G106" s="20">
        <v>256</v>
      </c>
      <c r="I106" s="21">
        <v>268</v>
      </c>
      <c r="K106" s="20">
        <v>250</v>
      </c>
      <c r="M106" s="6">
        <f>AVERAGE(K106,I106,G106)</f>
        <v>258</v>
      </c>
    </row>
    <row r="107" spans="2:13" ht="12.75">
      <c r="B107" s="10"/>
      <c r="C107" s="10"/>
      <c r="F107"/>
      <c r="G107"/>
      <c r="H107"/>
      <c r="I107"/>
      <c r="J107"/>
      <c r="K107"/>
      <c r="L107"/>
      <c r="M107"/>
    </row>
    <row r="108" spans="2:13" ht="12.75">
      <c r="B108" s="10" t="s">
        <v>87</v>
      </c>
      <c r="C108" s="10" t="s">
        <v>141</v>
      </c>
      <c r="D108" s="10" t="s">
        <v>242</v>
      </c>
      <c r="F108"/>
      <c r="G108"/>
      <c r="H108"/>
      <c r="I108"/>
      <c r="J108"/>
      <c r="K108"/>
      <c r="L108"/>
      <c r="M108"/>
    </row>
    <row r="109" spans="2:13" ht="12.75">
      <c r="B109" s="10" t="s">
        <v>82</v>
      </c>
      <c r="C109" s="10"/>
      <c r="D109" s="10" t="s">
        <v>17</v>
      </c>
      <c r="F109"/>
      <c r="G109" s="6">
        <f>212200/60</f>
        <v>3536.6666666666665</v>
      </c>
      <c r="H109" s="6"/>
      <c r="I109" s="6">
        <f>209900/60</f>
        <v>3498.3333333333335</v>
      </c>
      <c r="J109" s="6"/>
      <c r="K109" s="6">
        <f>215600/60</f>
        <v>3593.3333333333335</v>
      </c>
      <c r="L109"/>
      <c r="M109" s="6">
        <f>AVERAGE(K109,I109,G109)</f>
        <v>3542.777777777778</v>
      </c>
    </row>
    <row r="110" spans="2:13" ht="12.75">
      <c r="B110" s="10" t="s">
        <v>84</v>
      </c>
      <c r="C110" s="10"/>
      <c r="D110" s="10" t="s">
        <v>18</v>
      </c>
      <c r="F110"/>
      <c r="G110">
        <v>15.4</v>
      </c>
      <c r="H110"/>
      <c r="I110">
        <v>15.6</v>
      </c>
      <c r="J110"/>
      <c r="K110">
        <v>16.3</v>
      </c>
      <c r="L110"/>
      <c r="M110" s="6">
        <f>AVERAGE(K110,I110,G110)</f>
        <v>15.766666666666666</v>
      </c>
    </row>
    <row r="111" spans="2:13" ht="12.75">
      <c r="B111" s="10" t="s">
        <v>85</v>
      </c>
      <c r="C111" s="10"/>
      <c r="D111" s="10" t="s">
        <v>18</v>
      </c>
      <c r="F111"/>
      <c r="G111">
        <v>7.1</v>
      </c>
      <c r="H111"/>
      <c r="I111">
        <v>7</v>
      </c>
      <c r="J111"/>
      <c r="K111">
        <v>6.7</v>
      </c>
      <c r="L111"/>
      <c r="M111" s="6">
        <f>AVERAGE(K111,I111,G111)</f>
        <v>6.933333333333333</v>
      </c>
    </row>
    <row r="112" spans="2:13" ht="12.75">
      <c r="B112" s="10" t="s">
        <v>81</v>
      </c>
      <c r="C112" s="10"/>
      <c r="D112" s="10" t="s">
        <v>19</v>
      </c>
      <c r="F112"/>
      <c r="G112">
        <v>256</v>
      </c>
      <c r="H112"/>
      <c r="I112">
        <v>268</v>
      </c>
      <c r="J112"/>
      <c r="K112">
        <v>249</v>
      </c>
      <c r="L112"/>
      <c r="M112" s="6">
        <f>AVERAGE(K112,I112,G112)</f>
        <v>257.6666666666667</v>
      </c>
    </row>
    <row r="113" spans="2:13" ht="12.75">
      <c r="B113" s="10"/>
      <c r="C113" s="10"/>
      <c r="F113"/>
      <c r="G113"/>
      <c r="H113"/>
      <c r="I113"/>
      <c r="J113"/>
      <c r="K113"/>
      <c r="L113"/>
      <c r="M113" s="6"/>
    </row>
    <row r="114" spans="2:13" ht="12.75">
      <c r="B114" s="10" t="s">
        <v>52</v>
      </c>
      <c r="C114" s="10" t="s">
        <v>241</v>
      </c>
      <c r="D114" s="10" t="s">
        <v>16</v>
      </c>
      <c r="E114" s="10" t="s">
        <v>15</v>
      </c>
      <c r="F114"/>
      <c r="G114" s="57">
        <f>G99/60/0.0283/G$103*(21-7)/(21-G$104)*667.8</f>
        <v>1.0044607694109557</v>
      </c>
      <c r="H114" s="57"/>
      <c r="I114" s="57">
        <f>I99/60/0.0283/I$103*(21-7)/(21-I$104)*667.8</f>
        <v>1.1637517562427788</v>
      </c>
      <c r="J114" s="57"/>
      <c r="K114" s="57">
        <f>K99/60/0.0283/K$103*(21-7)/(21-K$104)*667.8</f>
        <v>1.2342394422521759</v>
      </c>
      <c r="L114" s="57"/>
      <c r="M114" s="57">
        <f>AVERAGE(K114,I114,G114)</f>
        <v>1.134150655968637</v>
      </c>
    </row>
    <row r="115" spans="2:13" ht="12.75">
      <c r="B115" s="10" t="s">
        <v>53</v>
      </c>
      <c r="C115" s="10" t="s">
        <v>241</v>
      </c>
      <c r="D115" s="10" t="s">
        <v>16</v>
      </c>
      <c r="E115" s="10" t="s">
        <v>15</v>
      </c>
      <c r="F115"/>
      <c r="G115" s="57">
        <f>G100/60/0.0283/G$103*(21-7)/(21-G$104)*343.4</f>
        <v>1.8411923427711356</v>
      </c>
      <c r="H115" s="57"/>
      <c r="I115" s="57">
        <f>I100/60/0.0283/I$103*(21-7)/(21-I$104)*343.4</f>
        <v>2.081805364165619</v>
      </c>
      <c r="J115" s="57"/>
      <c r="K115" s="57">
        <f>K100/60/0.0283/K$103*(21-7)/(21-K$104)*343.4</f>
        <v>2.3069003857473143</v>
      </c>
      <c r="L115" s="57"/>
      <c r="M115" s="57">
        <f>AVERAGE(K115,I115,G115)</f>
        <v>2.0766326975613563</v>
      </c>
    </row>
    <row r="116" spans="2:13" ht="12.75">
      <c r="B116" s="10" t="s">
        <v>139</v>
      </c>
      <c r="C116" s="10" t="s">
        <v>241</v>
      </c>
      <c r="D116" s="10" t="s">
        <v>16</v>
      </c>
      <c r="E116" s="10" t="s">
        <v>15</v>
      </c>
      <c r="F116"/>
      <c r="G116" s="57">
        <f>G115*2+G114</f>
        <v>4.686845454953227</v>
      </c>
      <c r="H116" s="57"/>
      <c r="I116" s="57">
        <f>I115*2+I114</f>
        <v>5.327362484574017</v>
      </c>
      <c r="J116" s="57"/>
      <c r="K116" s="57">
        <f>K115*2+K114</f>
        <v>5.848040213746804</v>
      </c>
      <c r="L116" s="57"/>
      <c r="M116" s="57">
        <f>AVERAGE(K116,I116,G116)</f>
        <v>5.287416051091349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181"/>
  <sheetViews>
    <sheetView workbookViewId="0" topLeftCell="B153">
      <selection activeCell="C42" sqref="C42"/>
    </sheetView>
  </sheetViews>
  <sheetFormatPr defaultColWidth="9.140625" defaultRowHeight="12.75"/>
  <cols>
    <col min="1" max="1" width="9.140625" style="0" hidden="1" customWidth="1"/>
    <col min="2" max="2" width="19.28125" style="0" customWidth="1"/>
    <col min="3" max="3" width="9.8515625" style="0" customWidth="1"/>
    <col min="5" max="5" width="4.140625" style="0" customWidth="1"/>
    <col min="6" max="6" width="3.00390625" style="0" customWidth="1"/>
    <col min="7" max="7" width="11.00390625" style="0" customWidth="1"/>
    <col min="8" max="8" width="3.421875" style="0" customWidth="1"/>
    <col min="9" max="9" width="10.57421875" style="0" customWidth="1"/>
    <col min="10" max="10" width="3.57421875" style="0" customWidth="1"/>
    <col min="11" max="11" width="10.57421875" style="0" customWidth="1"/>
    <col min="12" max="12" width="5.28125" style="0" customWidth="1"/>
    <col min="13" max="13" width="11.140625" style="0" customWidth="1"/>
    <col min="14" max="14" width="2.57421875" style="0" hidden="1" customWidth="1"/>
    <col min="15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8" t="s">
        <v>214</v>
      </c>
    </row>
    <row r="2" ht="12.75">
      <c r="B2" s="8"/>
    </row>
    <row r="4" spans="2:13" ht="12.75">
      <c r="B4" s="8" t="s">
        <v>117</v>
      </c>
      <c r="G4" s="71" t="s">
        <v>104</v>
      </c>
      <c r="H4" s="71"/>
      <c r="I4" s="71" t="s">
        <v>105</v>
      </c>
      <c r="J4" s="71"/>
      <c r="K4" s="71" t="s">
        <v>106</v>
      </c>
      <c r="L4" s="71"/>
      <c r="M4" s="71" t="s">
        <v>47</v>
      </c>
    </row>
    <row r="6" spans="1:24" s="62" customFormat="1" ht="12.75">
      <c r="A6" s="62" t="s">
        <v>117</v>
      </c>
      <c r="B6" s="62" t="s">
        <v>13</v>
      </c>
      <c r="C6" s="62" t="s">
        <v>242</v>
      </c>
      <c r="D6" s="62" t="s">
        <v>14</v>
      </c>
      <c r="E6" s="62" t="s">
        <v>15</v>
      </c>
      <c r="F6" s="63" t="s">
        <v>179</v>
      </c>
      <c r="G6" s="64">
        <v>0.03200031744</v>
      </c>
      <c r="H6" s="64" t="s">
        <v>179</v>
      </c>
      <c r="I6" s="64">
        <v>0.025000248</v>
      </c>
      <c r="J6" s="64" t="s">
        <v>179</v>
      </c>
      <c r="K6" s="64">
        <v>0.02600025792</v>
      </c>
      <c r="L6" s="64" t="s">
        <v>179</v>
      </c>
      <c r="M6" s="64">
        <f>AVERAGE(G6,I6,K6)</f>
        <v>0.02766694112</v>
      </c>
      <c r="N6" s="64" t="s">
        <v>179</v>
      </c>
      <c r="O6" s="64"/>
      <c r="P6" s="64" t="s">
        <v>179</v>
      </c>
      <c r="Q6" s="64"/>
      <c r="R6" s="64" t="s">
        <v>179</v>
      </c>
      <c r="S6" s="64"/>
      <c r="T6" s="64" t="s">
        <v>179</v>
      </c>
      <c r="U6" s="64"/>
      <c r="V6" s="63" t="s">
        <v>179</v>
      </c>
      <c r="W6" s="63"/>
      <c r="X6" s="62">
        <v>0.02766694112</v>
      </c>
    </row>
    <row r="7" spans="1:24" s="62" customFormat="1" ht="12.75">
      <c r="A7" s="62" t="s">
        <v>117</v>
      </c>
      <c r="B7" s="62" t="s">
        <v>180</v>
      </c>
      <c r="C7" s="62" t="s">
        <v>241</v>
      </c>
      <c r="D7" s="62" t="s">
        <v>60</v>
      </c>
      <c r="E7" s="62" t="s">
        <v>15</v>
      </c>
      <c r="F7" s="63" t="s">
        <v>179</v>
      </c>
      <c r="G7" s="65">
        <v>773.7286162671483</v>
      </c>
      <c r="H7" s="65" t="s">
        <v>179</v>
      </c>
      <c r="I7" s="65">
        <v>491.3444964589383</v>
      </c>
      <c r="J7" s="65" t="s">
        <v>179</v>
      </c>
      <c r="K7" s="65">
        <v>491.38534940678784</v>
      </c>
      <c r="L7" s="63" t="s">
        <v>179</v>
      </c>
      <c r="M7" s="65">
        <f aca="true" t="shared" si="0" ref="M7:M13">AVERAGE(G7,I7,K7)</f>
        <v>585.4861540442914</v>
      </c>
      <c r="N7" s="63" t="s">
        <v>179</v>
      </c>
      <c r="O7" s="63"/>
      <c r="P7" s="63" t="s">
        <v>179</v>
      </c>
      <c r="Q7" s="63"/>
      <c r="R7" s="63" t="s">
        <v>179</v>
      </c>
      <c r="S7" s="63"/>
      <c r="T7" s="63" t="s">
        <v>179</v>
      </c>
      <c r="U7" s="63"/>
      <c r="V7" s="63" t="s">
        <v>179</v>
      </c>
      <c r="W7" s="63"/>
      <c r="X7" s="62">
        <v>585.4861540442915</v>
      </c>
    </row>
    <row r="8" spans="1:24" s="62" customFormat="1" ht="12.75">
      <c r="A8" s="62" t="s">
        <v>117</v>
      </c>
      <c r="B8" s="62" t="s">
        <v>181</v>
      </c>
      <c r="C8" s="62" t="s">
        <v>241</v>
      </c>
      <c r="D8" s="62" t="s">
        <v>60</v>
      </c>
      <c r="E8" s="62" t="s">
        <v>15</v>
      </c>
      <c r="F8" s="63" t="s">
        <v>124</v>
      </c>
      <c r="G8" s="65">
        <v>0.53055676544033</v>
      </c>
      <c r="H8" s="65" t="s">
        <v>124</v>
      </c>
      <c r="I8" s="65">
        <v>0.5378929224392587</v>
      </c>
      <c r="J8" s="65" t="s">
        <v>124</v>
      </c>
      <c r="K8" s="65">
        <v>0.5415806270343629</v>
      </c>
      <c r="L8" s="63">
        <v>100</v>
      </c>
      <c r="M8" s="65">
        <f t="shared" si="0"/>
        <v>0.5366767716379838</v>
      </c>
      <c r="N8" s="63" t="s">
        <v>179</v>
      </c>
      <c r="O8" s="63"/>
      <c r="P8" s="63" t="s">
        <v>179</v>
      </c>
      <c r="Q8" s="63"/>
      <c r="R8" s="63" t="s">
        <v>179</v>
      </c>
      <c r="S8" s="63"/>
      <c r="T8" s="63" t="s">
        <v>179</v>
      </c>
      <c r="U8" s="63"/>
      <c r="V8" s="63" t="s">
        <v>179</v>
      </c>
      <c r="W8" s="63"/>
      <c r="X8" s="62">
        <v>0.5366767716379839</v>
      </c>
    </row>
    <row r="9" spans="1:24" s="62" customFormat="1" ht="12.75">
      <c r="A9" s="62" t="s">
        <v>117</v>
      </c>
      <c r="B9" s="62" t="s">
        <v>182</v>
      </c>
      <c r="C9" s="66" t="s">
        <v>241</v>
      </c>
      <c r="D9" s="62" t="s">
        <v>60</v>
      </c>
      <c r="E9" s="62" t="s">
        <v>15</v>
      </c>
      <c r="F9" s="63" t="s">
        <v>179</v>
      </c>
      <c r="G9" s="65">
        <v>390.5487301157986</v>
      </c>
      <c r="H9" s="65" t="s">
        <v>179</v>
      </c>
      <c r="I9" s="65">
        <v>385.31752617043</v>
      </c>
      <c r="J9" s="65" t="s">
        <v>179</v>
      </c>
      <c r="K9" s="65">
        <v>388.35293743439684</v>
      </c>
      <c r="L9" s="63" t="s">
        <v>179</v>
      </c>
      <c r="M9" s="65">
        <f t="shared" si="0"/>
        <v>388.07306457354184</v>
      </c>
      <c r="N9" s="63" t="s">
        <v>179</v>
      </c>
      <c r="O9" s="63"/>
      <c r="P9" s="63" t="s">
        <v>179</v>
      </c>
      <c r="Q9" s="63"/>
      <c r="R9" s="63" t="s">
        <v>179</v>
      </c>
      <c r="S9" s="63"/>
      <c r="T9" s="63" t="s">
        <v>179</v>
      </c>
      <c r="U9" s="63"/>
      <c r="V9" s="63" t="s">
        <v>179</v>
      </c>
      <c r="W9" s="63"/>
      <c r="X9" s="62">
        <v>388.07306457354184</v>
      </c>
    </row>
    <row r="10" spans="1:24" s="62" customFormat="1" ht="12.75">
      <c r="A10" s="62" t="s">
        <v>117</v>
      </c>
      <c r="B10" s="62" t="s">
        <v>183</v>
      </c>
      <c r="C10" s="66" t="s">
        <v>241</v>
      </c>
      <c r="D10" s="62" t="s">
        <v>60</v>
      </c>
      <c r="E10" s="62" t="s">
        <v>15</v>
      </c>
      <c r="F10" s="63" t="s">
        <v>124</v>
      </c>
      <c r="G10" s="65">
        <v>0.20878391232605586</v>
      </c>
      <c r="H10" s="65" t="s">
        <v>124</v>
      </c>
      <c r="I10" s="65">
        <v>0.21463996424258885</v>
      </c>
      <c r="J10" s="65" t="s">
        <v>124</v>
      </c>
      <c r="K10" s="65">
        <v>0.21663225081374518</v>
      </c>
      <c r="L10" s="63">
        <v>100</v>
      </c>
      <c r="M10" s="65">
        <f t="shared" si="0"/>
        <v>0.21335204246079664</v>
      </c>
      <c r="N10" s="63" t="s">
        <v>179</v>
      </c>
      <c r="O10" s="63"/>
      <c r="P10" s="63" t="s">
        <v>179</v>
      </c>
      <c r="Q10" s="63"/>
      <c r="R10" s="63" t="s">
        <v>179</v>
      </c>
      <c r="S10" s="63"/>
      <c r="T10" s="63" t="s">
        <v>179</v>
      </c>
      <c r="U10" s="63"/>
      <c r="V10" s="63" t="s">
        <v>179</v>
      </c>
      <c r="W10" s="63"/>
      <c r="X10" s="62">
        <v>0.21335204246079664</v>
      </c>
    </row>
    <row r="11" spans="1:24" s="62" customFormat="1" ht="12.75">
      <c r="A11" s="62" t="s">
        <v>117</v>
      </c>
      <c r="B11" s="62" t="s">
        <v>184</v>
      </c>
      <c r="C11" s="66" t="s">
        <v>241</v>
      </c>
      <c r="D11" s="62" t="s">
        <v>60</v>
      </c>
      <c r="E11" s="62" t="s">
        <v>15</v>
      </c>
      <c r="F11" s="63" t="s">
        <v>179</v>
      </c>
      <c r="G11" s="65">
        <v>11.6673362770443</v>
      </c>
      <c r="H11" s="65" t="s">
        <v>179</v>
      </c>
      <c r="I11" s="65">
        <v>10.783718685441</v>
      </c>
      <c r="J11" s="65" t="s">
        <v>179</v>
      </c>
      <c r="K11" s="65">
        <v>9.00873140579111</v>
      </c>
      <c r="L11" s="63" t="s">
        <v>179</v>
      </c>
      <c r="M11" s="65">
        <f t="shared" si="0"/>
        <v>10.486595456092138</v>
      </c>
      <c r="N11" s="63" t="s">
        <v>179</v>
      </c>
      <c r="O11" s="63"/>
      <c r="P11" s="63" t="s">
        <v>179</v>
      </c>
      <c r="Q11" s="63"/>
      <c r="R11" s="63" t="s">
        <v>179</v>
      </c>
      <c r="S11" s="63"/>
      <c r="T11" s="63" t="s">
        <v>179</v>
      </c>
      <c r="U11" s="63"/>
      <c r="V11" s="63" t="s">
        <v>179</v>
      </c>
      <c r="W11" s="63"/>
      <c r="X11" s="62">
        <v>10.486595456092138</v>
      </c>
    </row>
    <row r="12" spans="1:24" s="62" customFormat="1" ht="12.75">
      <c r="A12" s="62" t="s">
        <v>117</v>
      </c>
      <c r="B12" s="62" t="s">
        <v>185</v>
      </c>
      <c r="C12" s="66" t="s">
        <v>241</v>
      </c>
      <c r="D12" s="62" t="s">
        <v>60</v>
      </c>
      <c r="E12" s="62" t="s">
        <v>15</v>
      </c>
      <c r="F12" s="63" t="s">
        <v>179</v>
      </c>
      <c r="G12" s="65">
        <v>47.406229504622</v>
      </c>
      <c r="H12" s="65" t="s">
        <v>179</v>
      </c>
      <c r="I12" s="65">
        <v>176.10821162554575</v>
      </c>
      <c r="J12" s="65" t="s">
        <v>179</v>
      </c>
      <c r="K12" s="65">
        <v>112.54309615445787</v>
      </c>
      <c r="L12" s="63" t="s">
        <v>179</v>
      </c>
      <c r="M12" s="65">
        <f t="shared" si="0"/>
        <v>112.0191790948752</v>
      </c>
      <c r="N12" s="63" t="s">
        <v>179</v>
      </c>
      <c r="O12" s="63"/>
      <c r="P12" s="63" t="s">
        <v>179</v>
      </c>
      <c r="Q12" s="63"/>
      <c r="R12" s="63" t="s">
        <v>179</v>
      </c>
      <c r="S12" s="63"/>
      <c r="T12" s="63" t="s">
        <v>179</v>
      </c>
      <c r="U12" s="63"/>
      <c r="V12" s="63" t="s">
        <v>179</v>
      </c>
      <c r="W12" s="63"/>
      <c r="X12" s="62">
        <v>112.0191790948752</v>
      </c>
    </row>
    <row r="13" spans="1:24" s="62" customFormat="1" ht="12.75">
      <c r="A13" s="62" t="s">
        <v>117</v>
      </c>
      <c r="B13" s="62" t="s">
        <v>186</v>
      </c>
      <c r="C13" s="66" t="s">
        <v>241</v>
      </c>
      <c r="D13" s="62" t="s">
        <v>60</v>
      </c>
      <c r="E13" s="62" t="s">
        <v>15</v>
      </c>
      <c r="F13" s="63" t="s">
        <v>179</v>
      </c>
      <c r="G13" s="65">
        <v>776.1848975886312</v>
      </c>
      <c r="H13" s="65" t="s">
        <v>179</v>
      </c>
      <c r="I13" s="65">
        <v>788.7372179998746</v>
      </c>
      <c r="J13" s="65" t="s">
        <v>179</v>
      </c>
      <c r="K13" s="65">
        <v>784.6314450205161</v>
      </c>
      <c r="L13" s="63" t="s">
        <v>179</v>
      </c>
      <c r="M13" s="65">
        <f t="shared" si="0"/>
        <v>783.1845202030072</v>
      </c>
      <c r="N13" s="63" t="s">
        <v>179</v>
      </c>
      <c r="O13" s="63"/>
      <c r="P13" s="63" t="s">
        <v>179</v>
      </c>
      <c r="Q13" s="63"/>
      <c r="R13" s="63" t="s">
        <v>179</v>
      </c>
      <c r="S13" s="63"/>
      <c r="T13" s="63" t="s">
        <v>179</v>
      </c>
      <c r="U13" s="63"/>
      <c r="V13" s="63" t="s">
        <v>179</v>
      </c>
      <c r="W13" s="63"/>
      <c r="X13" s="62">
        <v>783.1845202030072</v>
      </c>
    </row>
    <row r="14" spans="1:24" s="62" customFormat="1" ht="12.75">
      <c r="A14" s="62" t="s">
        <v>117</v>
      </c>
      <c r="B14" s="62" t="s">
        <v>187</v>
      </c>
      <c r="C14" s="66" t="s">
        <v>241</v>
      </c>
      <c r="D14" s="62" t="s">
        <v>60</v>
      </c>
      <c r="E14" s="62" t="s">
        <v>15</v>
      </c>
      <c r="F14" s="63" t="s">
        <v>179</v>
      </c>
      <c r="G14" s="65">
        <v>1.6776401425729</v>
      </c>
      <c r="H14" s="65" t="s">
        <v>179</v>
      </c>
      <c r="I14" s="65">
        <v>0.9257964722752626</v>
      </c>
      <c r="J14" s="65" t="s">
        <v>179</v>
      </c>
      <c r="K14" s="65">
        <v>1.2152540899307656</v>
      </c>
      <c r="L14" s="63" t="s">
        <v>179</v>
      </c>
      <c r="M14" s="65">
        <f>AVERAGE(G14,I14,K14)</f>
        <v>1.2728969015929759</v>
      </c>
      <c r="N14" s="63" t="s">
        <v>179</v>
      </c>
      <c r="O14" s="63"/>
      <c r="P14" s="63" t="s">
        <v>179</v>
      </c>
      <c r="Q14" s="63"/>
      <c r="R14" s="63" t="s">
        <v>179</v>
      </c>
      <c r="S14" s="63"/>
      <c r="T14" s="63" t="s">
        <v>179</v>
      </c>
      <c r="U14" s="63"/>
      <c r="V14" s="63" t="s">
        <v>179</v>
      </c>
      <c r="W14" s="63"/>
      <c r="X14" s="62">
        <v>1.272896901592976</v>
      </c>
    </row>
    <row r="15" spans="1:24" s="62" customFormat="1" ht="12.75">
      <c r="A15" s="62" t="s">
        <v>117</v>
      </c>
      <c r="B15" s="62" t="s">
        <v>188</v>
      </c>
      <c r="C15" s="66" t="s">
        <v>241</v>
      </c>
      <c r="D15" s="62" t="s">
        <v>60</v>
      </c>
      <c r="E15" s="62" t="s">
        <v>15</v>
      </c>
      <c r="F15" s="63" t="s">
        <v>179</v>
      </c>
      <c r="G15" s="65">
        <v>0.10562009682377</v>
      </c>
      <c r="H15" s="65" t="s">
        <v>124</v>
      </c>
      <c r="I15" s="65">
        <v>0.10861299395408108</v>
      </c>
      <c r="J15" s="65" t="s">
        <v>124</v>
      </c>
      <c r="K15" s="65">
        <v>0.10831612540687259</v>
      </c>
      <c r="L15" s="63" t="s">
        <v>179</v>
      </c>
      <c r="M15" s="65">
        <f>AVERAGE(G15,I15,K15)</f>
        <v>0.10751640539490788</v>
      </c>
      <c r="N15" s="63" t="s">
        <v>179</v>
      </c>
      <c r="O15" s="63"/>
      <c r="P15" s="63" t="s">
        <v>179</v>
      </c>
      <c r="Q15" s="63"/>
      <c r="R15" s="63" t="s">
        <v>179</v>
      </c>
      <c r="S15" s="63"/>
      <c r="T15" s="63" t="s">
        <v>179</v>
      </c>
      <c r="U15" s="63"/>
      <c r="V15" s="63" t="s">
        <v>179</v>
      </c>
      <c r="W15" s="63"/>
      <c r="X15" s="62">
        <v>0.10751640539490788</v>
      </c>
    </row>
    <row r="16" spans="1:24" s="62" customFormat="1" ht="12.75">
      <c r="A16" s="62" t="s">
        <v>117</v>
      </c>
      <c r="B16" s="62" t="s">
        <v>189</v>
      </c>
      <c r="C16" s="66" t="s">
        <v>241</v>
      </c>
      <c r="D16" s="62" t="s">
        <v>60</v>
      </c>
      <c r="E16" s="62" t="s">
        <v>15</v>
      </c>
      <c r="F16" s="63" t="s">
        <v>124</v>
      </c>
      <c r="G16" s="65">
        <v>0.5256442027973641</v>
      </c>
      <c r="H16" s="65" t="s">
        <v>124</v>
      </c>
      <c r="I16" s="65">
        <v>0.5378929224392587</v>
      </c>
      <c r="J16" s="65" t="s">
        <v>124</v>
      </c>
      <c r="K16" s="65">
        <v>0.5415806270343629</v>
      </c>
      <c r="L16" s="63">
        <v>100</v>
      </c>
      <c r="M16" s="65">
        <f>AVERAGE(G16,I16,K16)</f>
        <v>0.5350392507569953</v>
      </c>
      <c r="N16" s="63" t="s">
        <v>179</v>
      </c>
      <c r="O16" s="63"/>
      <c r="P16" s="63" t="s">
        <v>179</v>
      </c>
      <c r="Q16" s="63"/>
      <c r="R16" s="63" t="s">
        <v>179</v>
      </c>
      <c r="S16" s="63"/>
      <c r="T16" s="63" t="s">
        <v>179</v>
      </c>
      <c r="U16" s="63"/>
      <c r="V16" s="63" t="s">
        <v>179</v>
      </c>
      <c r="W16" s="63"/>
      <c r="X16" s="62">
        <v>0.5350392507569953</v>
      </c>
    </row>
    <row r="17" spans="2:23" s="62" customFormat="1" ht="12.75">
      <c r="B17" s="62" t="s">
        <v>61</v>
      </c>
      <c r="C17" s="66" t="s">
        <v>241</v>
      </c>
      <c r="D17" s="62" t="s">
        <v>60</v>
      </c>
      <c r="E17" s="62" t="s">
        <v>15</v>
      </c>
      <c r="F17" s="63"/>
      <c r="G17" s="65">
        <f>G11+G13</f>
        <v>787.8522338656755</v>
      </c>
      <c r="H17" s="65"/>
      <c r="I17" s="65">
        <f>I11+I13</f>
        <v>799.5209366853156</v>
      </c>
      <c r="J17" s="65"/>
      <c r="K17" s="65">
        <f>K11+K13</f>
        <v>793.6401764263072</v>
      </c>
      <c r="L17" s="63"/>
      <c r="M17" s="65">
        <f>AVERAGE(G17,I17,K17)</f>
        <v>793.6711156590995</v>
      </c>
      <c r="N17" s="63"/>
      <c r="O17" s="63"/>
      <c r="P17" s="63"/>
      <c r="Q17" s="63"/>
      <c r="R17" s="63"/>
      <c r="S17" s="63"/>
      <c r="T17" s="63"/>
      <c r="U17" s="63"/>
      <c r="V17" s="63"/>
      <c r="W17" s="63"/>
    </row>
    <row r="18" spans="2:23" s="62" customFormat="1" ht="12.75">
      <c r="B18" s="62" t="s">
        <v>62</v>
      </c>
      <c r="C18" s="66" t="s">
        <v>241</v>
      </c>
      <c r="D18" s="62" t="s">
        <v>60</v>
      </c>
      <c r="E18" s="62" t="s">
        <v>15</v>
      </c>
      <c r="F18" s="63"/>
      <c r="G18" s="65">
        <f>G8+G10+G12</f>
        <v>48.14557018238838</v>
      </c>
      <c r="H18" s="65"/>
      <c r="I18" s="65">
        <f>I8+I10+I12</f>
        <v>176.8607445122276</v>
      </c>
      <c r="J18" s="65"/>
      <c r="K18" s="65">
        <f>K8+K10+K12</f>
        <v>113.30130903230598</v>
      </c>
      <c r="L18" s="63"/>
      <c r="M18" s="65">
        <f>AVERAGE(G18,I18,K18)</f>
        <v>112.769207908974</v>
      </c>
      <c r="N18" s="63"/>
      <c r="O18" s="63"/>
      <c r="P18" s="63"/>
      <c r="Q18" s="63"/>
      <c r="R18" s="63"/>
      <c r="S18" s="63"/>
      <c r="T18" s="63"/>
      <c r="U18" s="63"/>
      <c r="V18" s="63"/>
      <c r="W18" s="63"/>
    </row>
    <row r="19" spans="6:23" s="62" customFormat="1" ht="12.75">
      <c r="F19" s="63"/>
      <c r="G19" s="65"/>
      <c r="H19" s="65"/>
      <c r="I19" s="65"/>
      <c r="J19" s="65"/>
      <c r="K19" s="65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</row>
    <row r="20" spans="2:23" s="62" customFormat="1" ht="12.75">
      <c r="B20" s="62" t="s">
        <v>87</v>
      </c>
      <c r="C20" s="62" t="s">
        <v>190</v>
      </c>
      <c r="D20" s="66" t="s">
        <v>241</v>
      </c>
      <c r="F20" s="63"/>
      <c r="G20" s="65"/>
      <c r="H20" s="65"/>
      <c r="I20" s="65"/>
      <c r="J20" s="65"/>
      <c r="K20" s="65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2:63" s="62" customFormat="1" ht="12.75">
      <c r="B21" s="16" t="s">
        <v>82</v>
      </c>
      <c r="C21" s="16"/>
      <c r="D21" s="16" t="s">
        <v>17</v>
      </c>
      <c r="G21" s="65">
        <v>3258.33333</v>
      </c>
      <c r="H21" s="65"/>
      <c r="I21" s="65">
        <v>3233.33333</v>
      </c>
      <c r="J21" s="65"/>
      <c r="K21" s="65">
        <v>3165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</row>
    <row r="22" spans="2:63" s="62" customFormat="1" ht="12.75">
      <c r="B22" s="16" t="s">
        <v>84</v>
      </c>
      <c r="C22" s="16"/>
      <c r="D22" s="16" t="s">
        <v>18</v>
      </c>
      <c r="G22" s="65">
        <v>16.33</v>
      </c>
      <c r="H22" s="65"/>
      <c r="I22" s="65">
        <v>16.53</v>
      </c>
      <c r="J22" s="65"/>
      <c r="K22" s="65">
        <v>16.53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</row>
    <row r="23" spans="1:63" s="62" customFormat="1" ht="12.75">
      <c r="A23" s="62" t="s">
        <v>117</v>
      </c>
      <c r="B23" s="16" t="s">
        <v>85</v>
      </c>
      <c r="C23" s="16"/>
      <c r="D23" s="16" t="s">
        <v>18</v>
      </c>
      <c r="G23" s="65">
        <v>5.1</v>
      </c>
      <c r="H23" s="65"/>
      <c r="I23" s="65">
        <v>5.2</v>
      </c>
      <c r="J23" s="65"/>
      <c r="K23" s="65">
        <v>5</v>
      </c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</row>
    <row r="24" spans="2:63" s="62" customFormat="1" ht="12.75">
      <c r="B24" s="16" t="s">
        <v>81</v>
      </c>
      <c r="C24" s="16"/>
      <c r="D24" s="16" t="s">
        <v>19</v>
      </c>
      <c r="G24" s="65">
        <v>229</v>
      </c>
      <c r="H24" s="65"/>
      <c r="I24" s="65">
        <v>231</v>
      </c>
      <c r="J24" s="65"/>
      <c r="K24" s="65">
        <v>239</v>
      </c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</row>
    <row r="25" spans="7:63" s="62" customFormat="1" ht="12.75"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</row>
    <row r="26" spans="2:63" s="62" customFormat="1" ht="12.75">
      <c r="B26" s="62" t="s">
        <v>87</v>
      </c>
      <c r="C26" s="62" t="s">
        <v>191</v>
      </c>
      <c r="D26" s="66" t="s">
        <v>242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</row>
    <row r="27" spans="2:63" s="62" customFormat="1" ht="12.75">
      <c r="B27" s="16" t="s">
        <v>82</v>
      </c>
      <c r="C27" s="16"/>
      <c r="D27" s="16" t="s">
        <v>17</v>
      </c>
      <c r="G27" s="65">
        <v>3315</v>
      </c>
      <c r="H27" s="65"/>
      <c r="I27" s="65">
        <v>3355</v>
      </c>
      <c r="J27" s="65"/>
      <c r="K27" s="65">
        <v>3265</v>
      </c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</row>
    <row r="28" spans="2:63" s="62" customFormat="1" ht="12.75">
      <c r="B28" s="16" t="s">
        <v>84</v>
      </c>
      <c r="C28" s="16"/>
      <c r="D28" s="16" t="s">
        <v>18</v>
      </c>
      <c r="G28" s="65">
        <v>16.33</v>
      </c>
      <c r="H28" s="65"/>
      <c r="I28" s="65">
        <v>16.53</v>
      </c>
      <c r="J28" s="65"/>
      <c r="K28" s="65">
        <v>16.53</v>
      </c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</row>
    <row r="29" spans="2:63" s="62" customFormat="1" ht="12.75">
      <c r="B29" s="16" t="s">
        <v>85</v>
      </c>
      <c r="C29" s="16"/>
      <c r="D29" s="16" t="s">
        <v>18</v>
      </c>
      <c r="G29" s="65">
        <v>5.4</v>
      </c>
      <c r="H29" s="65"/>
      <c r="I29" s="65">
        <v>5.2</v>
      </c>
      <c r="J29" s="65"/>
      <c r="K29" s="65">
        <v>4.8</v>
      </c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</row>
    <row r="30" spans="2:63" s="62" customFormat="1" ht="12.75">
      <c r="B30" s="16" t="s">
        <v>81</v>
      </c>
      <c r="C30" s="16"/>
      <c r="D30" s="16" t="s">
        <v>19</v>
      </c>
      <c r="G30" s="65">
        <v>240</v>
      </c>
      <c r="H30" s="65"/>
      <c r="I30" s="65">
        <v>235</v>
      </c>
      <c r="J30" s="65"/>
      <c r="K30" s="65">
        <v>242</v>
      </c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</row>
    <row r="32" spans="2:13" ht="12.75">
      <c r="B32" s="8" t="s">
        <v>116</v>
      </c>
      <c r="G32" s="71" t="s">
        <v>104</v>
      </c>
      <c r="H32" s="71"/>
      <c r="I32" s="71" t="s">
        <v>105</v>
      </c>
      <c r="J32" s="71"/>
      <c r="K32" s="71" t="s">
        <v>106</v>
      </c>
      <c r="L32" s="71"/>
      <c r="M32" s="71" t="s">
        <v>47</v>
      </c>
    </row>
    <row r="33" spans="6:23" s="62" customFormat="1" ht="12.75">
      <c r="F33" s="63"/>
      <c r="G33" s="65"/>
      <c r="H33" s="65"/>
      <c r="I33" s="65"/>
      <c r="J33" s="65"/>
      <c r="K33" s="65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</row>
    <row r="34" spans="1:24" s="62" customFormat="1" ht="12.75">
      <c r="A34" s="62" t="s">
        <v>116</v>
      </c>
      <c r="B34" s="62" t="s">
        <v>13</v>
      </c>
      <c r="C34" s="62" t="s">
        <v>242</v>
      </c>
      <c r="D34" s="62" t="s">
        <v>14</v>
      </c>
      <c r="E34" s="62" t="s">
        <v>15</v>
      </c>
      <c r="F34" s="63" t="s">
        <v>179</v>
      </c>
      <c r="G34" s="64">
        <v>0.02400023808</v>
      </c>
      <c r="H34" s="64" t="s">
        <v>179</v>
      </c>
      <c r="I34" s="64">
        <v>0.0350003472</v>
      </c>
      <c r="J34" s="64" t="s">
        <v>179</v>
      </c>
      <c r="K34" s="64">
        <v>0.02700026784</v>
      </c>
      <c r="L34" s="64" t="s">
        <v>179</v>
      </c>
      <c r="M34" s="64">
        <f>AVERAGE(G34,I34,K34)</f>
        <v>0.02866695104</v>
      </c>
      <c r="N34" s="64" t="s">
        <v>179</v>
      </c>
      <c r="O34" s="64"/>
      <c r="P34" s="64" t="s">
        <v>179</v>
      </c>
      <c r="Q34" s="64"/>
      <c r="R34" s="64" t="s">
        <v>179</v>
      </c>
      <c r="S34" s="64"/>
      <c r="T34" s="64" t="s">
        <v>179</v>
      </c>
      <c r="U34" s="64"/>
      <c r="V34" s="63" t="s">
        <v>179</v>
      </c>
      <c r="W34" s="63"/>
      <c r="X34" s="62">
        <v>0.02866695104</v>
      </c>
    </row>
    <row r="35" spans="1:24" s="62" customFormat="1" ht="12.75">
      <c r="A35" s="62" t="s">
        <v>116</v>
      </c>
      <c r="B35" s="62" t="s">
        <v>180</v>
      </c>
      <c r="C35" s="62" t="s">
        <v>241</v>
      </c>
      <c r="D35" s="62" t="s">
        <v>60</v>
      </c>
      <c r="E35" s="62" t="s">
        <v>15</v>
      </c>
      <c r="F35" s="63" t="s">
        <v>179</v>
      </c>
      <c r="G35" s="65">
        <v>324.76646545958397</v>
      </c>
      <c r="H35" s="65" t="s">
        <v>179</v>
      </c>
      <c r="I35" s="65">
        <v>114.63406476048627</v>
      </c>
      <c r="J35" s="65" t="s">
        <v>179</v>
      </c>
      <c r="K35" s="65">
        <v>215.97573033707866</v>
      </c>
      <c r="L35" s="63" t="s">
        <v>179</v>
      </c>
      <c r="M35" s="65">
        <f aca="true" t="shared" si="1" ref="M35:M41">AVERAGE(G35,I35,K35)</f>
        <v>218.45875351904962</v>
      </c>
      <c r="N35" s="63" t="s">
        <v>179</v>
      </c>
      <c r="O35" s="63"/>
      <c r="P35" s="63" t="s">
        <v>179</v>
      </c>
      <c r="Q35" s="63"/>
      <c r="R35" s="63" t="s">
        <v>179</v>
      </c>
      <c r="S35" s="63"/>
      <c r="T35" s="63" t="s">
        <v>179</v>
      </c>
      <c r="U35" s="63"/>
      <c r="V35" s="63" t="s">
        <v>179</v>
      </c>
      <c r="W35" s="63"/>
      <c r="X35" s="62">
        <v>218.45875351904965</v>
      </c>
    </row>
    <row r="36" spans="1:24" s="62" customFormat="1" ht="12.75">
      <c r="A36" s="62" t="s">
        <v>116</v>
      </c>
      <c r="B36" s="62" t="s">
        <v>181</v>
      </c>
      <c r="C36" s="62" t="s">
        <v>241</v>
      </c>
      <c r="D36" s="62" t="s">
        <v>60</v>
      </c>
      <c r="E36" s="62" t="s">
        <v>15</v>
      </c>
      <c r="F36" s="63" t="s">
        <v>124</v>
      </c>
      <c r="G36" s="65">
        <v>0.512040558680804</v>
      </c>
      <c r="H36" s="65" t="s">
        <v>124</v>
      </c>
      <c r="I36" s="65">
        <v>0.5375063925436134</v>
      </c>
      <c r="J36" s="65" t="s">
        <v>124</v>
      </c>
      <c r="K36" s="65">
        <v>0.51594202247191</v>
      </c>
      <c r="L36" s="63">
        <v>100</v>
      </c>
      <c r="M36" s="65">
        <f t="shared" si="1"/>
        <v>0.5218296578987758</v>
      </c>
      <c r="N36" s="63" t="s">
        <v>179</v>
      </c>
      <c r="O36" s="63"/>
      <c r="P36" s="63" t="s">
        <v>179</v>
      </c>
      <c r="Q36" s="63"/>
      <c r="R36" s="63" t="s">
        <v>179</v>
      </c>
      <c r="S36" s="63"/>
      <c r="T36" s="63" t="s">
        <v>179</v>
      </c>
      <c r="U36" s="63"/>
      <c r="V36" s="63" t="s">
        <v>179</v>
      </c>
      <c r="W36" s="63"/>
      <c r="X36" s="62">
        <v>0.5218296578987758</v>
      </c>
    </row>
    <row r="37" spans="1:24" s="62" customFormat="1" ht="12.75">
      <c r="A37" s="62" t="s">
        <v>116</v>
      </c>
      <c r="B37" s="62" t="s">
        <v>182</v>
      </c>
      <c r="C37" s="62" t="s">
        <v>241</v>
      </c>
      <c r="D37" s="62" t="s">
        <v>60</v>
      </c>
      <c r="E37" s="62" t="s">
        <v>15</v>
      </c>
      <c r="F37" s="63" t="s">
        <v>179</v>
      </c>
      <c r="G37" s="65">
        <v>348.4720468799915</v>
      </c>
      <c r="H37" s="65" t="s">
        <v>179</v>
      </c>
      <c r="I37" s="65">
        <v>124.82375940586283</v>
      </c>
      <c r="J37" s="65" t="s">
        <v>179</v>
      </c>
      <c r="K37" s="65">
        <v>211.17626966292136</v>
      </c>
      <c r="L37" s="63" t="s">
        <v>179</v>
      </c>
      <c r="M37" s="65">
        <f t="shared" si="1"/>
        <v>228.15735864959188</v>
      </c>
      <c r="N37" s="63" t="s">
        <v>179</v>
      </c>
      <c r="O37" s="63"/>
      <c r="P37" s="63" t="s">
        <v>179</v>
      </c>
      <c r="Q37" s="63"/>
      <c r="R37" s="63" t="s">
        <v>179</v>
      </c>
      <c r="S37" s="63"/>
      <c r="T37" s="63" t="s">
        <v>179</v>
      </c>
      <c r="U37" s="63"/>
      <c r="V37" s="63" t="s">
        <v>179</v>
      </c>
      <c r="W37" s="63"/>
      <c r="X37" s="62">
        <v>228.15735864959188</v>
      </c>
    </row>
    <row r="38" spans="1:24" s="62" customFormat="1" ht="12.75">
      <c r="A38" s="62" t="s">
        <v>116</v>
      </c>
      <c r="B38" s="62" t="s">
        <v>183</v>
      </c>
      <c r="C38" s="62" t="s">
        <v>241</v>
      </c>
      <c r="D38" s="62" t="s">
        <v>60</v>
      </c>
      <c r="E38" s="62" t="s">
        <v>15</v>
      </c>
      <c r="F38" s="63" t="s">
        <v>124</v>
      </c>
      <c r="G38" s="65">
        <v>0.20386800021550527</v>
      </c>
      <c r="H38" s="65" t="s">
        <v>124</v>
      </c>
      <c r="I38" s="65">
        <v>0.21398358755290772</v>
      </c>
      <c r="J38" s="65" t="s">
        <v>124</v>
      </c>
      <c r="K38" s="65">
        <v>0.20637680898876404</v>
      </c>
      <c r="L38" s="63">
        <v>100</v>
      </c>
      <c r="M38" s="65">
        <f t="shared" si="1"/>
        <v>0.20807613225239238</v>
      </c>
      <c r="N38" s="63" t="s">
        <v>179</v>
      </c>
      <c r="O38" s="63"/>
      <c r="P38" s="63" t="s">
        <v>179</v>
      </c>
      <c r="Q38" s="63"/>
      <c r="R38" s="63" t="s">
        <v>179</v>
      </c>
      <c r="S38" s="63"/>
      <c r="T38" s="63" t="s">
        <v>179</v>
      </c>
      <c r="U38" s="63"/>
      <c r="V38" s="63" t="s">
        <v>179</v>
      </c>
      <c r="W38" s="63"/>
      <c r="X38" s="62">
        <v>0.20807613225239238</v>
      </c>
    </row>
    <row r="39" spans="1:24" s="62" customFormat="1" ht="12.75">
      <c r="A39" s="62" t="s">
        <v>116</v>
      </c>
      <c r="B39" s="62" t="s">
        <v>184</v>
      </c>
      <c r="C39" s="62" t="s">
        <v>241</v>
      </c>
      <c r="D39" s="62" t="s">
        <v>60</v>
      </c>
      <c r="E39" s="62" t="s">
        <v>15</v>
      </c>
      <c r="F39" s="63" t="s">
        <v>179</v>
      </c>
      <c r="G39" s="65">
        <v>2.254400793080762</v>
      </c>
      <c r="H39" s="65" t="s">
        <v>124</v>
      </c>
      <c r="I39" s="65">
        <v>0.21398358755290772</v>
      </c>
      <c r="J39" s="65" t="s">
        <v>124</v>
      </c>
      <c r="K39" s="65">
        <v>0.20637680898876404</v>
      </c>
      <c r="L39" s="63" t="s">
        <v>179</v>
      </c>
      <c r="M39" s="65">
        <f t="shared" si="1"/>
        <v>0.8915870632074779</v>
      </c>
      <c r="N39" s="63" t="s">
        <v>179</v>
      </c>
      <c r="O39" s="63"/>
      <c r="P39" s="63" t="s">
        <v>179</v>
      </c>
      <c r="Q39" s="63"/>
      <c r="R39" s="63" t="s">
        <v>179</v>
      </c>
      <c r="S39" s="63"/>
      <c r="T39" s="63" t="s">
        <v>179</v>
      </c>
      <c r="U39" s="63"/>
      <c r="V39" s="63" t="s">
        <v>179</v>
      </c>
      <c r="W39" s="63"/>
      <c r="X39" s="62">
        <v>0.8915870632074778</v>
      </c>
    </row>
    <row r="40" spans="1:24" s="62" customFormat="1" ht="12.75">
      <c r="A40" s="62" t="s">
        <v>116</v>
      </c>
      <c r="B40" s="62" t="s">
        <v>185</v>
      </c>
      <c r="C40" s="62" t="s">
        <v>241</v>
      </c>
      <c r="D40" s="62" t="s">
        <v>60</v>
      </c>
      <c r="E40" s="62" t="s">
        <v>15</v>
      </c>
      <c r="F40" s="63" t="s">
        <v>179</v>
      </c>
      <c r="G40" s="65">
        <v>1.1852790710203798</v>
      </c>
      <c r="H40" s="65" t="s">
        <v>179</v>
      </c>
      <c r="I40" s="65">
        <v>72.85631671444239</v>
      </c>
      <c r="J40" s="65" t="s">
        <v>179</v>
      </c>
      <c r="K40" s="65">
        <v>50.63431011235954</v>
      </c>
      <c r="L40" s="63" t="s">
        <v>179</v>
      </c>
      <c r="M40" s="65">
        <f t="shared" si="1"/>
        <v>41.5586352992741</v>
      </c>
      <c r="N40" s="63" t="s">
        <v>179</v>
      </c>
      <c r="O40" s="63"/>
      <c r="P40" s="63" t="s">
        <v>179</v>
      </c>
      <c r="Q40" s="63"/>
      <c r="R40" s="63" t="s">
        <v>179</v>
      </c>
      <c r="S40" s="63"/>
      <c r="T40" s="63" t="s">
        <v>179</v>
      </c>
      <c r="U40" s="63"/>
      <c r="V40" s="63" t="s">
        <v>179</v>
      </c>
      <c r="W40" s="63"/>
      <c r="X40" s="62">
        <v>41.5586352992741</v>
      </c>
    </row>
    <row r="41" spans="1:24" s="62" customFormat="1" ht="12.75">
      <c r="A41" s="62" t="s">
        <v>116</v>
      </c>
      <c r="B41" s="62" t="s">
        <v>186</v>
      </c>
      <c r="C41" s="62" t="s">
        <v>241</v>
      </c>
      <c r="D41" s="62" t="s">
        <v>60</v>
      </c>
      <c r="E41" s="62" t="s">
        <v>15</v>
      </c>
      <c r="F41" s="63" t="s">
        <v>179</v>
      </c>
      <c r="G41" s="65">
        <v>732.5024658905944</v>
      </c>
      <c r="H41" s="65" t="s">
        <v>179</v>
      </c>
      <c r="I41" s="65">
        <v>878.8611631637281</v>
      </c>
      <c r="J41" s="65" t="s">
        <v>179</v>
      </c>
      <c r="K41" s="65">
        <v>1283.8557303370785</v>
      </c>
      <c r="L41" s="63" t="s">
        <v>179</v>
      </c>
      <c r="M41" s="65">
        <f t="shared" si="1"/>
        <v>965.0731197971336</v>
      </c>
      <c r="N41" s="63" t="s">
        <v>179</v>
      </c>
      <c r="O41" s="63"/>
      <c r="P41" s="63" t="s">
        <v>179</v>
      </c>
      <c r="Q41" s="63"/>
      <c r="R41" s="63" t="s">
        <v>179</v>
      </c>
      <c r="S41" s="63"/>
      <c r="T41" s="63" t="s">
        <v>179</v>
      </c>
      <c r="U41" s="63"/>
      <c r="V41" s="63" t="s">
        <v>179</v>
      </c>
      <c r="W41" s="63"/>
      <c r="X41" s="62">
        <v>965.0731197971337</v>
      </c>
    </row>
    <row r="42" spans="1:24" s="62" customFormat="1" ht="12.75">
      <c r="A42" s="62" t="s">
        <v>116</v>
      </c>
      <c r="B42" s="62" t="s">
        <v>187</v>
      </c>
      <c r="C42" s="62" t="s">
        <v>241</v>
      </c>
      <c r="D42" s="62" t="s">
        <v>60</v>
      </c>
      <c r="E42" s="62" t="s">
        <v>15</v>
      </c>
      <c r="F42" s="63" t="s">
        <v>179</v>
      </c>
      <c r="G42" s="65">
        <v>4.883349772603963</v>
      </c>
      <c r="H42" s="65" t="s">
        <v>179</v>
      </c>
      <c r="I42" s="65">
        <v>32.09753813293616</v>
      </c>
      <c r="J42" s="65" t="s">
        <v>179</v>
      </c>
      <c r="K42" s="65">
        <v>98.86888988764044</v>
      </c>
      <c r="L42" s="63" t="s">
        <v>179</v>
      </c>
      <c r="M42" s="65">
        <f>AVERAGE(G42,I42,K42)</f>
        <v>45.283259264393514</v>
      </c>
      <c r="N42" s="63" t="s">
        <v>179</v>
      </c>
      <c r="O42" s="63"/>
      <c r="P42" s="63" t="s">
        <v>179</v>
      </c>
      <c r="Q42" s="63"/>
      <c r="R42" s="63" t="s">
        <v>179</v>
      </c>
      <c r="S42" s="63"/>
      <c r="T42" s="63" t="s">
        <v>179</v>
      </c>
      <c r="U42" s="63"/>
      <c r="V42" s="63" t="s">
        <v>179</v>
      </c>
      <c r="W42" s="63"/>
      <c r="X42" s="62">
        <v>45.283259264393514</v>
      </c>
    </row>
    <row r="43" spans="1:24" s="62" customFormat="1" ht="12.75">
      <c r="A43" s="62" t="s">
        <v>116</v>
      </c>
      <c r="B43" s="62" t="s">
        <v>188</v>
      </c>
      <c r="C43" s="62" t="s">
        <v>241</v>
      </c>
      <c r="D43" s="62" t="s">
        <v>60</v>
      </c>
      <c r="E43" s="62" t="s">
        <v>15</v>
      </c>
      <c r="F43" s="63" t="s">
        <v>124</v>
      </c>
      <c r="G43" s="65">
        <v>0.10193400010775264</v>
      </c>
      <c r="H43" s="65" t="s">
        <v>124</v>
      </c>
      <c r="I43" s="65">
        <v>0.10699179377645386</v>
      </c>
      <c r="J43" s="65" t="s">
        <v>124</v>
      </c>
      <c r="K43" s="65">
        <v>0.10318840449438202</v>
      </c>
      <c r="L43" s="63">
        <v>100</v>
      </c>
      <c r="M43" s="65">
        <f>AVERAGE(G43,I43,K43)</f>
        <v>0.10403806612619619</v>
      </c>
      <c r="N43" s="63" t="s">
        <v>179</v>
      </c>
      <c r="O43" s="63"/>
      <c r="P43" s="63" t="s">
        <v>179</v>
      </c>
      <c r="Q43" s="63"/>
      <c r="R43" s="63" t="s">
        <v>179</v>
      </c>
      <c r="S43" s="63"/>
      <c r="T43" s="63" t="s">
        <v>179</v>
      </c>
      <c r="U43" s="63"/>
      <c r="V43" s="63" t="s">
        <v>179</v>
      </c>
      <c r="W43" s="63"/>
      <c r="X43" s="62">
        <v>0.10403806612619619</v>
      </c>
    </row>
    <row r="44" spans="1:24" s="62" customFormat="1" ht="12.75">
      <c r="A44" s="62" t="s">
        <v>116</v>
      </c>
      <c r="B44" s="62" t="s">
        <v>189</v>
      </c>
      <c r="C44" s="62" t="s">
        <v>241</v>
      </c>
      <c r="D44" s="62" t="s">
        <v>60</v>
      </c>
      <c r="E44" s="62" t="s">
        <v>15</v>
      </c>
      <c r="F44" s="63" t="s">
        <v>124</v>
      </c>
      <c r="G44" s="65">
        <v>0.512040558680804</v>
      </c>
      <c r="H44" s="65" t="s">
        <v>124</v>
      </c>
      <c r="I44" s="65">
        <v>0.5375063925436134</v>
      </c>
      <c r="J44" s="65" t="s">
        <v>124</v>
      </c>
      <c r="K44" s="65">
        <v>0.51594202247191</v>
      </c>
      <c r="L44" s="63">
        <v>100</v>
      </c>
      <c r="M44" s="65">
        <f>AVERAGE(G44,I44,K44)</f>
        <v>0.5218296578987758</v>
      </c>
      <c r="N44" s="63" t="s">
        <v>179</v>
      </c>
      <c r="O44" s="63"/>
      <c r="P44" s="63" t="s">
        <v>179</v>
      </c>
      <c r="Q44" s="63"/>
      <c r="R44" s="63" t="s">
        <v>179</v>
      </c>
      <c r="S44" s="63"/>
      <c r="T44" s="63" t="s">
        <v>179</v>
      </c>
      <c r="U44" s="63"/>
      <c r="V44" s="63" t="s">
        <v>179</v>
      </c>
      <c r="W44" s="63"/>
      <c r="X44" s="62">
        <v>0.5218296578987758</v>
      </c>
    </row>
    <row r="45" spans="2:23" s="62" customFormat="1" ht="12.75">
      <c r="B45" s="62" t="s">
        <v>61</v>
      </c>
      <c r="C45" s="62" t="s">
        <v>241</v>
      </c>
      <c r="D45" s="62" t="s">
        <v>60</v>
      </c>
      <c r="E45" s="62" t="s">
        <v>15</v>
      </c>
      <c r="F45" s="63"/>
      <c r="G45" s="65">
        <f>G39+G41</f>
        <v>734.7568666836752</v>
      </c>
      <c r="H45" s="65"/>
      <c r="I45" s="65">
        <f>I39+I41</f>
        <v>879.075146751281</v>
      </c>
      <c r="J45" s="65"/>
      <c r="K45" s="65">
        <f>K39+K41</f>
        <v>1284.0621071460673</v>
      </c>
      <c r="L45" s="63"/>
      <c r="M45" s="65">
        <f>AVERAGE(G45,I45,K45)</f>
        <v>965.9647068603412</v>
      </c>
      <c r="N45" s="63"/>
      <c r="O45" s="63"/>
      <c r="P45" s="63"/>
      <c r="Q45" s="63"/>
      <c r="R45" s="63"/>
      <c r="S45" s="63"/>
      <c r="T45" s="63"/>
      <c r="U45" s="63"/>
      <c r="V45" s="63"/>
      <c r="W45" s="63"/>
    </row>
    <row r="46" spans="2:23" s="62" customFormat="1" ht="12.75">
      <c r="B46" s="62" t="s">
        <v>62</v>
      </c>
      <c r="C46" s="62" t="s">
        <v>241</v>
      </c>
      <c r="D46" s="62" t="s">
        <v>60</v>
      </c>
      <c r="E46" s="62" t="s">
        <v>15</v>
      </c>
      <c r="F46" s="63"/>
      <c r="G46" s="65">
        <f>G36+G38+G40</f>
        <v>1.901187629916689</v>
      </c>
      <c r="H46" s="65"/>
      <c r="I46" s="65">
        <f>I36+I38+I40</f>
        <v>73.60780669453891</v>
      </c>
      <c r="J46" s="65"/>
      <c r="K46" s="65">
        <f>K36+K38+K40</f>
        <v>51.35662894382022</v>
      </c>
      <c r="L46" s="63"/>
      <c r="M46" s="65">
        <f>AVERAGE(G46,I46,K46)</f>
        <v>42.28854108942527</v>
      </c>
      <c r="N46" s="63"/>
      <c r="O46" s="63"/>
      <c r="P46" s="63"/>
      <c r="Q46" s="63"/>
      <c r="R46" s="63"/>
      <c r="S46" s="63"/>
      <c r="T46" s="63"/>
      <c r="U46" s="63"/>
      <c r="V46" s="63"/>
      <c r="W46" s="63"/>
    </row>
    <row r="47" spans="6:23" s="62" customFormat="1" ht="12.75">
      <c r="F47" s="63"/>
      <c r="G47" s="65"/>
      <c r="H47" s="65"/>
      <c r="I47" s="65"/>
      <c r="J47" s="65"/>
      <c r="K47" s="65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</row>
    <row r="48" spans="2:23" s="62" customFormat="1" ht="12.75">
      <c r="B48" s="62" t="s">
        <v>87</v>
      </c>
      <c r="C48" s="62" t="s">
        <v>190</v>
      </c>
      <c r="D48" s="66" t="s">
        <v>241</v>
      </c>
      <c r="F48" s="63"/>
      <c r="G48" s="65"/>
      <c r="H48" s="65"/>
      <c r="I48" s="65"/>
      <c r="J48" s="65"/>
      <c r="K48" s="65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</row>
    <row r="49" spans="2:63" s="62" customFormat="1" ht="12.75">
      <c r="B49" s="16" t="s">
        <v>82</v>
      </c>
      <c r="C49" s="16"/>
      <c r="D49" s="16" t="s">
        <v>17</v>
      </c>
      <c r="G49" s="65">
        <v>3153.33333</v>
      </c>
      <c r="H49" s="65"/>
      <c r="I49" s="65">
        <v>3056.66667</v>
      </c>
      <c r="J49" s="65"/>
      <c r="K49" s="65">
        <v>3115</v>
      </c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</row>
    <row r="50" spans="2:63" s="62" customFormat="1" ht="12.75">
      <c r="B50" s="16" t="s">
        <v>84</v>
      </c>
      <c r="C50" s="16"/>
      <c r="D50" s="16" t="s">
        <v>18</v>
      </c>
      <c r="G50" s="65">
        <v>16</v>
      </c>
      <c r="H50" s="65"/>
      <c r="I50" s="65">
        <v>16.2</v>
      </c>
      <c r="J50" s="65"/>
      <c r="K50" s="65">
        <v>16</v>
      </c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</row>
    <row r="51" spans="1:63" s="62" customFormat="1" ht="12.75">
      <c r="A51" s="62" t="s">
        <v>116</v>
      </c>
      <c r="B51" s="16" t="s">
        <v>85</v>
      </c>
      <c r="C51" s="16"/>
      <c r="D51" s="16" t="s">
        <v>18</v>
      </c>
      <c r="G51" s="65">
        <v>5.3</v>
      </c>
      <c r="H51" s="65"/>
      <c r="I51" s="65">
        <v>5.7</v>
      </c>
      <c r="J51" s="65"/>
      <c r="K51" s="65">
        <v>5.4</v>
      </c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</row>
    <row r="52" spans="2:63" s="62" customFormat="1" ht="12.75">
      <c r="B52" s="16" t="s">
        <v>81</v>
      </c>
      <c r="C52" s="16"/>
      <c r="D52" s="16" t="s">
        <v>19</v>
      </c>
      <c r="G52" s="65">
        <v>228</v>
      </c>
      <c r="H52" s="65"/>
      <c r="I52" s="65">
        <v>231</v>
      </c>
      <c r="J52" s="65"/>
      <c r="K52" s="65">
        <v>235</v>
      </c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  <c r="BK52" s="65"/>
    </row>
    <row r="53" spans="7:63" s="62" customFormat="1" ht="12.75"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E53" s="65"/>
      <c r="BF53" s="65"/>
      <c r="BG53" s="65"/>
      <c r="BH53" s="65"/>
      <c r="BI53" s="65"/>
      <c r="BJ53" s="65"/>
      <c r="BK53" s="65"/>
    </row>
    <row r="54" spans="2:63" s="62" customFormat="1" ht="12.75">
      <c r="B54" s="62" t="s">
        <v>87</v>
      </c>
      <c r="C54" s="62" t="s">
        <v>191</v>
      </c>
      <c r="D54" s="66" t="s">
        <v>242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</row>
    <row r="55" spans="2:63" s="62" customFormat="1" ht="12.75">
      <c r="B55" s="16" t="s">
        <v>82</v>
      </c>
      <c r="C55" s="16"/>
      <c r="D55" s="16" t="s">
        <v>17</v>
      </c>
      <c r="G55" s="65">
        <v>3151.66667</v>
      </c>
      <c r="H55" s="65"/>
      <c r="I55" s="65">
        <v>3111.66667</v>
      </c>
      <c r="J55" s="65"/>
      <c r="K55" s="65">
        <v>3113.33333</v>
      </c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</row>
    <row r="56" spans="2:63" s="62" customFormat="1" ht="12.75">
      <c r="B56" s="16" t="s">
        <v>84</v>
      </c>
      <c r="C56" s="16"/>
      <c r="D56" s="16" t="s">
        <v>18</v>
      </c>
      <c r="G56" s="65">
        <v>16</v>
      </c>
      <c r="H56" s="65"/>
      <c r="I56" s="65">
        <v>16.2</v>
      </c>
      <c r="J56" s="65"/>
      <c r="K56" s="65">
        <v>16</v>
      </c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</row>
    <row r="57" spans="2:63" s="62" customFormat="1" ht="12.75">
      <c r="B57" s="16" t="s">
        <v>85</v>
      </c>
      <c r="C57" s="16"/>
      <c r="D57" s="16" t="s">
        <v>18</v>
      </c>
      <c r="G57" s="65">
        <v>5.3</v>
      </c>
      <c r="H57" s="65"/>
      <c r="I57" s="65">
        <v>5.3</v>
      </c>
      <c r="J57" s="65"/>
      <c r="K57" s="65">
        <v>5.2</v>
      </c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</row>
    <row r="58" spans="2:63" s="62" customFormat="1" ht="12.75">
      <c r="B58" s="16" t="s">
        <v>81</v>
      </c>
      <c r="C58" s="16"/>
      <c r="D58" s="16" t="s">
        <v>19</v>
      </c>
      <c r="G58" s="65">
        <v>232</v>
      </c>
      <c r="H58" s="65"/>
      <c r="I58" s="65">
        <v>235</v>
      </c>
      <c r="J58" s="65"/>
      <c r="K58" s="65">
        <v>238</v>
      </c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</row>
    <row r="60" spans="2:13" ht="12.75">
      <c r="B60" s="8" t="s">
        <v>118</v>
      </c>
      <c r="G60" s="71" t="s">
        <v>104</v>
      </c>
      <c r="H60" s="71"/>
      <c r="I60" s="71" t="s">
        <v>105</v>
      </c>
      <c r="J60" s="71"/>
      <c r="K60" s="71" t="s">
        <v>106</v>
      </c>
      <c r="L60" s="71"/>
      <c r="M60" s="71" t="s">
        <v>47</v>
      </c>
    </row>
    <row r="61" spans="6:23" s="62" customFormat="1" ht="12.75">
      <c r="F61" s="63"/>
      <c r="G61" s="65"/>
      <c r="H61" s="65"/>
      <c r="I61" s="65"/>
      <c r="J61" s="65"/>
      <c r="K61" s="65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</row>
    <row r="62" spans="1:24" s="62" customFormat="1" ht="12.75">
      <c r="A62" s="62" t="s">
        <v>118</v>
      </c>
      <c r="B62" s="62" t="s">
        <v>13</v>
      </c>
      <c r="C62" s="62" t="s">
        <v>242</v>
      </c>
      <c r="D62" s="62" t="s">
        <v>14</v>
      </c>
      <c r="E62" s="62" t="s">
        <v>15</v>
      </c>
      <c r="F62" s="63" t="s">
        <v>179</v>
      </c>
      <c r="G62" s="64">
        <v>0.0422804194176</v>
      </c>
      <c r="H62" s="64" t="s">
        <v>179</v>
      </c>
      <c r="I62" s="64">
        <v>0.0495604916352</v>
      </c>
      <c r="J62" s="64" t="s">
        <v>179</v>
      </c>
      <c r="K62" s="64">
        <v>0.039159437817916</v>
      </c>
      <c r="L62" s="64" t="s">
        <v>179</v>
      </c>
      <c r="M62" s="64">
        <f>AVERAGE(G62,I62,K62)</f>
        <v>0.04366678295690534</v>
      </c>
      <c r="N62" s="64" t="s">
        <v>179</v>
      </c>
      <c r="O62" s="64"/>
      <c r="P62" s="64" t="s">
        <v>179</v>
      </c>
      <c r="Q62" s="64"/>
      <c r="R62" s="64" t="s">
        <v>179</v>
      </c>
      <c r="S62" s="64"/>
      <c r="T62" s="64" t="s">
        <v>179</v>
      </c>
      <c r="U62" s="64"/>
      <c r="V62" s="63" t="s">
        <v>179</v>
      </c>
      <c r="W62" s="63"/>
      <c r="X62" s="62">
        <v>0.04366678295690533</v>
      </c>
    </row>
    <row r="63" spans="1:24" s="62" customFormat="1" ht="12.75">
      <c r="A63" s="62" t="s">
        <v>118</v>
      </c>
      <c r="B63" s="62" t="s">
        <v>86</v>
      </c>
      <c r="C63" s="62" t="s">
        <v>242</v>
      </c>
      <c r="D63" s="62" t="s">
        <v>16</v>
      </c>
      <c r="E63" s="62" t="s">
        <v>15</v>
      </c>
      <c r="F63" s="63" t="s">
        <v>179</v>
      </c>
      <c r="G63" s="65">
        <v>63.28</v>
      </c>
      <c r="H63" s="65" t="s">
        <v>179</v>
      </c>
      <c r="I63" s="65">
        <v>68.6</v>
      </c>
      <c r="J63" s="65" t="s">
        <v>179</v>
      </c>
      <c r="K63" s="65">
        <v>53.74771480804387</v>
      </c>
      <c r="L63" s="63" t="s">
        <v>179</v>
      </c>
      <c r="M63" s="65">
        <f>AVERAGE(G63,I63,K63)</f>
        <v>61.87590493601462</v>
      </c>
      <c r="N63" s="63" t="s">
        <v>179</v>
      </c>
      <c r="O63" s="63"/>
      <c r="P63" s="63" t="s">
        <v>179</v>
      </c>
      <c r="Q63" s="63"/>
      <c r="R63" s="63" t="s">
        <v>179</v>
      </c>
      <c r="S63" s="63"/>
      <c r="T63" s="63" t="s">
        <v>179</v>
      </c>
      <c r="U63" s="63"/>
      <c r="V63" s="63" t="s">
        <v>179</v>
      </c>
      <c r="W63" s="63"/>
      <c r="X63" s="62">
        <v>61.87590493601462</v>
      </c>
    </row>
    <row r="64" spans="1:24" s="62" customFormat="1" ht="12.75">
      <c r="A64" s="62" t="s">
        <v>118</v>
      </c>
      <c r="B64" s="62" t="s">
        <v>247</v>
      </c>
      <c r="C64" s="62" t="s">
        <v>242</v>
      </c>
      <c r="D64" s="62" t="s">
        <v>16</v>
      </c>
      <c r="E64" s="62" t="s">
        <v>15</v>
      </c>
      <c r="F64" s="63" t="s">
        <v>179</v>
      </c>
      <c r="G64" s="65">
        <v>16.8</v>
      </c>
      <c r="H64" s="65" t="s">
        <v>179</v>
      </c>
      <c r="I64" s="65">
        <v>16.52</v>
      </c>
      <c r="J64" s="65" t="s">
        <v>179</v>
      </c>
      <c r="K64" s="65">
        <v>19.963436928702</v>
      </c>
      <c r="L64" s="63" t="s">
        <v>179</v>
      </c>
      <c r="M64" s="65">
        <f>AVERAGE(G64,I64,K64)</f>
        <v>17.76114564290067</v>
      </c>
      <c r="N64" s="63" t="s">
        <v>179</v>
      </c>
      <c r="O64" s="63"/>
      <c r="P64" s="63" t="s">
        <v>179</v>
      </c>
      <c r="Q64" s="63"/>
      <c r="R64" s="63" t="s">
        <v>179</v>
      </c>
      <c r="S64" s="63"/>
      <c r="T64" s="63" t="s">
        <v>179</v>
      </c>
      <c r="U64" s="63"/>
      <c r="V64" s="63" t="s">
        <v>179</v>
      </c>
      <c r="W64" s="63"/>
      <c r="X64" s="62">
        <v>17.76114564290067</v>
      </c>
    </row>
    <row r="65" spans="1:24" s="62" customFormat="1" ht="12.75">
      <c r="A65" s="62" t="s">
        <v>118</v>
      </c>
      <c r="B65" s="62" t="s">
        <v>180</v>
      </c>
      <c r="D65" s="62" t="s">
        <v>55</v>
      </c>
      <c r="F65"/>
      <c r="G65" s="55">
        <v>0.00074</v>
      </c>
      <c r="H65"/>
      <c r="I65" s="55">
        <v>0.000682</v>
      </c>
      <c r="J65"/>
      <c r="K65" s="55">
        <v>0.000691</v>
      </c>
      <c r="L65" s="63" t="s">
        <v>179</v>
      </c>
      <c r="M65" s="63"/>
      <c r="N65" s="63" t="s">
        <v>179</v>
      </c>
      <c r="O65" s="63"/>
      <c r="P65" s="63" t="s">
        <v>179</v>
      </c>
      <c r="Q65" s="63"/>
      <c r="R65" s="63" t="s">
        <v>179</v>
      </c>
      <c r="S65" s="63"/>
      <c r="T65" s="63" t="s">
        <v>179</v>
      </c>
      <c r="U65" s="63"/>
      <c r="V65" s="63" t="s">
        <v>179</v>
      </c>
      <c r="W65" s="63"/>
      <c r="X65" s="62">
        <v>0</v>
      </c>
    </row>
    <row r="66" spans="1:24" s="62" customFormat="1" ht="12.75">
      <c r="A66" s="62" t="s">
        <v>118</v>
      </c>
      <c r="B66" s="62" t="s">
        <v>181</v>
      </c>
      <c r="D66" s="62" t="s">
        <v>55</v>
      </c>
      <c r="F66"/>
      <c r="G66" s="55">
        <v>2.87E-05</v>
      </c>
      <c r="H66"/>
      <c r="I66" s="55">
        <v>2.81E-05</v>
      </c>
      <c r="J66"/>
      <c r="K66" s="55">
        <v>2.78E-05</v>
      </c>
      <c r="L66" s="63" t="s">
        <v>179</v>
      </c>
      <c r="M66" s="63"/>
      <c r="N66" s="63" t="s">
        <v>179</v>
      </c>
      <c r="O66" s="63"/>
      <c r="P66" s="63" t="s">
        <v>179</v>
      </c>
      <c r="Q66" s="63"/>
      <c r="R66" s="63" t="s">
        <v>179</v>
      </c>
      <c r="S66" s="63"/>
      <c r="T66" s="63" t="s">
        <v>179</v>
      </c>
      <c r="U66" s="63"/>
      <c r="V66" s="63" t="s">
        <v>179</v>
      </c>
      <c r="W66" s="63"/>
      <c r="X66" s="62">
        <v>0</v>
      </c>
    </row>
    <row r="67" spans="1:24" s="62" customFormat="1" ht="12.75">
      <c r="A67" s="62" t="s">
        <v>118</v>
      </c>
      <c r="B67" s="62" t="s">
        <v>182</v>
      </c>
      <c r="D67" s="62" t="s">
        <v>55</v>
      </c>
      <c r="F67"/>
      <c r="G67" s="55">
        <v>0.00131</v>
      </c>
      <c r="H67"/>
      <c r="I67" s="55">
        <v>0.000889</v>
      </c>
      <c r="J67"/>
      <c r="K67" s="55">
        <v>0.00273</v>
      </c>
      <c r="L67" s="63" t="s">
        <v>179</v>
      </c>
      <c r="M67" s="63"/>
      <c r="N67" s="63" t="s">
        <v>179</v>
      </c>
      <c r="O67" s="63"/>
      <c r="P67" s="63" t="s">
        <v>179</v>
      </c>
      <c r="Q67" s="63"/>
      <c r="R67" s="63" t="s">
        <v>179</v>
      </c>
      <c r="S67" s="63"/>
      <c r="T67" s="63" t="s">
        <v>179</v>
      </c>
      <c r="U67" s="63"/>
      <c r="V67" s="63" t="s">
        <v>179</v>
      </c>
      <c r="W67" s="63"/>
      <c r="X67" s="62">
        <v>0</v>
      </c>
    </row>
    <row r="68" spans="1:24" s="62" customFormat="1" ht="12.75">
      <c r="A68" s="62" t="s">
        <v>118</v>
      </c>
      <c r="B68" s="62" t="s">
        <v>183</v>
      </c>
      <c r="D68" s="62" t="s">
        <v>55</v>
      </c>
      <c r="F68"/>
      <c r="G68" s="55">
        <v>5.56E-06</v>
      </c>
      <c r="H68"/>
      <c r="I68" s="55">
        <v>5.62E-06</v>
      </c>
      <c r="J68"/>
      <c r="K68" s="55">
        <v>5.57E-06</v>
      </c>
      <c r="L68" s="63" t="s">
        <v>179</v>
      </c>
      <c r="M68" s="63"/>
      <c r="N68" s="63" t="s">
        <v>179</v>
      </c>
      <c r="O68" s="63"/>
      <c r="P68" s="63" t="s">
        <v>179</v>
      </c>
      <c r="Q68" s="63"/>
      <c r="R68" s="63" t="s">
        <v>179</v>
      </c>
      <c r="S68" s="63"/>
      <c r="T68" s="63" t="s">
        <v>179</v>
      </c>
      <c r="U68" s="63"/>
      <c r="V68" s="63" t="s">
        <v>179</v>
      </c>
      <c r="W68" s="63"/>
      <c r="X68" s="62">
        <v>0</v>
      </c>
    </row>
    <row r="69" spans="1:24" s="62" customFormat="1" ht="12.75">
      <c r="A69" s="62" t="s">
        <v>118</v>
      </c>
      <c r="B69" s="62" t="s">
        <v>184</v>
      </c>
      <c r="D69" s="62" t="s">
        <v>55</v>
      </c>
      <c r="F69"/>
      <c r="G69" s="55">
        <v>0.000125</v>
      </c>
      <c r="H69"/>
      <c r="I69" s="55">
        <v>0.000157</v>
      </c>
      <c r="J69"/>
      <c r="K69" s="55">
        <v>9.13E-05</v>
      </c>
      <c r="L69" s="63" t="s">
        <v>179</v>
      </c>
      <c r="M69" s="63"/>
      <c r="N69" s="63" t="s">
        <v>179</v>
      </c>
      <c r="O69" s="63"/>
      <c r="P69" s="63" t="s">
        <v>179</v>
      </c>
      <c r="Q69" s="63"/>
      <c r="R69" s="63" t="s">
        <v>179</v>
      </c>
      <c r="S69" s="63"/>
      <c r="T69" s="63" t="s">
        <v>179</v>
      </c>
      <c r="U69" s="63"/>
      <c r="V69" s="63" t="s">
        <v>179</v>
      </c>
      <c r="W69" s="63"/>
      <c r="X69" s="62">
        <v>0</v>
      </c>
    </row>
    <row r="70" spans="1:24" s="62" customFormat="1" ht="12.75">
      <c r="A70" s="62" t="s">
        <v>118</v>
      </c>
      <c r="B70" s="62" t="s">
        <v>185</v>
      </c>
      <c r="D70" s="62" t="s">
        <v>55</v>
      </c>
      <c r="F70"/>
      <c r="G70" s="55">
        <v>4.17E-05</v>
      </c>
      <c r="H70"/>
      <c r="I70" s="55">
        <v>8.87E-05</v>
      </c>
      <c r="J70"/>
      <c r="K70" s="55">
        <v>0.000604</v>
      </c>
      <c r="L70" s="63" t="s">
        <v>179</v>
      </c>
      <c r="M70" s="63"/>
      <c r="N70" s="63" t="s">
        <v>179</v>
      </c>
      <c r="O70" s="63"/>
      <c r="P70" s="63" t="s">
        <v>179</v>
      </c>
      <c r="Q70" s="63"/>
      <c r="R70" s="63" t="s">
        <v>179</v>
      </c>
      <c r="S70" s="63"/>
      <c r="T70" s="63" t="s">
        <v>179</v>
      </c>
      <c r="U70" s="63"/>
      <c r="V70" s="63" t="s">
        <v>179</v>
      </c>
      <c r="W70" s="63"/>
      <c r="X70" s="62">
        <v>0</v>
      </c>
    </row>
    <row r="71" spans="1:24" s="62" customFormat="1" ht="12.75">
      <c r="A71" s="62" t="s">
        <v>118</v>
      </c>
      <c r="B71" s="62" t="s">
        <v>186</v>
      </c>
      <c r="D71" s="62" t="s">
        <v>55</v>
      </c>
      <c r="F71"/>
      <c r="G71" s="55">
        <v>0.00607</v>
      </c>
      <c r="H71"/>
      <c r="I71" s="55">
        <v>0.0107</v>
      </c>
      <c r="J71"/>
      <c r="K71" s="55">
        <v>0.00399</v>
      </c>
      <c r="L71" s="63" t="s">
        <v>179</v>
      </c>
      <c r="M71" s="63"/>
      <c r="N71" s="63" t="s">
        <v>179</v>
      </c>
      <c r="O71" s="63"/>
      <c r="P71" s="63" t="s">
        <v>179</v>
      </c>
      <c r="Q71" s="63"/>
      <c r="R71" s="63" t="s">
        <v>179</v>
      </c>
      <c r="S71" s="63"/>
      <c r="T71" s="63" t="s">
        <v>179</v>
      </c>
      <c r="U71" s="63"/>
      <c r="V71" s="63" t="s">
        <v>179</v>
      </c>
      <c r="W71" s="63"/>
      <c r="X71" s="62">
        <v>0</v>
      </c>
    </row>
    <row r="72" spans="1:24" s="62" customFormat="1" ht="12.75">
      <c r="A72" s="62" t="s">
        <v>118</v>
      </c>
      <c r="B72" s="62" t="s">
        <v>187</v>
      </c>
      <c r="D72" s="62" t="s">
        <v>55</v>
      </c>
      <c r="F72"/>
      <c r="G72" s="55">
        <v>4.04E-05</v>
      </c>
      <c r="H72"/>
      <c r="I72" s="55">
        <v>3.53E-05</v>
      </c>
      <c r="J72"/>
      <c r="K72" s="55">
        <v>0.000334</v>
      </c>
      <c r="L72" s="63" t="s">
        <v>179</v>
      </c>
      <c r="M72" s="63"/>
      <c r="N72" s="63" t="s">
        <v>179</v>
      </c>
      <c r="O72" s="63"/>
      <c r="P72" s="63" t="s">
        <v>179</v>
      </c>
      <c r="Q72" s="63"/>
      <c r="R72" s="63" t="s">
        <v>179</v>
      </c>
      <c r="S72" s="63"/>
      <c r="T72" s="63" t="s">
        <v>179</v>
      </c>
      <c r="U72" s="63"/>
      <c r="V72" s="63" t="s">
        <v>179</v>
      </c>
      <c r="W72" s="63"/>
      <c r="X72" s="62">
        <v>0</v>
      </c>
    </row>
    <row r="73" spans="1:24" s="62" customFormat="1" ht="12.75">
      <c r="A73" s="62" t="s">
        <v>118</v>
      </c>
      <c r="B73" s="62" t="s">
        <v>188</v>
      </c>
      <c r="D73" s="62" t="s">
        <v>55</v>
      </c>
      <c r="F73"/>
      <c r="G73" s="55">
        <v>5.73E-05</v>
      </c>
      <c r="H73"/>
      <c r="I73" s="55">
        <v>9.75E-05</v>
      </c>
      <c r="J73"/>
      <c r="K73" s="55">
        <v>5.57E-05</v>
      </c>
      <c r="L73" s="63" t="s">
        <v>179</v>
      </c>
      <c r="M73" s="63"/>
      <c r="N73" s="63" t="s">
        <v>179</v>
      </c>
      <c r="O73" s="63"/>
      <c r="P73" s="63" t="s">
        <v>179</v>
      </c>
      <c r="Q73" s="63"/>
      <c r="R73" s="63" t="s">
        <v>179</v>
      </c>
      <c r="S73" s="63"/>
      <c r="T73" s="63" t="s">
        <v>179</v>
      </c>
      <c r="U73" s="63"/>
      <c r="V73" s="63" t="s">
        <v>179</v>
      </c>
      <c r="W73" s="63"/>
      <c r="X73" s="62">
        <v>0</v>
      </c>
    </row>
    <row r="74" spans="1:24" s="62" customFormat="1" ht="12.75">
      <c r="A74" s="62" t="s">
        <v>118</v>
      </c>
      <c r="B74" s="62" t="s">
        <v>189</v>
      </c>
      <c r="D74" s="62" t="s">
        <v>55</v>
      </c>
      <c r="F74"/>
      <c r="G74" s="55">
        <v>5.56E-06</v>
      </c>
      <c r="H74"/>
      <c r="I74" s="55">
        <v>5.62E-06</v>
      </c>
      <c r="J74"/>
      <c r="K74" s="55">
        <v>5.57E-06</v>
      </c>
      <c r="L74" s="63" t="s">
        <v>179</v>
      </c>
      <c r="M74" s="63"/>
      <c r="N74" s="63" t="s">
        <v>179</v>
      </c>
      <c r="O74" s="63"/>
      <c r="P74" s="63" t="s">
        <v>179</v>
      </c>
      <c r="Q74" s="63"/>
      <c r="R74" s="63" t="s">
        <v>179</v>
      </c>
      <c r="S74" s="63"/>
      <c r="T74" s="63" t="s">
        <v>179</v>
      </c>
      <c r="U74" s="63"/>
      <c r="V74" s="63" t="s">
        <v>179</v>
      </c>
      <c r="W74" s="63"/>
      <c r="X74" s="62">
        <v>0</v>
      </c>
    </row>
    <row r="75" spans="6:23" s="62" customFormat="1" ht="12.75">
      <c r="F75" s="63"/>
      <c r="G75" s="65"/>
      <c r="H75" s="65"/>
      <c r="I75" s="65"/>
      <c r="J75" s="65"/>
      <c r="K75" s="65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</row>
    <row r="76" spans="2:23" s="62" customFormat="1" ht="12.75">
      <c r="B76" s="62" t="s">
        <v>87</v>
      </c>
      <c r="C76" s="62" t="s">
        <v>190</v>
      </c>
      <c r="D76" s="66" t="s">
        <v>241</v>
      </c>
      <c r="F76" s="63"/>
      <c r="G76" s="65"/>
      <c r="H76" s="65"/>
      <c r="I76" s="65"/>
      <c r="J76" s="65"/>
      <c r="K76" s="65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</row>
    <row r="77" spans="2:63" s="62" customFormat="1" ht="12.75">
      <c r="B77" s="16" t="s">
        <v>82</v>
      </c>
      <c r="C77" s="16"/>
      <c r="D77" s="16" t="s">
        <v>17</v>
      </c>
      <c r="G77" s="65">
        <v>5176</v>
      </c>
      <c r="H77" s="65"/>
      <c r="I77" s="65">
        <v>5280</v>
      </c>
      <c r="J77" s="65"/>
      <c r="K77" s="65">
        <v>5056</v>
      </c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</row>
    <row r="78" spans="2:63" s="62" customFormat="1" ht="12.75">
      <c r="B78" s="16" t="s">
        <v>84</v>
      </c>
      <c r="C78" s="16"/>
      <c r="D78" s="16" t="s">
        <v>18</v>
      </c>
      <c r="G78" s="65">
        <v>16</v>
      </c>
      <c r="H78" s="65"/>
      <c r="I78" s="65">
        <v>16</v>
      </c>
      <c r="J78" s="65"/>
      <c r="K78" s="65">
        <v>15.53</v>
      </c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</row>
    <row r="79" spans="1:63" s="62" customFormat="1" ht="12.75">
      <c r="A79" s="62" t="s">
        <v>118</v>
      </c>
      <c r="B79" s="16" t="s">
        <v>85</v>
      </c>
      <c r="C79" s="16"/>
      <c r="D79" s="16" t="s">
        <v>18</v>
      </c>
      <c r="G79" s="65">
        <v>4</v>
      </c>
      <c r="H79" s="65"/>
      <c r="I79" s="65">
        <v>4</v>
      </c>
      <c r="J79" s="65"/>
      <c r="K79" s="65">
        <v>4.5</v>
      </c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65"/>
      <c r="BF79" s="65"/>
      <c r="BG79" s="65"/>
      <c r="BH79" s="65"/>
      <c r="BI79" s="65"/>
      <c r="BJ79" s="65"/>
      <c r="BK79" s="65"/>
    </row>
    <row r="80" spans="2:63" s="62" customFormat="1" ht="12.75">
      <c r="B80" s="16" t="s">
        <v>81</v>
      </c>
      <c r="C80" s="16"/>
      <c r="D80" s="16" t="s">
        <v>19</v>
      </c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5"/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N80" s="65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</row>
    <row r="81" spans="7:63" s="62" customFormat="1" ht="12.75"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  <c r="BH81" s="65"/>
      <c r="BI81" s="65"/>
      <c r="BJ81" s="65"/>
      <c r="BK81" s="65"/>
    </row>
    <row r="82" spans="2:63" s="62" customFormat="1" ht="12.75">
      <c r="B82" s="62" t="s">
        <v>87</v>
      </c>
      <c r="C82" s="62" t="s">
        <v>191</v>
      </c>
      <c r="D82" s="66" t="s">
        <v>242</v>
      </c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</row>
    <row r="83" spans="2:63" s="62" customFormat="1" ht="12.75">
      <c r="B83" s="16" t="s">
        <v>82</v>
      </c>
      <c r="C83" s="16"/>
      <c r="D83" s="16" t="s">
        <v>17</v>
      </c>
      <c r="G83" s="65">
        <v>5140</v>
      </c>
      <c r="H83" s="65"/>
      <c r="I83" s="65">
        <v>5152</v>
      </c>
      <c r="J83" s="65"/>
      <c r="K83" s="65">
        <v>4940</v>
      </c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  <c r="AT83" s="65"/>
      <c r="AU83" s="65"/>
      <c r="AV83" s="65"/>
      <c r="AW83" s="65"/>
      <c r="AX83" s="65"/>
      <c r="AY83" s="65"/>
      <c r="AZ83" s="65"/>
      <c r="BA83" s="65"/>
      <c r="BB83" s="65"/>
      <c r="BC83" s="65"/>
      <c r="BD83" s="65"/>
      <c r="BE83" s="65"/>
      <c r="BF83" s="65"/>
      <c r="BG83" s="65"/>
      <c r="BH83" s="65"/>
      <c r="BI83" s="65"/>
      <c r="BJ83" s="65"/>
      <c r="BK83" s="65"/>
    </row>
    <row r="84" spans="2:63" s="62" customFormat="1" ht="12.75">
      <c r="B84" s="16" t="s">
        <v>84</v>
      </c>
      <c r="C84" s="16"/>
      <c r="D84" s="16" t="s">
        <v>18</v>
      </c>
      <c r="G84" s="65">
        <v>16</v>
      </c>
      <c r="H84" s="65"/>
      <c r="I84" s="65">
        <v>16</v>
      </c>
      <c r="J84" s="65"/>
      <c r="K84" s="65">
        <v>15.53</v>
      </c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</row>
    <row r="85" spans="2:63" s="62" customFormat="1" ht="12.75">
      <c r="B85" s="16" t="s">
        <v>85</v>
      </c>
      <c r="C85" s="16"/>
      <c r="D85" s="16" t="s">
        <v>18</v>
      </c>
      <c r="G85" s="65">
        <v>3.9</v>
      </c>
      <c r="H85" s="65"/>
      <c r="I85" s="65">
        <v>3.9</v>
      </c>
      <c r="J85" s="65"/>
      <c r="K85" s="65">
        <v>4.6</v>
      </c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5"/>
      <c r="AT85" s="65"/>
      <c r="AU85" s="65"/>
      <c r="AV85" s="65"/>
      <c r="AW85" s="65"/>
      <c r="AX85" s="65"/>
      <c r="AY85" s="65"/>
      <c r="AZ85" s="65"/>
      <c r="BA85" s="65"/>
      <c r="BB85" s="65"/>
      <c r="BC85" s="65"/>
      <c r="BD85" s="65"/>
      <c r="BE85" s="65"/>
      <c r="BF85" s="65"/>
      <c r="BG85" s="65"/>
      <c r="BH85" s="65"/>
      <c r="BI85" s="65"/>
      <c r="BJ85" s="65"/>
      <c r="BK85" s="65"/>
    </row>
    <row r="86" spans="2:63" s="62" customFormat="1" ht="12.75">
      <c r="B86" s="16" t="s">
        <v>81</v>
      </c>
      <c r="C86" s="16"/>
      <c r="D86" s="16" t="s">
        <v>19</v>
      </c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</row>
    <row r="88" spans="2:13" ht="12.75">
      <c r="B88" s="62" t="s">
        <v>180</v>
      </c>
      <c r="C88" s="66" t="s">
        <v>241</v>
      </c>
      <c r="D88" t="s">
        <v>60</v>
      </c>
      <c r="E88" t="s">
        <v>15</v>
      </c>
      <c r="G88" s="6">
        <f aca="true" t="shared" si="2" ref="G88:G97">G65*454/60*1/(G$77*0.0283)*1000000*(21-7)/(21-G$78)</f>
        <v>107.03200237391749</v>
      </c>
      <c r="H88" s="6"/>
      <c r="I88" s="6">
        <f aca="true" t="shared" si="3" ref="I88:I97">I65*454/60*1/(I$77*0.0283)*1000000*(21-7)/(21-I$78)</f>
        <v>96.70003926187673</v>
      </c>
      <c r="J88" s="6"/>
      <c r="K88" s="6">
        <f aca="true" t="shared" si="4" ref="K88:K97">K65*454/60*1/(K$77*0.0283)*1000000*(21-7)/(21-K$78)</f>
        <v>93.5254611766837</v>
      </c>
      <c r="L88" s="6"/>
      <c r="M88" s="6">
        <f aca="true" t="shared" si="5" ref="M88:M94">AVERAGE(G88,I88,K88)</f>
        <v>99.08583427082597</v>
      </c>
    </row>
    <row r="89" spans="2:13" ht="12.75">
      <c r="B89" s="62" t="s">
        <v>181</v>
      </c>
      <c r="C89" s="66" t="s">
        <v>241</v>
      </c>
      <c r="D89" t="s">
        <v>60</v>
      </c>
      <c r="E89" t="s">
        <v>15</v>
      </c>
      <c r="G89" s="6">
        <f t="shared" si="2"/>
        <v>4.151106038015449</v>
      </c>
      <c r="H89" s="6"/>
      <c r="I89" s="6">
        <f t="shared" si="3"/>
        <v>3.9842684798515187</v>
      </c>
      <c r="J89" s="6"/>
      <c r="K89" s="6">
        <f t="shared" si="4"/>
        <v>3.76267412548742</v>
      </c>
      <c r="L89" s="6"/>
      <c r="M89" s="6">
        <f t="shared" si="5"/>
        <v>3.9660162144514626</v>
      </c>
    </row>
    <row r="90" spans="2:13" ht="12.75">
      <c r="B90" s="62" t="s">
        <v>182</v>
      </c>
      <c r="C90" s="66" t="s">
        <v>241</v>
      </c>
      <c r="D90" t="s">
        <v>60</v>
      </c>
      <c r="E90" t="s">
        <v>15</v>
      </c>
      <c r="G90" s="6">
        <f t="shared" si="2"/>
        <v>189.4755717700431</v>
      </c>
      <c r="H90" s="6"/>
      <c r="I90" s="6">
        <f t="shared" si="3"/>
        <v>126.05034443373665</v>
      </c>
      <c r="J90" s="6"/>
      <c r="K90" s="6">
        <f t="shared" si="4"/>
        <v>369.50001304246956</v>
      </c>
      <c r="L90" s="6"/>
      <c r="M90" s="6">
        <f t="shared" si="5"/>
        <v>228.3419764154164</v>
      </c>
    </row>
    <row r="91" spans="2:13" ht="12.75">
      <c r="B91" s="62" t="s">
        <v>183</v>
      </c>
      <c r="C91" s="66" t="s">
        <v>241</v>
      </c>
      <c r="D91" t="s">
        <v>60</v>
      </c>
      <c r="E91" t="s">
        <v>15</v>
      </c>
      <c r="G91" s="6">
        <f t="shared" si="2"/>
        <v>0.8041863962148396</v>
      </c>
      <c r="H91" s="6"/>
      <c r="I91" s="6">
        <f t="shared" si="3"/>
        <v>0.7968536959703039</v>
      </c>
      <c r="J91" s="6"/>
      <c r="K91" s="6">
        <f t="shared" si="4"/>
        <v>0.7538883049987383</v>
      </c>
      <c r="L91" s="6"/>
      <c r="M91" s="6">
        <f t="shared" si="5"/>
        <v>0.7849761323946272</v>
      </c>
    </row>
    <row r="92" spans="2:13" ht="12.75">
      <c r="B92" s="62" t="s">
        <v>184</v>
      </c>
      <c r="C92" s="66" t="s">
        <v>241</v>
      </c>
      <c r="D92" t="s">
        <v>60</v>
      </c>
      <c r="E92" t="s">
        <v>15</v>
      </c>
      <c r="G92" s="6">
        <f t="shared" si="2"/>
        <v>18.07973013072931</v>
      </c>
      <c r="H92" s="6"/>
      <c r="I92" s="6">
        <f t="shared" si="3"/>
        <v>22.260859478173963</v>
      </c>
      <c r="J92" s="6"/>
      <c r="K92" s="6">
        <f t="shared" si="4"/>
        <v>12.357271498453288</v>
      </c>
      <c r="L92" s="6"/>
      <c r="M92" s="6">
        <f t="shared" si="5"/>
        <v>17.565953702452187</v>
      </c>
    </row>
    <row r="93" spans="2:13" ht="12.75">
      <c r="B93" s="62" t="s">
        <v>185</v>
      </c>
      <c r="C93" s="66" t="s">
        <v>241</v>
      </c>
      <c r="D93" t="s">
        <v>60</v>
      </c>
      <c r="E93" t="s">
        <v>15</v>
      </c>
      <c r="G93" s="6">
        <f t="shared" si="2"/>
        <v>6.031397971611296</v>
      </c>
      <c r="H93" s="6"/>
      <c r="I93" s="6">
        <f t="shared" si="3"/>
        <v>12.576676660598922</v>
      </c>
      <c r="J93" s="6"/>
      <c r="K93" s="6">
        <f t="shared" si="4"/>
        <v>81.75018603576984</v>
      </c>
      <c r="L93" s="6"/>
      <c r="M93" s="6">
        <f t="shared" si="5"/>
        <v>33.452753555993354</v>
      </c>
    </row>
    <row r="94" spans="2:13" ht="12.75">
      <c r="B94" s="62" t="s">
        <v>186</v>
      </c>
      <c r="C94" s="66" t="s">
        <v>241</v>
      </c>
      <c r="D94" t="s">
        <v>60</v>
      </c>
      <c r="E94" t="s">
        <v>15</v>
      </c>
      <c r="G94" s="6">
        <f t="shared" si="2"/>
        <v>877.9516951482152</v>
      </c>
      <c r="H94" s="6"/>
      <c r="I94" s="6">
        <f t="shared" si="3"/>
        <v>1517.1413784487988</v>
      </c>
      <c r="J94" s="6"/>
      <c r="K94" s="6">
        <f t="shared" si="4"/>
        <v>540.0384806005325</v>
      </c>
      <c r="L94" s="6"/>
      <c r="M94" s="6">
        <f t="shared" si="5"/>
        <v>978.3771847325155</v>
      </c>
    </row>
    <row r="95" spans="2:13" ht="12.75">
      <c r="B95" s="62" t="s">
        <v>187</v>
      </c>
      <c r="C95" s="66" t="s">
        <v>241</v>
      </c>
      <c r="D95" t="s">
        <v>60</v>
      </c>
      <c r="E95" t="s">
        <v>15</v>
      </c>
      <c r="G95" s="6">
        <f t="shared" si="2"/>
        <v>5.843368778251712</v>
      </c>
      <c r="H95" s="6"/>
      <c r="I95" s="6">
        <f t="shared" si="3"/>
        <v>5.005148659742298</v>
      </c>
      <c r="J95" s="6"/>
      <c r="K95" s="6">
        <f t="shared" si="4"/>
        <v>45.20622870189921</v>
      </c>
      <c r="L95" s="6"/>
      <c r="M95" s="6">
        <f>AVERAGE(G95,I95,K95)</f>
        <v>18.684915379964405</v>
      </c>
    </row>
    <row r="96" spans="2:13" ht="12.75">
      <c r="B96" s="62" t="s">
        <v>188</v>
      </c>
      <c r="C96" s="66" t="s">
        <v>241</v>
      </c>
      <c r="D96" t="s">
        <v>60</v>
      </c>
      <c r="E96" t="s">
        <v>15</v>
      </c>
      <c r="G96" s="6">
        <f t="shared" si="2"/>
        <v>8.287748291926315</v>
      </c>
      <c r="H96" s="6"/>
      <c r="I96" s="6">
        <f t="shared" si="3"/>
        <v>13.824419102687653</v>
      </c>
      <c r="J96" s="6"/>
      <c r="K96" s="6">
        <f t="shared" si="4"/>
        <v>7.5388830499873825</v>
      </c>
      <c r="L96" s="6"/>
      <c r="M96" s="6">
        <f>AVERAGE(G96,I96,K96)</f>
        <v>9.883683481533785</v>
      </c>
    </row>
    <row r="97" spans="2:13" ht="12.75">
      <c r="B97" s="62" t="s">
        <v>189</v>
      </c>
      <c r="C97" s="66" t="s">
        <v>241</v>
      </c>
      <c r="D97" t="s">
        <v>60</v>
      </c>
      <c r="E97" t="s">
        <v>15</v>
      </c>
      <c r="G97" s="6">
        <f t="shared" si="2"/>
        <v>0.8041863962148396</v>
      </c>
      <c r="H97" s="6"/>
      <c r="I97" s="6">
        <f t="shared" si="3"/>
        <v>0.7968536959703039</v>
      </c>
      <c r="J97" s="6"/>
      <c r="K97" s="6">
        <f t="shared" si="4"/>
        <v>0.7538883049987383</v>
      </c>
      <c r="L97" s="6"/>
      <c r="M97" s="6">
        <f>AVERAGE(G97,I97,K97)</f>
        <v>0.7849761323946272</v>
      </c>
    </row>
    <row r="98" spans="2:13" ht="12.75">
      <c r="B98" s="66" t="s">
        <v>61</v>
      </c>
      <c r="C98" s="66" t="s">
        <v>241</v>
      </c>
      <c r="D98" t="s">
        <v>60</v>
      </c>
      <c r="E98" t="s">
        <v>15</v>
      </c>
      <c r="G98" s="6">
        <f>G94+G92</f>
        <v>896.0314252789445</v>
      </c>
      <c r="H98" s="6"/>
      <c r="I98" s="6">
        <f>I94+I92</f>
        <v>1539.4022379269727</v>
      </c>
      <c r="J98" s="6"/>
      <c r="K98" s="6">
        <f>K94+K92</f>
        <v>552.3957520989858</v>
      </c>
      <c r="L98" s="6"/>
      <c r="M98" s="6">
        <f>AVERAGE(G98,I98,K98)</f>
        <v>995.9431384349676</v>
      </c>
    </row>
    <row r="99" spans="2:13" ht="12.75">
      <c r="B99" s="66" t="s">
        <v>62</v>
      </c>
      <c r="C99" s="66" t="s">
        <v>241</v>
      </c>
      <c r="D99" t="s">
        <v>60</v>
      </c>
      <c r="E99" t="s">
        <v>15</v>
      </c>
      <c r="G99" s="6">
        <f>G89+G91+G93</f>
        <v>10.986690405841586</v>
      </c>
      <c r="H99" s="6"/>
      <c r="I99" s="6">
        <f>I89+I91+I93</f>
        <v>17.357798836420745</v>
      </c>
      <c r="J99" s="6"/>
      <c r="K99" s="6">
        <f>K89+K91+K93</f>
        <v>86.266748466256</v>
      </c>
      <c r="L99" s="6"/>
      <c r="M99" s="6">
        <f>AVERAGE(G99,I99,K99)</f>
        <v>38.203745902839444</v>
      </c>
    </row>
    <row r="100" spans="2:13" ht="12.75">
      <c r="B100" s="66"/>
      <c r="C100" s="66"/>
      <c r="G100" s="6"/>
      <c r="I100" s="6"/>
      <c r="K100" s="6"/>
      <c r="M100" s="72"/>
    </row>
    <row r="101" spans="2:13" ht="12.75">
      <c r="B101" s="8" t="s">
        <v>173</v>
      </c>
      <c r="G101" s="71" t="s">
        <v>104</v>
      </c>
      <c r="H101" s="71"/>
      <c r="I101" s="71" t="s">
        <v>105</v>
      </c>
      <c r="J101" s="71"/>
      <c r="K101" s="71" t="s">
        <v>106</v>
      </c>
      <c r="L101" s="71"/>
      <c r="M101" s="71" t="s">
        <v>47</v>
      </c>
    </row>
    <row r="102" spans="6:23" s="62" customFormat="1" ht="12.75">
      <c r="F102" s="63"/>
      <c r="G102" s="65"/>
      <c r="H102" s="65"/>
      <c r="I102" s="65"/>
      <c r="J102" s="65"/>
      <c r="K102" s="65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</row>
    <row r="103" spans="1:24" s="62" customFormat="1" ht="12.75">
      <c r="A103" s="62" t="s">
        <v>173</v>
      </c>
      <c r="B103" s="62" t="s">
        <v>13</v>
      </c>
      <c r="C103" s="62" t="s">
        <v>242</v>
      </c>
      <c r="D103" s="62" t="s">
        <v>14</v>
      </c>
      <c r="E103" s="62" t="s">
        <v>15</v>
      </c>
      <c r="F103" s="63" t="s">
        <v>179</v>
      </c>
      <c r="G103" s="64">
        <v>0.05324437605369129</v>
      </c>
      <c r="H103" s="64" t="s">
        <v>179</v>
      </c>
      <c r="I103" s="64">
        <v>0.0612506076</v>
      </c>
      <c r="J103" s="64" t="s">
        <v>179</v>
      </c>
      <c r="K103" s="64">
        <v>0.0525005208</v>
      </c>
      <c r="L103" s="64" t="s">
        <v>179</v>
      </c>
      <c r="M103" s="64">
        <f>AVERAGE(G103,I103,K103)</f>
        <v>0.05566516815123043</v>
      </c>
      <c r="N103" s="64" t="s">
        <v>179</v>
      </c>
      <c r="O103" s="64"/>
      <c r="P103" s="64" t="s">
        <v>179</v>
      </c>
      <c r="Q103" s="64"/>
      <c r="R103" s="64" t="s">
        <v>179</v>
      </c>
      <c r="S103" s="64"/>
      <c r="T103" s="64" t="s">
        <v>179</v>
      </c>
      <c r="U103" s="64"/>
      <c r="V103" s="63" t="s">
        <v>179</v>
      </c>
      <c r="W103" s="63"/>
      <c r="X103" s="62">
        <v>0.05566516815123043</v>
      </c>
    </row>
    <row r="104" spans="1:24" s="62" customFormat="1" ht="12.75">
      <c r="A104" s="62" t="s">
        <v>173</v>
      </c>
      <c r="B104" s="62" t="s">
        <v>86</v>
      </c>
      <c r="C104" s="62" t="s">
        <v>242</v>
      </c>
      <c r="D104" s="62" t="s">
        <v>16</v>
      </c>
      <c r="E104" s="62" t="s">
        <v>15</v>
      </c>
      <c r="F104" s="63" t="s">
        <v>179</v>
      </c>
      <c r="G104" s="65">
        <v>51.05145413870248</v>
      </c>
      <c r="H104" s="65" t="s">
        <v>179</v>
      </c>
      <c r="I104" s="65">
        <v>35.58333333333332</v>
      </c>
      <c r="J104" s="65" t="s">
        <v>179</v>
      </c>
      <c r="K104" s="65">
        <v>31.208333333333325</v>
      </c>
      <c r="L104" s="63" t="s">
        <v>179</v>
      </c>
      <c r="M104" s="65">
        <f>AVERAGE(G104,I104,K104)</f>
        <v>39.28104026845638</v>
      </c>
      <c r="N104" s="63" t="s">
        <v>179</v>
      </c>
      <c r="O104" s="63"/>
      <c r="P104" s="63" t="s">
        <v>179</v>
      </c>
      <c r="Q104" s="63"/>
      <c r="R104" s="63" t="s">
        <v>179</v>
      </c>
      <c r="S104" s="63"/>
      <c r="T104" s="63" t="s">
        <v>179</v>
      </c>
      <c r="U104" s="63"/>
      <c r="V104" s="63" t="s">
        <v>179</v>
      </c>
      <c r="W104" s="63"/>
      <c r="X104" s="62">
        <v>39.28104026845637</v>
      </c>
    </row>
    <row r="105" spans="1:24" s="62" customFormat="1" ht="12.75">
      <c r="A105" s="62" t="s">
        <v>173</v>
      </c>
      <c r="B105" s="62" t="s">
        <v>247</v>
      </c>
      <c r="C105" s="62" t="s">
        <v>242</v>
      </c>
      <c r="D105" s="62" t="s">
        <v>16</v>
      </c>
      <c r="E105" s="62" t="s">
        <v>15</v>
      </c>
      <c r="F105" s="63" t="s">
        <v>179</v>
      </c>
      <c r="G105" s="65">
        <v>18.478747203579427</v>
      </c>
      <c r="H105" s="65" t="s">
        <v>179</v>
      </c>
      <c r="I105" s="65">
        <v>18.08333333333333</v>
      </c>
      <c r="J105" s="65" t="s">
        <v>179</v>
      </c>
      <c r="K105" s="65">
        <v>15.166666666666666</v>
      </c>
      <c r="L105" s="63" t="s">
        <v>179</v>
      </c>
      <c r="M105" s="65">
        <f>AVERAGE(G105,I105,K105)</f>
        <v>17.242915734526473</v>
      </c>
      <c r="N105" s="63" t="s">
        <v>179</v>
      </c>
      <c r="O105" s="63"/>
      <c r="P105" s="63" t="s">
        <v>179</v>
      </c>
      <c r="Q105" s="63"/>
      <c r="R105" s="63" t="s">
        <v>179</v>
      </c>
      <c r="S105" s="63"/>
      <c r="T105" s="63" t="s">
        <v>179</v>
      </c>
      <c r="U105" s="63"/>
      <c r="V105" s="63" t="s">
        <v>179</v>
      </c>
      <c r="W105" s="63"/>
      <c r="X105" s="62">
        <v>17.242915734526473</v>
      </c>
    </row>
    <row r="106" spans="1:24" s="62" customFormat="1" ht="12.75">
      <c r="A106" s="62" t="s">
        <v>173</v>
      </c>
      <c r="B106" s="62" t="s">
        <v>180</v>
      </c>
      <c r="D106" s="62" t="s">
        <v>55</v>
      </c>
      <c r="E106" s="62" t="s">
        <v>15</v>
      </c>
      <c r="F106" s="63" t="s">
        <v>179</v>
      </c>
      <c r="G106" s="73">
        <v>0.00069</v>
      </c>
      <c r="H106" s="65"/>
      <c r="I106" s="73">
        <v>0.000877</v>
      </c>
      <c r="J106" s="65"/>
      <c r="K106" s="73">
        <v>0.000665</v>
      </c>
      <c r="L106" s="63" t="s">
        <v>179</v>
      </c>
      <c r="M106" s="63"/>
      <c r="N106" s="63" t="s">
        <v>179</v>
      </c>
      <c r="O106" s="63"/>
      <c r="P106" s="63" t="s">
        <v>179</v>
      </c>
      <c r="Q106" s="63"/>
      <c r="R106" s="63" t="s">
        <v>179</v>
      </c>
      <c r="S106" s="63"/>
      <c r="T106" s="63" t="s">
        <v>179</v>
      </c>
      <c r="U106" s="63"/>
      <c r="V106" s="63" t="s">
        <v>179</v>
      </c>
      <c r="W106" s="63"/>
      <c r="X106" s="62">
        <v>0</v>
      </c>
    </row>
    <row r="107" spans="1:24" s="62" customFormat="1" ht="12.75">
      <c r="A107" s="62" t="s">
        <v>173</v>
      </c>
      <c r="B107" s="62" t="s">
        <v>181</v>
      </c>
      <c r="D107" s="62" t="s">
        <v>55</v>
      </c>
      <c r="E107" s="62" t="s">
        <v>15</v>
      </c>
      <c r="F107" s="63" t="s">
        <v>179</v>
      </c>
      <c r="G107" s="73">
        <v>2.76E-05</v>
      </c>
      <c r="H107" s="65"/>
      <c r="I107" s="73">
        <v>2.75E-05</v>
      </c>
      <c r="J107" s="65"/>
      <c r="K107" s="73">
        <v>2.79E-05</v>
      </c>
      <c r="L107" s="63" t="s">
        <v>179</v>
      </c>
      <c r="M107" s="63"/>
      <c r="N107" s="63" t="s">
        <v>179</v>
      </c>
      <c r="O107" s="63"/>
      <c r="P107" s="63" t="s">
        <v>179</v>
      </c>
      <c r="Q107" s="63"/>
      <c r="R107" s="63" t="s">
        <v>179</v>
      </c>
      <c r="S107" s="63"/>
      <c r="T107" s="63" t="s">
        <v>179</v>
      </c>
      <c r="U107" s="63"/>
      <c r="V107" s="63" t="s">
        <v>179</v>
      </c>
      <c r="W107" s="63"/>
      <c r="X107" s="62">
        <v>0</v>
      </c>
    </row>
    <row r="108" spans="1:24" s="62" customFormat="1" ht="12.75">
      <c r="A108" s="62" t="s">
        <v>173</v>
      </c>
      <c r="B108" s="62" t="s">
        <v>182</v>
      </c>
      <c r="D108" s="62" t="s">
        <v>55</v>
      </c>
      <c r="E108" s="62" t="s">
        <v>15</v>
      </c>
      <c r="F108" s="63"/>
      <c r="G108" s="73">
        <v>0.00076</v>
      </c>
      <c r="H108" s="65"/>
      <c r="I108" s="73">
        <v>0.00101</v>
      </c>
      <c r="J108" s="65"/>
      <c r="K108" s="73">
        <v>0.00133</v>
      </c>
      <c r="L108" s="63" t="s">
        <v>179</v>
      </c>
      <c r="M108" s="63"/>
      <c r="N108" s="63" t="s">
        <v>179</v>
      </c>
      <c r="O108" s="63"/>
      <c r="P108" s="63" t="s">
        <v>179</v>
      </c>
      <c r="Q108" s="63"/>
      <c r="R108" s="63" t="s">
        <v>179</v>
      </c>
      <c r="S108" s="63"/>
      <c r="T108" s="63" t="s">
        <v>179</v>
      </c>
      <c r="U108" s="63"/>
      <c r="V108" s="63" t="s">
        <v>179</v>
      </c>
      <c r="W108" s="63"/>
      <c r="X108" s="62">
        <v>0</v>
      </c>
    </row>
    <row r="109" spans="1:24" s="62" customFormat="1" ht="12.75">
      <c r="A109" s="62" t="s">
        <v>173</v>
      </c>
      <c r="B109" s="62" t="s">
        <v>183</v>
      </c>
      <c r="D109" s="62" t="s">
        <v>55</v>
      </c>
      <c r="E109" s="62" t="s">
        <v>15</v>
      </c>
      <c r="F109" s="63" t="s">
        <v>179</v>
      </c>
      <c r="G109" s="73">
        <v>5.51E-06</v>
      </c>
      <c r="H109" s="65"/>
      <c r="I109" s="73">
        <v>5.58E-06</v>
      </c>
      <c r="J109" s="65"/>
      <c r="K109" s="73">
        <v>5.57E-06</v>
      </c>
      <c r="L109" s="63" t="s">
        <v>179</v>
      </c>
      <c r="M109" s="63"/>
      <c r="N109" s="63" t="s">
        <v>179</v>
      </c>
      <c r="O109" s="63"/>
      <c r="P109" s="63" t="s">
        <v>179</v>
      </c>
      <c r="Q109" s="63"/>
      <c r="R109" s="63" t="s">
        <v>179</v>
      </c>
      <c r="S109" s="63"/>
      <c r="T109" s="63" t="s">
        <v>179</v>
      </c>
      <c r="U109" s="63"/>
      <c r="V109" s="63" t="s">
        <v>179</v>
      </c>
      <c r="W109" s="63"/>
      <c r="X109" s="62">
        <v>0</v>
      </c>
    </row>
    <row r="110" spans="1:24" s="62" customFormat="1" ht="12.75">
      <c r="A110" s="62" t="s">
        <v>173</v>
      </c>
      <c r="B110" s="62" t="s">
        <v>184</v>
      </c>
      <c r="D110" s="62" t="s">
        <v>55</v>
      </c>
      <c r="E110" s="62" t="s">
        <v>15</v>
      </c>
      <c r="F110" s="63" t="s">
        <v>179</v>
      </c>
      <c r="G110" s="73">
        <v>0.000106</v>
      </c>
      <c r="H110" s="65"/>
      <c r="I110" s="73">
        <v>0.000104</v>
      </c>
      <c r="J110" s="65"/>
      <c r="K110" s="73">
        <v>0.00016</v>
      </c>
      <c r="L110" s="63" t="s">
        <v>179</v>
      </c>
      <c r="M110" s="63"/>
      <c r="N110" s="63" t="s">
        <v>179</v>
      </c>
      <c r="O110" s="63"/>
      <c r="P110" s="63" t="s">
        <v>179</v>
      </c>
      <c r="Q110" s="63"/>
      <c r="R110" s="63" t="s">
        <v>179</v>
      </c>
      <c r="S110" s="63"/>
      <c r="T110" s="63" t="s">
        <v>179</v>
      </c>
      <c r="U110" s="63"/>
      <c r="V110" s="63" t="s">
        <v>179</v>
      </c>
      <c r="W110" s="63"/>
      <c r="X110" s="62">
        <v>0</v>
      </c>
    </row>
    <row r="111" spans="1:24" s="62" customFormat="1" ht="12.75">
      <c r="A111" s="62" t="s">
        <v>173</v>
      </c>
      <c r="B111" s="62" t="s">
        <v>185</v>
      </c>
      <c r="D111" s="62" t="s">
        <v>55</v>
      </c>
      <c r="E111" s="62" t="s">
        <v>15</v>
      </c>
      <c r="F111" s="63" t="s">
        <v>179</v>
      </c>
      <c r="G111" s="73">
        <v>4E-05</v>
      </c>
      <c r="H111" s="65"/>
      <c r="I111" s="73">
        <v>5.75E-05</v>
      </c>
      <c r="J111" s="65"/>
      <c r="K111" s="73">
        <v>9.43E-05</v>
      </c>
      <c r="L111" s="63" t="s">
        <v>179</v>
      </c>
      <c r="M111" s="63"/>
      <c r="N111" s="63" t="s">
        <v>179</v>
      </c>
      <c r="O111" s="63"/>
      <c r="P111" s="63" t="s">
        <v>179</v>
      </c>
      <c r="Q111" s="63"/>
      <c r="R111" s="63" t="s">
        <v>179</v>
      </c>
      <c r="S111" s="63"/>
      <c r="T111" s="63" t="s">
        <v>179</v>
      </c>
      <c r="U111" s="63"/>
      <c r="V111" s="63" t="s">
        <v>179</v>
      </c>
      <c r="W111" s="63"/>
      <c r="X111" s="62">
        <v>0</v>
      </c>
    </row>
    <row r="112" spans="1:24" s="62" customFormat="1" ht="12.75">
      <c r="A112" s="62" t="s">
        <v>173</v>
      </c>
      <c r="B112" s="62" t="s">
        <v>186</v>
      </c>
      <c r="D112" s="62" t="s">
        <v>55</v>
      </c>
      <c r="E112" s="62" t="s">
        <v>15</v>
      </c>
      <c r="F112" s="63" t="s">
        <v>179</v>
      </c>
      <c r="G112" s="73">
        <v>0.00687</v>
      </c>
      <c r="H112" s="65"/>
      <c r="I112" s="73">
        <v>0.00686</v>
      </c>
      <c r="J112" s="65"/>
      <c r="K112" s="73">
        <v>0.00465</v>
      </c>
      <c r="L112" s="63" t="s">
        <v>179</v>
      </c>
      <c r="M112" s="63"/>
      <c r="N112" s="63" t="s">
        <v>179</v>
      </c>
      <c r="O112" s="63"/>
      <c r="P112" s="63" t="s">
        <v>179</v>
      </c>
      <c r="Q112" s="63"/>
      <c r="R112" s="63" t="s">
        <v>179</v>
      </c>
      <c r="S112" s="63"/>
      <c r="T112" s="63" t="s">
        <v>179</v>
      </c>
      <c r="U112" s="63"/>
      <c r="V112" s="63" t="s">
        <v>179</v>
      </c>
      <c r="W112" s="63"/>
      <c r="X112" s="62">
        <v>0</v>
      </c>
    </row>
    <row r="113" spans="1:24" s="62" customFormat="1" ht="12.75">
      <c r="A113" s="62" t="s">
        <v>173</v>
      </c>
      <c r="B113" s="62" t="s">
        <v>187</v>
      </c>
      <c r="D113" s="62" t="s">
        <v>55</v>
      </c>
      <c r="E113" s="62" t="s">
        <v>15</v>
      </c>
      <c r="F113" s="63" t="s">
        <v>179</v>
      </c>
      <c r="G113" s="73">
        <v>3.05E-05</v>
      </c>
      <c r="H113" s="65"/>
      <c r="I113" s="73">
        <v>7.37E-05</v>
      </c>
      <c r="J113" s="65"/>
      <c r="K113" s="73">
        <v>3.61E-05</v>
      </c>
      <c r="L113" s="63" t="s">
        <v>179</v>
      </c>
      <c r="M113" s="63"/>
      <c r="N113" s="63" t="s">
        <v>179</v>
      </c>
      <c r="O113" s="63"/>
      <c r="P113" s="63" t="s">
        <v>179</v>
      </c>
      <c r="Q113" s="63"/>
      <c r="R113" s="63" t="s">
        <v>179</v>
      </c>
      <c r="S113" s="63"/>
      <c r="T113" s="63" t="s">
        <v>179</v>
      </c>
      <c r="U113" s="63"/>
      <c r="V113" s="63" t="s">
        <v>179</v>
      </c>
      <c r="W113" s="63"/>
      <c r="X113" s="62">
        <v>0</v>
      </c>
    </row>
    <row r="114" spans="1:24" s="62" customFormat="1" ht="12.75">
      <c r="A114" s="62" t="s">
        <v>173</v>
      </c>
      <c r="B114" s="62" t="s">
        <v>188</v>
      </c>
      <c r="D114" s="62" t="s">
        <v>55</v>
      </c>
      <c r="E114" s="62" t="s">
        <v>15</v>
      </c>
      <c r="F114" s="63" t="s">
        <v>179</v>
      </c>
      <c r="G114" s="73">
        <v>6.05E-05</v>
      </c>
      <c r="H114" s="65"/>
      <c r="I114" s="73">
        <v>4.89E-05</v>
      </c>
      <c r="J114" s="65"/>
      <c r="K114" s="73">
        <v>6.02E-05</v>
      </c>
      <c r="L114" s="63" t="s">
        <v>179</v>
      </c>
      <c r="M114" s="63"/>
      <c r="N114" s="63" t="s">
        <v>179</v>
      </c>
      <c r="O114" s="63"/>
      <c r="P114" s="63" t="s">
        <v>179</v>
      </c>
      <c r="Q114" s="63"/>
      <c r="R114" s="63" t="s">
        <v>179</v>
      </c>
      <c r="S114" s="63"/>
      <c r="T114" s="63" t="s">
        <v>179</v>
      </c>
      <c r="U114" s="63"/>
      <c r="V114" s="63" t="s">
        <v>179</v>
      </c>
      <c r="W114" s="63"/>
      <c r="X114" s="62">
        <v>0</v>
      </c>
    </row>
    <row r="115" spans="1:24" s="62" customFormat="1" ht="12.75">
      <c r="A115" s="62" t="s">
        <v>173</v>
      </c>
      <c r="B115" s="62" t="s">
        <v>189</v>
      </c>
      <c r="D115" s="62" t="s">
        <v>55</v>
      </c>
      <c r="E115" s="62" t="s">
        <v>15</v>
      </c>
      <c r="F115" s="63"/>
      <c r="G115" s="73">
        <v>5.51E-06</v>
      </c>
      <c r="H115" s="65"/>
      <c r="I115" s="73">
        <v>5.58E-06</v>
      </c>
      <c r="J115" s="65"/>
      <c r="K115" s="73">
        <v>5.68E-06</v>
      </c>
      <c r="L115" s="63" t="s">
        <v>179</v>
      </c>
      <c r="M115" s="63"/>
      <c r="N115" s="63" t="s">
        <v>179</v>
      </c>
      <c r="O115" s="63"/>
      <c r="P115" s="63" t="s">
        <v>179</v>
      </c>
      <c r="Q115" s="63"/>
      <c r="R115" s="63" t="s">
        <v>179</v>
      </c>
      <c r="S115" s="63"/>
      <c r="T115" s="63" t="s">
        <v>179</v>
      </c>
      <c r="U115" s="63"/>
      <c r="V115" s="63" t="s">
        <v>179</v>
      </c>
      <c r="W115" s="63"/>
      <c r="X115" s="62">
        <v>0</v>
      </c>
    </row>
    <row r="116" spans="6:23" s="62" customFormat="1" ht="12.75">
      <c r="F116" s="63"/>
      <c r="G116" s="65"/>
      <c r="H116" s="65"/>
      <c r="I116" s="65"/>
      <c r="J116" s="65"/>
      <c r="K116" s="65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</row>
    <row r="117" spans="2:23" s="62" customFormat="1" ht="12.75">
      <c r="B117" s="62" t="s">
        <v>87</v>
      </c>
      <c r="C117" s="62" t="s">
        <v>190</v>
      </c>
      <c r="D117" s="66" t="s">
        <v>241</v>
      </c>
      <c r="F117" s="63"/>
      <c r="G117" s="65"/>
      <c r="H117" s="65"/>
      <c r="I117" s="65"/>
      <c r="J117" s="65"/>
      <c r="K117" s="65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</row>
    <row r="118" spans="2:63" s="62" customFormat="1" ht="12.75">
      <c r="B118" s="16" t="s">
        <v>82</v>
      </c>
      <c r="C118" s="16"/>
      <c r="D118" s="16" t="s">
        <v>17</v>
      </c>
      <c r="G118" s="65">
        <v>5115</v>
      </c>
      <c r="H118" s="65"/>
      <c r="I118" s="65">
        <v>5127</v>
      </c>
      <c r="J118" s="65"/>
      <c r="K118" s="65">
        <v>5128</v>
      </c>
      <c r="L118" s="65"/>
      <c r="M118" s="65"/>
      <c r="N118" s="65"/>
      <c r="O118" s="65"/>
      <c r="P118" s="65"/>
      <c r="Q118" s="65"/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65"/>
      <c r="AR118" s="65"/>
      <c r="AS118" s="65"/>
      <c r="AT118" s="65"/>
      <c r="AU118" s="65"/>
      <c r="AV118" s="65"/>
      <c r="AW118" s="65"/>
      <c r="AX118" s="65"/>
      <c r="AY118" s="65"/>
      <c r="AZ118" s="65"/>
      <c r="BA118" s="65"/>
      <c r="BB118" s="65"/>
      <c r="BC118" s="65"/>
      <c r="BD118" s="65"/>
      <c r="BE118" s="65"/>
      <c r="BF118" s="65"/>
      <c r="BG118" s="65"/>
      <c r="BH118" s="65"/>
      <c r="BI118" s="65"/>
      <c r="BJ118" s="65"/>
      <c r="BK118" s="65"/>
    </row>
    <row r="119" spans="2:63" s="62" customFormat="1" ht="12.75">
      <c r="B119" s="16" t="s">
        <v>84</v>
      </c>
      <c r="C119" s="16"/>
      <c r="D119" s="16" t="s">
        <v>18</v>
      </c>
      <c r="G119" s="65">
        <v>16.53</v>
      </c>
      <c r="H119" s="65"/>
      <c r="I119" s="65">
        <v>16.2</v>
      </c>
      <c r="J119" s="65"/>
      <c r="K119" s="65">
        <v>16.2</v>
      </c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65"/>
      <c r="AR119" s="65"/>
      <c r="AS119" s="65"/>
      <c r="AT119" s="65"/>
      <c r="AU119" s="65"/>
      <c r="AV119" s="65"/>
      <c r="AW119" s="65"/>
      <c r="AX119" s="65"/>
      <c r="AY119" s="65"/>
      <c r="AZ119" s="65"/>
      <c r="BA119" s="65"/>
      <c r="BB119" s="65"/>
      <c r="BC119" s="65"/>
      <c r="BD119" s="65"/>
      <c r="BE119" s="65"/>
      <c r="BF119" s="65"/>
      <c r="BG119" s="65"/>
      <c r="BH119" s="65"/>
      <c r="BI119" s="65"/>
      <c r="BJ119" s="65"/>
      <c r="BK119" s="65"/>
    </row>
    <row r="120" spans="1:63" s="62" customFormat="1" ht="12.75">
      <c r="A120" s="62" t="s">
        <v>173</v>
      </c>
      <c r="B120" s="16" t="s">
        <v>85</v>
      </c>
      <c r="C120" s="16"/>
      <c r="D120" s="16" t="s">
        <v>18</v>
      </c>
      <c r="G120" s="65">
        <v>3.5</v>
      </c>
      <c r="H120" s="65"/>
      <c r="I120" s="65">
        <v>3.8</v>
      </c>
      <c r="J120" s="65"/>
      <c r="K120" s="65">
        <v>3.7</v>
      </c>
      <c r="L120" s="65"/>
      <c r="M120" s="65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65"/>
      <c r="AR120" s="65"/>
      <c r="AS120" s="65"/>
      <c r="AT120" s="65"/>
      <c r="AU120" s="65"/>
      <c r="AV120" s="65"/>
      <c r="AW120" s="65"/>
      <c r="AX120" s="65"/>
      <c r="AY120" s="65"/>
      <c r="AZ120" s="65"/>
      <c r="BA120" s="65"/>
      <c r="BB120" s="65"/>
      <c r="BC120" s="65"/>
      <c r="BD120" s="65"/>
      <c r="BE120" s="65"/>
      <c r="BF120" s="65"/>
      <c r="BG120" s="65"/>
      <c r="BH120" s="65"/>
      <c r="BI120" s="65"/>
      <c r="BJ120" s="65"/>
      <c r="BK120" s="65"/>
    </row>
    <row r="121" spans="2:63" s="62" customFormat="1" ht="12.75">
      <c r="B121" s="16" t="s">
        <v>81</v>
      </c>
      <c r="C121" s="16"/>
      <c r="D121" s="16" t="s">
        <v>19</v>
      </c>
      <c r="G121" s="65"/>
      <c r="H121" s="6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65"/>
      <c r="AR121" s="65"/>
      <c r="AS121" s="65"/>
      <c r="AT121" s="65"/>
      <c r="AU121" s="65"/>
      <c r="AV121" s="65"/>
      <c r="AW121" s="65"/>
      <c r="AX121" s="65"/>
      <c r="AY121" s="65"/>
      <c r="AZ121" s="65"/>
      <c r="BA121" s="65"/>
      <c r="BB121" s="65"/>
      <c r="BC121" s="65"/>
      <c r="BD121" s="65"/>
      <c r="BE121" s="65"/>
      <c r="BF121" s="65"/>
      <c r="BG121" s="65"/>
      <c r="BH121" s="65"/>
      <c r="BI121" s="65"/>
      <c r="BJ121" s="65"/>
      <c r="BK121" s="65"/>
    </row>
    <row r="122" spans="7:63" s="62" customFormat="1" ht="12.75"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65"/>
      <c r="AR122" s="65"/>
      <c r="AS122" s="65"/>
      <c r="AT122" s="65"/>
      <c r="AU122" s="65"/>
      <c r="AV122" s="65"/>
      <c r="AW122" s="65"/>
      <c r="AX122" s="65"/>
      <c r="AY122" s="65"/>
      <c r="AZ122" s="65"/>
      <c r="BA122" s="65"/>
      <c r="BB122" s="65"/>
      <c r="BC122" s="65"/>
      <c r="BD122" s="65"/>
      <c r="BE122" s="65"/>
      <c r="BF122" s="65"/>
      <c r="BG122" s="65"/>
      <c r="BH122" s="65"/>
      <c r="BI122" s="65"/>
      <c r="BJ122" s="65"/>
      <c r="BK122" s="65"/>
    </row>
    <row r="123" spans="2:63" s="62" customFormat="1" ht="12.75">
      <c r="B123" s="62" t="s">
        <v>87</v>
      </c>
      <c r="C123" s="62" t="s">
        <v>191</v>
      </c>
      <c r="D123" s="66" t="s">
        <v>242</v>
      </c>
      <c r="G123" s="65"/>
      <c r="H123" s="6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5"/>
      <c r="U123" s="65"/>
      <c r="V123" s="65"/>
      <c r="W123" s="65"/>
      <c r="X123" s="65"/>
      <c r="Y123" s="65"/>
      <c r="Z123" s="65"/>
      <c r="AA123" s="65"/>
      <c r="AB123" s="65"/>
      <c r="AC123" s="65"/>
      <c r="AD123" s="65"/>
      <c r="AE123" s="65"/>
      <c r="AF123" s="65"/>
      <c r="AG123" s="65"/>
      <c r="AH123" s="65"/>
      <c r="AI123" s="65"/>
      <c r="AJ123" s="65"/>
      <c r="AK123" s="65"/>
      <c r="AL123" s="65"/>
      <c r="AM123" s="65"/>
      <c r="AN123" s="65"/>
      <c r="AO123" s="65"/>
      <c r="AP123" s="65"/>
      <c r="AQ123" s="65"/>
      <c r="AR123" s="65"/>
      <c r="AS123" s="65"/>
      <c r="AT123" s="65"/>
      <c r="AU123" s="65"/>
      <c r="AV123" s="65"/>
      <c r="AW123" s="65"/>
      <c r="AX123" s="65"/>
      <c r="AY123" s="65"/>
      <c r="AZ123" s="65"/>
      <c r="BA123" s="65"/>
      <c r="BB123" s="65"/>
      <c r="BC123" s="65"/>
      <c r="BD123" s="65"/>
      <c r="BE123" s="65"/>
      <c r="BF123" s="65"/>
      <c r="BG123" s="65"/>
      <c r="BH123" s="65"/>
      <c r="BI123" s="65"/>
      <c r="BJ123" s="65"/>
      <c r="BK123" s="65"/>
    </row>
    <row r="124" spans="2:63" s="62" customFormat="1" ht="12.75">
      <c r="B124" s="16" t="s">
        <v>82</v>
      </c>
      <c r="C124" s="16"/>
      <c r="D124" s="16" t="s">
        <v>17</v>
      </c>
      <c r="G124" s="65">
        <v>5091</v>
      </c>
      <c r="H124" s="65"/>
      <c r="I124" s="65">
        <v>5163</v>
      </c>
      <c r="J124" s="65"/>
      <c r="K124" s="65">
        <v>5138</v>
      </c>
      <c r="L124" s="65"/>
      <c r="M124" s="65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65"/>
      <c r="AR124" s="65"/>
      <c r="AS124" s="65"/>
      <c r="AT124" s="65"/>
      <c r="AU124" s="65"/>
      <c r="AV124" s="65"/>
      <c r="AW124" s="65"/>
      <c r="AX124" s="65"/>
      <c r="AY124" s="65"/>
      <c r="AZ124" s="65"/>
      <c r="BA124" s="65"/>
      <c r="BB124" s="65"/>
      <c r="BC124" s="65"/>
      <c r="BD124" s="65"/>
      <c r="BE124" s="65"/>
      <c r="BF124" s="65"/>
      <c r="BG124" s="65"/>
      <c r="BH124" s="65"/>
      <c r="BI124" s="65"/>
      <c r="BJ124" s="65"/>
      <c r="BK124" s="65"/>
    </row>
    <row r="125" spans="2:63" s="62" customFormat="1" ht="12.75">
      <c r="B125" s="16" t="s">
        <v>84</v>
      </c>
      <c r="C125" s="16"/>
      <c r="D125" s="16" t="s">
        <v>18</v>
      </c>
      <c r="G125" s="65">
        <v>16.53</v>
      </c>
      <c r="H125" s="65"/>
      <c r="I125" s="65">
        <v>16.2</v>
      </c>
      <c r="J125" s="65"/>
      <c r="K125" s="65">
        <v>16.2</v>
      </c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65"/>
      <c r="AR125" s="65"/>
      <c r="AS125" s="65"/>
      <c r="AT125" s="65"/>
      <c r="AU125" s="65"/>
      <c r="AV125" s="65"/>
      <c r="AW125" s="65"/>
      <c r="AX125" s="65"/>
      <c r="AY125" s="65"/>
      <c r="AZ125" s="65"/>
      <c r="BA125" s="65"/>
      <c r="BB125" s="65"/>
      <c r="BC125" s="65"/>
      <c r="BD125" s="65"/>
      <c r="BE125" s="65"/>
      <c r="BF125" s="65"/>
      <c r="BG125" s="65"/>
      <c r="BH125" s="65"/>
      <c r="BI125" s="65"/>
      <c r="BJ125" s="65"/>
      <c r="BK125" s="65"/>
    </row>
    <row r="126" spans="2:63" s="62" customFormat="1" ht="12.75">
      <c r="B126" s="16" t="s">
        <v>85</v>
      </c>
      <c r="C126" s="16"/>
      <c r="D126" s="16" t="s">
        <v>18</v>
      </c>
      <c r="G126" s="65">
        <v>3.4</v>
      </c>
      <c r="H126" s="65"/>
      <c r="I126" s="65">
        <v>3.6</v>
      </c>
      <c r="J126" s="65"/>
      <c r="K126" s="65">
        <v>3.6</v>
      </c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</row>
    <row r="127" spans="2:63" s="62" customFormat="1" ht="12.75">
      <c r="B127" s="16" t="s">
        <v>81</v>
      </c>
      <c r="C127" s="16"/>
      <c r="D127" s="16" t="s">
        <v>19</v>
      </c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</row>
    <row r="129" spans="2:13" ht="12.75">
      <c r="B129" s="62" t="s">
        <v>180</v>
      </c>
      <c r="C129" s="62" t="s">
        <v>241</v>
      </c>
      <c r="D129" s="62" t="s">
        <v>60</v>
      </c>
      <c r="E129" s="62" t="s">
        <v>15</v>
      </c>
      <c r="G129" s="6">
        <f aca="true" t="shared" si="6" ref="G129:G138">G106*454/60*1/(G$118*0.0283)*1000000*(21-7)/(21-G$119)</f>
        <v>112.9645384402009</v>
      </c>
      <c r="H129" s="6"/>
      <c r="I129" s="6">
        <f aca="true" t="shared" si="7" ref="I129:I138">I106*454/60*1/(I$118*0.0283)*1000000*(21-7)/(21-I$119)</f>
        <v>133.39551903059993</v>
      </c>
      <c r="J129" s="6"/>
      <c r="K129" s="6">
        <f aca="true" t="shared" si="8" ref="K129:K138">K106*454/60*1/(K$118*0.0283)*1000000*(21-7)/(21-K$119)</f>
        <v>101.12967092299711</v>
      </c>
      <c r="L129" s="6"/>
      <c r="M129" s="6">
        <f aca="true" t="shared" si="9" ref="M129:M138">AVERAGE(G129,I129,K129)</f>
        <v>115.82990946459931</v>
      </c>
    </row>
    <row r="130" spans="2:13" ht="12.75">
      <c r="B130" s="62" t="s">
        <v>181</v>
      </c>
      <c r="C130" s="62" t="s">
        <v>241</v>
      </c>
      <c r="D130" s="62" t="s">
        <v>60</v>
      </c>
      <c r="E130" s="62" t="s">
        <v>15</v>
      </c>
      <c r="G130" s="6">
        <f t="shared" si="6"/>
        <v>4.5185815376080365</v>
      </c>
      <c r="H130" s="6"/>
      <c r="I130" s="6">
        <f t="shared" si="7"/>
        <v>4.182869752954959</v>
      </c>
      <c r="J130" s="6"/>
      <c r="K130" s="6">
        <f t="shared" si="8"/>
        <v>4.242883937972359</v>
      </c>
      <c r="L130" s="6"/>
      <c r="M130" s="6">
        <f t="shared" si="9"/>
        <v>4.314778409511785</v>
      </c>
    </row>
    <row r="131" spans="2:13" ht="12.75">
      <c r="B131" s="62" t="s">
        <v>182</v>
      </c>
      <c r="C131" s="62" t="s">
        <v>241</v>
      </c>
      <c r="D131" s="62" t="s">
        <v>60</v>
      </c>
      <c r="E131" s="62" t="s">
        <v>15</v>
      </c>
      <c r="G131" s="6">
        <f t="shared" si="6"/>
        <v>124.4247090065981</v>
      </c>
      <c r="H131" s="6"/>
      <c r="I131" s="6">
        <f t="shared" si="7"/>
        <v>153.6253981994367</v>
      </c>
      <c r="J131" s="6"/>
      <c r="K131" s="6">
        <f t="shared" si="8"/>
        <v>202.25934184599421</v>
      </c>
      <c r="L131" s="6"/>
      <c r="M131" s="6">
        <f t="shared" si="9"/>
        <v>160.10314968400965</v>
      </c>
    </row>
    <row r="132" spans="2:13" ht="12.75">
      <c r="B132" s="62" t="s">
        <v>183</v>
      </c>
      <c r="C132" s="62" t="s">
        <v>241</v>
      </c>
      <c r="D132" s="62" t="s">
        <v>60</v>
      </c>
      <c r="E132" s="62" t="s">
        <v>15</v>
      </c>
      <c r="G132" s="6">
        <f t="shared" si="6"/>
        <v>0.9020791402978362</v>
      </c>
      <c r="H132" s="6"/>
      <c r="I132" s="6">
        <f t="shared" si="7"/>
        <v>0.8487422989632244</v>
      </c>
      <c r="J132" s="6"/>
      <c r="K132" s="6">
        <f t="shared" si="8"/>
        <v>0.847056040663299</v>
      </c>
      <c r="L132" s="6"/>
      <c r="M132" s="6">
        <f t="shared" si="9"/>
        <v>0.8659591599747865</v>
      </c>
    </row>
    <row r="133" spans="2:13" ht="12.75">
      <c r="B133" s="62" t="s">
        <v>184</v>
      </c>
      <c r="C133" s="62" t="s">
        <v>241</v>
      </c>
      <c r="D133" s="62" t="s">
        <v>60</v>
      </c>
      <c r="E133" s="62" t="s">
        <v>15</v>
      </c>
      <c r="G133" s="6">
        <f t="shared" si="6"/>
        <v>17.353972571972893</v>
      </c>
      <c r="H133" s="6"/>
      <c r="I133" s="6">
        <f t="shared" si="7"/>
        <v>15.81885288390239</v>
      </c>
      <c r="J133" s="6"/>
      <c r="K133" s="6">
        <f t="shared" si="8"/>
        <v>24.33195089876622</v>
      </c>
      <c r="L133" s="6"/>
      <c r="M133" s="6">
        <f t="shared" si="9"/>
        <v>19.168258784880503</v>
      </c>
    </row>
    <row r="134" spans="2:13" ht="12.75">
      <c r="B134" s="62" t="s">
        <v>185</v>
      </c>
      <c r="C134" s="62" t="s">
        <v>241</v>
      </c>
      <c r="D134" s="62" t="s">
        <v>60</v>
      </c>
      <c r="E134" s="62" t="s">
        <v>15</v>
      </c>
      <c r="G134" s="6">
        <f t="shared" si="6"/>
        <v>6.54866889508411</v>
      </c>
      <c r="H134" s="6"/>
      <c r="I134" s="6">
        <f t="shared" si="7"/>
        <v>8.746000392542186</v>
      </c>
      <c r="J134" s="6"/>
      <c r="K134" s="6">
        <f t="shared" si="8"/>
        <v>14.340643560960341</v>
      </c>
      <c r="L134" s="6"/>
      <c r="M134" s="6">
        <f t="shared" si="9"/>
        <v>9.878437616195546</v>
      </c>
    </row>
    <row r="135" spans="2:13" ht="12.75">
      <c r="B135" s="62" t="s">
        <v>186</v>
      </c>
      <c r="C135" s="62" t="s">
        <v>241</v>
      </c>
      <c r="D135" s="62" t="s">
        <v>60</v>
      </c>
      <c r="E135" s="62" t="s">
        <v>15</v>
      </c>
      <c r="G135" s="6">
        <f t="shared" si="6"/>
        <v>1124.733882730696</v>
      </c>
      <c r="H135" s="6"/>
      <c r="I135" s="6">
        <f t="shared" si="7"/>
        <v>1043.4358729189462</v>
      </c>
      <c r="J135" s="6"/>
      <c r="K135" s="6">
        <f t="shared" si="8"/>
        <v>707.1473229953932</v>
      </c>
      <c r="L135" s="6"/>
      <c r="M135" s="6">
        <f t="shared" si="9"/>
        <v>958.4390262150117</v>
      </c>
    </row>
    <row r="136" spans="2:13" ht="12.75">
      <c r="B136" s="62" t="s">
        <v>187</v>
      </c>
      <c r="C136" s="62" t="s">
        <v>241</v>
      </c>
      <c r="D136" s="62" t="s">
        <v>60</v>
      </c>
      <c r="E136" s="62" t="s">
        <v>15</v>
      </c>
      <c r="G136" s="6">
        <f t="shared" si="6"/>
        <v>4.993360032501634</v>
      </c>
      <c r="H136" s="6"/>
      <c r="I136" s="6">
        <f t="shared" si="7"/>
        <v>11.21009093791929</v>
      </c>
      <c r="J136" s="6"/>
      <c r="K136" s="6">
        <f t="shared" si="8"/>
        <v>5.489896421534128</v>
      </c>
      <c r="L136" s="6"/>
      <c r="M136" s="6">
        <f t="shared" si="9"/>
        <v>7.23111579731835</v>
      </c>
    </row>
    <row r="137" spans="2:13" ht="12.75">
      <c r="B137" s="62" t="s">
        <v>188</v>
      </c>
      <c r="C137" s="62" t="s">
        <v>241</v>
      </c>
      <c r="D137" s="62" t="s">
        <v>60</v>
      </c>
      <c r="E137" s="62" t="s">
        <v>15</v>
      </c>
      <c r="G137" s="6">
        <f t="shared" si="6"/>
        <v>9.904861703814715</v>
      </c>
      <c r="H137" s="6"/>
      <c r="I137" s="6">
        <f t="shared" si="7"/>
        <v>7.437902942527181</v>
      </c>
      <c r="J137" s="6"/>
      <c r="K137" s="6">
        <f t="shared" si="8"/>
        <v>9.154896525660789</v>
      </c>
      <c r="L137" s="6"/>
      <c r="M137" s="6">
        <f t="shared" si="9"/>
        <v>8.832553724000896</v>
      </c>
    </row>
    <row r="138" spans="2:13" ht="12.75">
      <c r="B138" s="62" t="s">
        <v>189</v>
      </c>
      <c r="C138" s="62" t="s">
        <v>241</v>
      </c>
      <c r="D138" s="62" t="s">
        <v>60</v>
      </c>
      <c r="E138" s="62" t="s">
        <v>15</v>
      </c>
      <c r="G138" s="6">
        <f t="shared" si="6"/>
        <v>0.9020791402978362</v>
      </c>
      <c r="H138" s="6"/>
      <c r="I138" s="6">
        <f t="shared" si="7"/>
        <v>0.8487422989632244</v>
      </c>
      <c r="J138" s="6"/>
      <c r="K138" s="6">
        <f t="shared" si="8"/>
        <v>0.8637842569062006</v>
      </c>
      <c r="L138" s="6"/>
      <c r="M138" s="6">
        <f t="shared" si="9"/>
        <v>0.8715352320557538</v>
      </c>
    </row>
    <row r="139" spans="2:13" ht="12.75">
      <c r="B139" s="66" t="s">
        <v>61</v>
      </c>
      <c r="C139" s="62" t="s">
        <v>241</v>
      </c>
      <c r="D139" t="s">
        <v>60</v>
      </c>
      <c r="E139" s="62" t="s">
        <v>15</v>
      </c>
      <c r="G139" s="6">
        <f>G135+G133</f>
        <v>1142.087855302669</v>
      </c>
      <c r="H139" s="6"/>
      <c r="I139" s="6">
        <f>I135+I133</f>
        <v>1059.2547258028485</v>
      </c>
      <c r="J139" s="6"/>
      <c r="K139" s="6">
        <f>K135+K133</f>
        <v>731.4792738941594</v>
      </c>
      <c r="L139" s="6"/>
      <c r="M139" s="6">
        <f>AVERAGE(G139,I139,K139)</f>
        <v>977.6072849998924</v>
      </c>
    </row>
    <row r="140" spans="2:13" ht="12.75">
      <c r="B140" s="66" t="s">
        <v>62</v>
      </c>
      <c r="C140" s="62" t="s">
        <v>241</v>
      </c>
      <c r="D140" t="s">
        <v>60</v>
      </c>
      <c r="E140" s="62" t="s">
        <v>15</v>
      </c>
      <c r="G140" s="6">
        <f>G130+G132+G134</f>
        <v>11.969329572989983</v>
      </c>
      <c r="H140" s="6"/>
      <c r="I140" s="6">
        <f>I130+I132+I134</f>
        <v>13.77761244446037</v>
      </c>
      <c r="J140" s="6"/>
      <c r="K140" s="6">
        <f>K130+K132+K134</f>
        <v>19.430583539596</v>
      </c>
      <c r="L140" s="6"/>
      <c r="M140" s="6">
        <f>AVERAGE(G140,I140,K140)</f>
        <v>15.059175185682117</v>
      </c>
    </row>
    <row r="142" spans="2:13" ht="12.75">
      <c r="B142" s="8" t="s">
        <v>175</v>
      </c>
      <c r="G142" s="71" t="s">
        <v>104</v>
      </c>
      <c r="H142" s="71"/>
      <c r="I142" s="71" t="s">
        <v>105</v>
      </c>
      <c r="J142" s="71"/>
      <c r="K142" s="71" t="s">
        <v>106</v>
      </c>
      <c r="L142" s="71"/>
      <c r="M142" s="71" t="s">
        <v>47</v>
      </c>
    </row>
    <row r="143" spans="6:23" s="62" customFormat="1" ht="12.75">
      <c r="F143" s="63"/>
      <c r="G143" s="65"/>
      <c r="H143" s="65"/>
      <c r="I143" s="65"/>
      <c r="J143" s="65"/>
      <c r="K143" s="65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</row>
    <row r="144" spans="1:24" s="62" customFormat="1" ht="12.75">
      <c r="A144" s="62" t="s">
        <v>175</v>
      </c>
      <c r="B144" s="62" t="s">
        <v>13</v>
      </c>
      <c r="C144" s="62" t="s">
        <v>241</v>
      </c>
      <c r="D144" s="62" t="s">
        <v>14</v>
      </c>
      <c r="E144" s="62" t="s">
        <v>15</v>
      </c>
      <c r="F144" s="63" t="s">
        <v>179</v>
      </c>
      <c r="G144" s="64">
        <v>0.019444637333333337</v>
      </c>
      <c r="H144" s="64" t="s">
        <v>179</v>
      </c>
      <c r="I144" s="64">
        <v>0.0700006944</v>
      </c>
      <c r="J144" s="64" t="s">
        <v>179</v>
      </c>
      <c r="K144" s="64">
        <v>0.0845841724</v>
      </c>
      <c r="L144" s="64" t="s">
        <v>179</v>
      </c>
      <c r="M144" s="64">
        <f>AVERAGE(G144,I144,K144)</f>
        <v>0.05800983471111112</v>
      </c>
      <c r="N144" s="64" t="s">
        <v>179</v>
      </c>
      <c r="O144" s="64"/>
      <c r="P144" s="64" t="s">
        <v>179</v>
      </c>
      <c r="Q144" s="64"/>
      <c r="R144" s="64" t="s">
        <v>179</v>
      </c>
      <c r="S144" s="64"/>
      <c r="T144" s="64" t="s">
        <v>179</v>
      </c>
      <c r="U144" s="64"/>
      <c r="V144" s="63" t="s">
        <v>179</v>
      </c>
      <c r="W144" s="63"/>
      <c r="X144" s="62">
        <v>0.05800983471111112</v>
      </c>
    </row>
    <row r="145" spans="1:24" s="62" customFormat="1" ht="12.75">
      <c r="A145" s="62" t="s">
        <v>175</v>
      </c>
      <c r="B145" s="62" t="s">
        <v>86</v>
      </c>
      <c r="C145" s="62" t="s">
        <v>241</v>
      </c>
      <c r="D145" s="62" t="s">
        <v>16</v>
      </c>
      <c r="E145" s="62" t="s">
        <v>15</v>
      </c>
      <c r="F145" s="63" t="s">
        <v>179</v>
      </c>
      <c r="G145" s="65">
        <v>5.416666666666667</v>
      </c>
      <c r="H145" s="65" t="s">
        <v>179</v>
      </c>
      <c r="I145" s="65">
        <v>25.424</v>
      </c>
      <c r="J145" s="65" t="s">
        <v>179</v>
      </c>
      <c r="K145" s="65">
        <v>61.25</v>
      </c>
      <c r="L145" s="63" t="s">
        <v>179</v>
      </c>
      <c r="M145" s="65">
        <f>AVERAGE(G145,I145,K145)</f>
        <v>30.69688888888889</v>
      </c>
      <c r="N145" s="63" t="s">
        <v>179</v>
      </c>
      <c r="O145" s="63"/>
      <c r="P145" s="63" t="s">
        <v>179</v>
      </c>
      <c r="Q145" s="63"/>
      <c r="R145" s="63" t="s">
        <v>179</v>
      </c>
      <c r="S145" s="63"/>
      <c r="T145" s="63" t="s">
        <v>179</v>
      </c>
      <c r="U145" s="63"/>
      <c r="V145" s="63" t="s">
        <v>179</v>
      </c>
      <c r="W145" s="63"/>
      <c r="X145" s="62">
        <v>30.696888888888893</v>
      </c>
    </row>
    <row r="146" spans="1:24" s="62" customFormat="1" ht="12.75">
      <c r="A146" s="62" t="s">
        <v>175</v>
      </c>
      <c r="B146" s="62" t="s">
        <v>247</v>
      </c>
      <c r="C146" s="62" t="s">
        <v>241</v>
      </c>
      <c r="D146" s="62" t="s">
        <v>16</v>
      </c>
      <c r="E146" s="62" t="s">
        <v>15</v>
      </c>
      <c r="F146" s="63" t="s">
        <v>179</v>
      </c>
      <c r="G146" s="65">
        <v>33.611111111111114</v>
      </c>
      <c r="H146" s="65" t="s">
        <v>179</v>
      </c>
      <c r="I146" s="65">
        <v>14.56</v>
      </c>
      <c r="J146" s="65" t="s">
        <v>179</v>
      </c>
      <c r="K146" s="65">
        <v>9.041666666666664</v>
      </c>
      <c r="L146" s="63" t="s">
        <v>179</v>
      </c>
      <c r="M146" s="65">
        <f>AVERAGE(G146,I146,K146)</f>
        <v>19.070925925925927</v>
      </c>
      <c r="N146" s="63" t="s">
        <v>179</v>
      </c>
      <c r="O146" s="63"/>
      <c r="P146" s="63" t="s">
        <v>179</v>
      </c>
      <c r="Q146" s="63"/>
      <c r="R146" s="63" t="s">
        <v>179</v>
      </c>
      <c r="S146" s="63"/>
      <c r="T146" s="63" t="s">
        <v>179</v>
      </c>
      <c r="U146" s="63"/>
      <c r="V146" s="63" t="s">
        <v>179</v>
      </c>
      <c r="W146" s="63"/>
      <c r="X146" s="62">
        <v>19.070925925925927</v>
      </c>
    </row>
    <row r="148" spans="2:4" ht="12.75">
      <c r="B148" t="s">
        <v>87</v>
      </c>
      <c r="C148" s="62" t="s">
        <v>191</v>
      </c>
      <c r="D148" t="s">
        <v>241</v>
      </c>
    </row>
    <row r="149" spans="2:63" s="62" customFormat="1" ht="12.75">
      <c r="B149" s="16" t="s">
        <v>82</v>
      </c>
      <c r="C149" s="16"/>
      <c r="D149" s="16" t="s">
        <v>17</v>
      </c>
      <c r="G149" s="65">
        <v>5168</v>
      </c>
      <c r="H149" s="65"/>
      <c r="I149" s="65">
        <v>5092</v>
      </c>
      <c r="J149" s="65"/>
      <c r="K149" s="65">
        <v>5139</v>
      </c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  <c r="AN149" s="65"/>
      <c r="AO149" s="65"/>
      <c r="AP149" s="65"/>
      <c r="AQ149" s="65"/>
      <c r="AR149" s="65"/>
      <c r="AS149" s="65"/>
      <c r="AT149" s="65"/>
      <c r="AU149" s="65"/>
      <c r="AV149" s="65"/>
      <c r="AW149" s="65"/>
      <c r="AX149" s="65"/>
      <c r="AY149" s="65"/>
      <c r="AZ149" s="65"/>
      <c r="BA149" s="65"/>
      <c r="BB149" s="65"/>
      <c r="BC149" s="65"/>
      <c r="BD149" s="65"/>
      <c r="BE149" s="65"/>
      <c r="BF149" s="65"/>
      <c r="BG149" s="65"/>
      <c r="BH149" s="65"/>
      <c r="BI149" s="65"/>
      <c r="BJ149" s="65"/>
      <c r="BK149" s="65"/>
    </row>
    <row r="150" spans="2:63" s="62" customFormat="1" ht="12.75">
      <c r="B150" s="16" t="s">
        <v>84</v>
      </c>
      <c r="C150" s="16"/>
      <c r="D150" s="16" t="s">
        <v>18</v>
      </c>
      <c r="G150" s="65">
        <v>15.96</v>
      </c>
      <c r="H150" s="65"/>
      <c r="I150" s="65">
        <v>16</v>
      </c>
      <c r="J150" s="65"/>
      <c r="K150" s="65">
        <v>16.2</v>
      </c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  <c r="AN150" s="65"/>
      <c r="AO150" s="65"/>
      <c r="AP150" s="65"/>
      <c r="AQ150" s="65"/>
      <c r="AR150" s="65"/>
      <c r="AS150" s="65"/>
      <c r="AT150" s="65"/>
      <c r="AU150" s="65"/>
      <c r="AV150" s="65"/>
      <c r="AW150" s="65"/>
      <c r="AX150" s="65"/>
      <c r="AY150" s="65"/>
      <c r="AZ150" s="65"/>
      <c r="BA150" s="65"/>
      <c r="BB150" s="65"/>
      <c r="BC150" s="65"/>
      <c r="BD150" s="65"/>
      <c r="BE150" s="65"/>
      <c r="BF150" s="65"/>
      <c r="BG150" s="65"/>
      <c r="BH150" s="65"/>
      <c r="BI150" s="65"/>
      <c r="BJ150" s="65"/>
      <c r="BK150" s="65"/>
    </row>
    <row r="151" spans="1:63" s="62" customFormat="1" ht="12.75">
      <c r="A151" s="62" t="s">
        <v>175</v>
      </c>
      <c r="B151" s="16" t="s">
        <v>85</v>
      </c>
      <c r="C151" s="16"/>
      <c r="D151" s="16" t="s">
        <v>18</v>
      </c>
      <c r="G151" s="65">
        <v>4</v>
      </c>
      <c r="H151" s="65"/>
      <c r="I151" s="65">
        <v>3.8</v>
      </c>
      <c r="J151" s="65"/>
      <c r="K151" s="65">
        <v>3.9</v>
      </c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  <c r="AN151" s="65"/>
      <c r="AO151" s="65"/>
      <c r="AP151" s="65"/>
      <c r="AQ151" s="65"/>
      <c r="AR151" s="65"/>
      <c r="AS151" s="65"/>
      <c r="AT151" s="65"/>
      <c r="AU151" s="65"/>
      <c r="AV151" s="65"/>
      <c r="AW151" s="65"/>
      <c r="AX151" s="65"/>
      <c r="AY151" s="65"/>
      <c r="AZ151" s="65"/>
      <c r="BA151" s="65"/>
      <c r="BB151" s="65"/>
      <c r="BC151" s="65"/>
      <c r="BD151" s="65"/>
      <c r="BE151" s="65"/>
      <c r="BF151" s="65"/>
      <c r="BG151" s="65"/>
      <c r="BH151" s="65"/>
      <c r="BI151" s="65"/>
      <c r="BJ151" s="65"/>
      <c r="BK151" s="65"/>
    </row>
    <row r="152" spans="2:63" s="62" customFormat="1" ht="12.75">
      <c r="B152" s="16" t="s">
        <v>81</v>
      </c>
      <c r="C152" s="16"/>
      <c r="D152" s="16" t="s">
        <v>19</v>
      </c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  <c r="AN152" s="65"/>
      <c r="AO152" s="65"/>
      <c r="AP152" s="65"/>
      <c r="AQ152" s="65"/>
      <c r="AR152" s="65"/>
      <c r="AS152" s="65"/>
      <c r="AT152" s="65"/>
      <c r="AU152" s="65"/>
      <c r="AV152" s="65"/>
      <c r="AW152" s="65"/>
      <c r="AX152" s="65"/>
      <c r="AY152" s="65"/>
      <c r="AZ152" s="65"/>
      <c r="BA152" s="65"/>
      <c r="BB152" s="65"/>
      <c r="BC152" s="65"/>
      <c r="BD152" s="65"/>
      <c r="BE152" s="65"/>
      <c r="BF152" s="65"/>
      <c r="BG152" s="65"/>
      <c r="BH152" s="65"/>
      <c r="BI152" s="65"/>
      <c r="BJ152" s="65"/>
      <c r="BK152" s="65"/>
    </row>
    <row r="153" spans="7:63" s="62" customFormat="1" ht="12.75"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  <c r="AN153" s="65"/>
      <c r="AO153" s="65"/>
      <c r="AP153" s="65"/>
      <c r="AQ153" s="65"/>
      <c r="AR153" s="65"/>
      <c r="AS153" s="65"/>
      <c r="AT153" s="65"/>
      <c r="AU153" s="65"/>
      <c r="AV153" s="65"/>
      <c r="AW153" s="65"/>
      <c r="AX153" s="65"/>
      <c r="AY153" s="65"/>
      <c r="AZ153" s="65"/>
      <c r="BA153" s="65"/>
      <c r="BB153" s="65"/>
      <c r="BC153" s="65"/>
      <c r="BD153" s="65"/>
      <c r="BE153" s="65"/>
      <c r="BF153" s="65"/>
      <c r="BG153" s="65"/>
      <c r="BH153" s="65"/>
      <c r="BI153" s="65"/>
      <c r="BJ153" s="65"/>
      <c r="BK153" s="65"/>
    </row>
    <row r="154" spans="2:63" s="62" customFormat="1" ht="12.75">
      <c r="B154" s="62" t="s">
        <v>87</v>
      </c>
      <c r="C154" s="62" t="s">
        <v>192</v>
      </c>
      <c r="D154" s="66" t="s">
        <v>242</v>
      </c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  <c r="AL154" s="65"/>
      <c r="AM154" s="65"/>
      <c r="AN154" s="65"/>
      <c r="AO154" s="65"/>
      <c r="AP154" s="65"/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/>
      <c r="BG154" s="65"/>
      <c r="BH154" s="65"/>
      <c r="BI154" s="65"/>
      <c r="BJ154" s="65"/>
      <c r="BK154" s="65"/>
    </row>
    <row r="155" spans="2:63" s="62" customFormat="1" ht="12.75">
      <c r="B155" s="16" t="s">
        <v>82</v>
      </c>
      <c r="C155" s="16"/>
      <c r="D155" s="16" t="s">
        <v>17</v>
      </c>
      <c r="G155" s="65">
        <v>5355</v>
      </c>
      <c r="H155" s="65"/>
      <c r="I155" s="65">
        <v>5187</v>
      </c>
      <c r="J155" s="65"/>
      <c r="K155" s="65">
        <v>5260</v>
      </c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  <c r="AL155" s="65"/>
      <c r="AM155" s="65"/>
      <c r="AN155" s="65"/>
      <c r="AO155" s="65"/>
      <c r="AP155" s="65"/>
      <c r="AQ155" s="65"/>
      <c r="AR155" s="65"/>
      <c r="AS155" s="65"/>
      <c r="AT155" s="65"/>
      <c r="AU155" s="65"/>
      <c r="AV155" s="65"/>
      <c r="AW155" s="65"/>
      <c r="AX155" s="65"/>
      <c r="AY155" s="65"/>
      <c r="AZ155" s="65"/>
      <c r="BA155" s="65"/>
      <c r="BB155" s="65"/>
      <c r="BC155" s="65"/>
      <c r="BD155" s="65"/>
      <c r="BE155" s="65"/>
      <c r="BF155" s="65"/>
      <c r="BG155" s="65"/>
      <c r="BH155" s="65"/>
      <c r="BI155" s="65"/>
      <c r="BJ155" s="65"/>
      <c r="BK155" s="65"/>
    </row>
    <row r="156" spans="2:63" s="62" customFormat="1" ht="12.75">
      <c r="B156" s="16" t="s">
        <v>84</v>
      </c>
      <c r="C156" s="16"/>
      <c r="D156" s="16" t="s">
        <v>18</v>
      </c>
      <c r="G156" s="65">
        <v>15.96</v>
      </c>
      <c r="H156" s="65"/>
      <c r="I156" s="65">
        <v>16</v>
      </c>
      <c r="J156" s="65"/>
      <c r="K156" s="65">
        <v>16.2</v>
      </c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65"/>
      <c r="BA156" s="65"/>
      <c r="BB156" s="65"/>
      <c r="BC156" s="65"/>
      <c r="BD156" s="65"/>
      <c r="BE156" s="65"/>
      <c r="BF156" s="65"/>
      <c r="BG156" s="65"/>
      <c r="BH156" s="65"/>
      <c r="BI156" s="65"/>
      <c r="BJ156" s="65"/>
      <c r="BK156" s="65"/>
    </row>
    <row r="157" spans="2:63" s="62" customFormat="1" ht="12.75">
      <c r="B157" s="16" t="s">
        <v>85</v>
      </c>
      <c r="C157" s="16"/>
      <c r="D157" s="16" t="s">
        <v>18</v>
      </c>
      <c r="G157" s="65">
        <v>4</v>
      </c>
      <c r="H157" s="65"/>
      <c r="I157" s="65">
        <v>3.7</v>
      </c>
      <c r="J157" s="65"/>
      <c r="K157" s="65">
        <v>3.8</v>
      </c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  <c r="AL157" s="65"/>
      <c r="AM157" s="65"/>
      <c r="AN157" s="65"/>
      <c r="AO157" s="65"/>
      <c r="AP157" s="65"/>
      <c r="AQ157" s="65"/>
      <c r="AR157" s="65"/>
      <c r="AS157" s="65"/>
      <c r="AT157" s="65"/>
      <c r="AU157" s="65"/>
      <c r="AV157" s="65"/>
      <c r="AW157" s="65"/>
      <c r="AX157" s="65"/>
      <c r="AY157" s="65"/>
      <c r="AZ157" s="65"/>
      <c r="BA157" s="65"/>
      <c r="BB157" s="65"/>
      <c r="BC157" s="65"/>
      <c r="BD157" s="65"/>
      <c r="BE157" s="65"/>
      <c r="BF157" s="65"/>
      <c r="BG157" s="65"/>
      <c r="BH157" s="65"/>
      <c r="BI157" s="65"/>
      <c r="BJ157" s="65"/>
      <c r="BK157" s="65"/>
    </row>
    <row r="158" spans="2:63" s="62" customFormat="1" ht="12.75">
      <c r="B158" s="16" t="s">
        <v>81</v>
      </c>
      <c r="C158" s="16"/>
      <c r="D158" s="16" t="s">
        <v>19</v>
      </c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  <c r="AL158" s="65"/>
      <c r="AM158" s="65"/>
      <c r="AN158" s="65"/>
      <c r="AO158" s="65"/>
      <c r="AP158" s="65"/>
      <c r="AQ158" s="65"/>
      <c r="AR158" s="65"/>
      <c r="AS158" s="65"/>
      <c r="AT158" s="65"/>
      <c r="AU158" s="65"/>
      <c r="AV158" s="65"/>
      <c r="AW158" s="65"/>
      <c r="AX158" s="65"/>
      <c r="AY158" s="65"/>
      <c r="AZ158" s="65"/>
      <c r="BA158" s="65"/>
      <c r="BB158" s="65"/>
      <c r="BC158" s="65"/>
      <c r="BD158" s="65"/>
      <c r="BE158" s="65"/>
      <c r="BF158" s="65"/>
      <c r="BG158" s="65"/>
      <c r="BH158" s="65"/>
      <c r="BI158" s="65"/>
      <c r="BJ158" s="65"/>
      <c r="BK158" s="65"/>
    </row>
    <row r="159" spans="7:63" s="62" customFormat="1" ht="12.75"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  <c r="AL159" s="65"/>
      <c r="AM159" s="65"/>
      <c r="AN159" s="65"/>
      <c r="AO159" s="65"/>
      <c r="AP159" s="65"/>
      <c r="AQ159" s="65"/>
      <c r="AR159" s="65"/>
      <c r="AS159" s="65"/>
      <c r="AT159" s="65"/>
      <c r="AU159" s="65"/>
      <c r="AV159" s="65"/>
      <c r="AW159" s="65"/>
      <c r="AX159" s="65"/>
      <c r="AY159" s="65"/>
      <c r="AZ159" s="65"/>
      <c r="BA159" s="65"/>
      <c r="BB159" s="65"/>
      <c r="BC159" s="65"/>
      <c r="BD159" s="65"/>
      <c r="BE159" s="65"/>
      <c r="BF159" s="65"/>
      <c r="BG159" s="65"/>
      <c r="BH159" s="65"/>
      <c r="BI159" s="65"/>
      <c r="BJ159" s="65"/>
      <c r="BK159" s="65"/>
    </row>
    <row r="160" spans="1:57" s="66" customFormat="1" ht="12.75">
      <c r="A160" s="66" t="s">
        <v>175</v>
      </c>
      <c r="B160" s="66" t="s">
        <v>193</v>
      </c>
      <c r="C160" s="66" t="s">
        <v>242</v>
      </c>
      <c r="D160" s="66" t="s">
        <v>18</v>
      </c>
      <c r="G160" s="67">
        <v>99.9987</v>
      </c>
      <c r="H160" s="67"/>
      <c r="I160" s="67">
        <v>99.9979</v>
      </c>
      <c r="J160" s="67"/>
      <c r="K160" s="67">
        <v>99.9975</v>
      </c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  <c r="AY160" s="67"/>
      <c r="AZ160" s="67"/>
      <c r="BA160" s="67"/>
      <c r="BB160" s="67"/>
      <c r="BC160" s="67"/>
      <c r="BD160" s="67"/>
      <c r="BE160" s="67"/>
    </row>
    <row r="162" spans="2:13" ht="12.75">
      <c r="B162" s="8" t="s">
        <v>177</v>
      </c>
      <c r="G162" t="s">
        <v>104</v>
      </c>
      <c r="I162" t="s">
        <v>105</v>
      </c>
      <c r="K162" t="s">
        <v>106</v>
      </c>
      <c r="M162" t="s">
        <v>47</v>
      </c>
    </row>
    <row r="163" spans="7:63" s="62" customFormat="1" ht="12.75"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  <c r="AN163" s="65"/>
      <c r="AO163" s="65"/>
      <c r="AP163" s="65"/>
      <c r="AQ163" s="65"/>
      <c r="AR163" s="65"/>
      <c r="AS163" s="65"/>
      <c r="AT163" s="65"/>
      <c r="AU163" s="65"/>
      <c r="AV163" s="65"/>
      <c r="AW163" s="65"/>
      <c r="AX163" s="65"/>
      <c r="AY163" s="65"/>
      <c r="AZ163" s="65"/>
      <c r="BA163" s="65"/>
      <c r="BB163" s="65"/>
      <c r="BC163" s="65"/>
      <c r="BD163" s="65"/>
      <c r="BE163" s="65"/>
      <c r="BF163" s="65"/>
      <c r="BG163" s="65"/>
      <c r="BH163" s="65"/>
      <c r="BI163" s="65"/>
      <c r="BJ163" s="65"/>
      <c r="BK163" s="65"/>
    </row>
    <row r="164" spans="1:24" s="62" customFormat="1" ht="12.75">
      <c r="A164" s="62" t="s">
        <v>177</v>
      </c>
      <c r="B164" s="62" t="s">
        <v>13</v>
      </c>
      <c r="C164" s="62" t="s">
        <v>241</v>
      </c>
      <c r="D164" s="62" t="s">
        <v>14</v>
      </c>
      <c r="E164" s="62" t="s">
        <v>15</v>
      </c>
      <c r="F164" s="63" t="s">
        <v>179</v>
      </c>
      <c r="G164" s="64">
        <v>0.11200111104</v>
      </c>
      <c r="H164" s="64" t="s">
        <v>179</v>
      </c>
      <c r="I164" s="64">
        <v>0.0552273723076923</v>
      </c>
      <c r="J164" s="64" t="s">
        <v>179</v>
      </c>
      <c r="K164" s="64">
        <v>0.07291739</v>
      </c>
      <c r="L164" s="64" t="s">
        <v>179</v>
      </c>
      <c r="M164" s="64">
        <f>AVERAGE(G164,I164,K164)</f>
        <v>0.08004862444923076</v>
      </c>
      <c r="N164" s="64" t="s">
        <v>179</v>
      </c>
      <c r="O164" s="64"/>
      <c r="P164" s="64" t="s">
        <v>179</v>
      </c>
      <c r="Q164" s="64"/>
      <c r="R164" s="64" t="s">
        <v>179</v>
      </c>
      <c r="S164" s="64"/>
      <c r="T164" s="64" t="s">
        <v>179</v>
      </c>
      <c r="U164" s="64"/>
      <c r="V164" s="63" t="s">
        <v>179</v>
      </c>
      <c r="W164" s="63"/>
      <c r="X164" s="62">
        <v>0.08004862444923076</v>
      </c>
    </row>
    <row r="165" spans="1:24" s="62" customFormat="1" ht="12.75">
      <c r="A165" s="62" t="s">
        <v>177</v>
      </c>
      <c r="B165" s="62" t="s">
        <v>86</v>
      </c>
      <c r="C165" s="62" t="s">
        <v>241</v>
      </c>
      <c r="D165" s="62" t="s">
        <v>16</v>
      </c>
      <c r="E165" s="62" t="s">
        <v>15</v>
      </c>
      <c r="F165" s="63" t="s">
        <v>179</v>
      </c>
      <c r="G165" s="65">
        <v>112</v>
      </c>
      <c r="H165" s="65" t="s">
        <v>179</v>
      </c>
      <c r="I165" s="65">
        <v>47.77120315581854</v>
      </c>
      <c r="J165" s="65" t="s">
        <v>179</v>
      </c>
      <c r="K165" s="65">
        <v>181.70833333333326</v>
      </c>
      <c r="L165" s="63" t="s">
        <v>179</v>
      </c>
      <c r="M165" s="65">
        <f>AVERAGE(G165,I165,K165)</f>
        <v>113.8265121630506</v>
      </c>
      <c r="N165" s="63" t="s">
        <v>179</v>
      </c>
      <c r="O165" s="63"/>
      <c r="P165" s="63" t="s">
        <v>179</v>
      </c>
      <c r="Q165" s="63"/>
      <c r="R165" s="63" t="s">
        <v>179</v>
      </c>
      <c r="S165" s="63"/>
      <c r="T165" s="63" t="s">
        <v>179</v>
      </c>
      <c r="U165" s="63"/>
      <c r="V165" s="63" t="s">
        <v>179</v>
      </c>
      <c r="W165" s="63"/>
      <c r="X165" s="62">
        <v>113.8265121630506</v>
      </c>
    </row>
    <row r="166" spans="1:24" s="62" customFormat="1" ht="12.75">
      <c r="A166" s="62" t="s">
        <v>177</v>
      </c>
      <c r="B166" s="62" t="s">
        <v>247</v>
      </c>
      <c r="C166" s="62" t="s">
        <v>241</v>
      </c>
      <c r="D166" s="62" t="s">
        <v>16</v>
      </c>
      <c r="E166" s="62" t="s">
        <v>15</v>
      </c>
      <c r="F166" s="63" t="s">
        <v>179</v>
      </c>
      <c r="G166" s="65">
        <v>22.96</v>
      </c>
      <c r="H166" s="65" t="s">
        <v>179</v>
      </c>
      <c r="I166" s="65">
        <v>9.112426035502958</v>
      </c>
      <c r="J166" s="65" t="s">
        <v>179</v>
      </c>
      <c r="K166" s="65">
        <v>23.625</v>
      </c>
      <c r="L166" s="63" t="s">
        <v>179</v>
      </c>
      <c r="M166" s="65">
        <f>AVERAGE(G166,I166,K166)</f>
        <v>18.565808678500986</v>
      </c>
      <c r="N166" s="63" t="s">
        <v>179</v>
      </c>
      <c r="O166" s="63"/>
      <c r="P166" s="63" t="s">
        <v>179</v>
      </c>
      <c r="Q166" s="63"/>
      <c r="R166" s="63" t="s">
        <v>179</v>
      </c>
      <c r="S166" s="63"/>
      <c r="T166" s="63" t="s">
        <v>179</v>
      </c>
      <c r="U166" s="63"/>
      <c r="V166" s="63" t="s">
        <v>179</v>
      </c>
      <c r="W166" s="63"/>
      <c r="X166" s="62">
        <v>18.565808678500986</v>
      </c>
    </row>
    <row r="168" spans="2:4" ht="12.75">
      <c r="B168" t="s">
        <v>87</v>
      </c>
      <c r="C168" s="62" t="s">
        <v>191</v>
      </c>
      <c r="D168" t="s">
        <v>241</v>
      </c>
    </row>
    <row r="169" spans="2:63" s="62" customFormat="1" ht="12.75">
      <c r="B169" s="16" t="s">
        <v>82</v>
      </c>
      <c r="C169" s="16"/>
      <c r="D169" s="16" t="s">
        <v>17</v>
      </c>
      <c r="G169" s="65">
        <v>5316</v>
      </c>
      <c r="H169" s="65"/>
      <c r="I169" s="65">
        <v>5203</v>
      </c>
      <c r="J169" s="65"/>
      <c r="K169" s="65">
        <v>5082</v>
      </c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65"/>
      <c r="AO169" s="65"/>
      <c r="AP169" s="65"/>
      <c r="AQ169" s="65"/>
      <c r="AR169" s="65"/>
      <c r="AS169" s="65"/>
      <c r="AT169" s="65"/>
      <c r="AU169" s="65"/>
      <c r="AV169" s="65"/>
      <c r="AW169" s="65"/>
      <c r="AX169" s="65"/>
      <c r="AY169" s="65"/>
      <c r="AZ169" s="65"/>
      <c r="BA169" s="65"/>
      <c r="BB169" s="65"/>
      <c r="BC169" s="65"/>
      <c r="BD169" s="65"/>
      <c r="BE169" s="65"/>
      <c r="BF169" s="65"/>
      <c r="BG169" s="65"/>
      <c r="BH169" s="65"/>
      <c r="BI169" s="65"/>
      <c r="BJ169" s="65"/>
      <c r="BK169" s="65"/>
    </row>
    <row r="170" spans="2:63" s="62" customFormat="1" ht="12.75">
      <c r="B170" s="16" t="s">
        <v>84</v>
      </c>
      <c r="C170" s="16"/>
      <c r="D170" s="16" t="s">
        <v>18</v>
      </c>
      <c r="G170" s="65">
        <v>16</v>
      </c>
      <c r="H170" s="65"/>
      <c r="I170" s="65">
        <v>15.93</v>
      </c>
      <c r="J170" s="65"/>
      <c r="K170" s="65">
        <v>16.2</v>
      </c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  <c r="AL170" s="65"/>
      <c r="AM170" s="65"/>
      <c r="AN170" s="65"/>
      <c r="AO170" s="65"/>
      <c r="AP170" s="65"/>
      <c r="AQ170" s="65"/>
      <c r="AR170" s="65"/>
      <c r="AS170" s="65"/>
      <c r="AT170" s="65"/>
      <c r="AU170" s="65"/>
      <c r="AV170" s="65"/>
      <c r="AW170" s="65"/>
      <c r="AX170" s="65"/>
      <c r="AY170" s="65"/>
      <c r="AZ170" s="65"/>
      <c r="BA170" s="65"/>
      <c r="BB170" s="65"/>
      <c r="BC170" s="65"/>
      <c r="BD170" s="65"/>
      <c r="BE170" s="65"/>
      <c r="BF170" s="65"/>
      <c r="BG170" s="65"/>
      <c r="BH170" s="65"/>
      <c r="BI170" s="65"/>
      <c r="BJ170" s="65"/>
      <c r="BK170" s="65"/>
    </row>
    <row r="171" spans="1:63" s="62" customFormat="1" ht="12.75">
      <c r="A171" s="62" t="s">
        <v>177</v>
      </c>
      <c r="B171" s="16" t="s">
        <v>85</v>
      </c>
      <c r="C171" s="16"/>
      <c r="D171" s="16" t="s">
        <v>18</v>
      </c>
      <c r="G171" s="65">
        <v>4.3</v>
      </c>
      <c r="H171" s="65"/>
      <c r="I171" s="65">
        <v>4</v>
      </c>
      <c r="J171" s="65"/>
      <c r="K171" s="65">
        <v>4.3</v>
      </c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  <c r="AL171" s="65"/>
      <c r="AM171" s="65"/>
      <c r="AN171" s="65"/>
      <c r="AO171" s="65"/>
      <c r="AP171" s="65"/>
      <c r="AQ171" s="65"/>
      <c r="AR171" s="65"/>
      <c r="AS171" s="65"/>
      <c r="AT171" s="65"/>
      <c r="AU171" s="65"/>
      <c r="AV171" s="65"/>
      <c r="AW171" s="65"/>
      <c r="AX171" s="65"/>
      <c r="AY171" s="65"/>
      <c r="AZ171" s="65"/>
      <c r="BA171" s="65"/>
      <c r="BB171" s="65"/>
      <c r="BC171" s="65"/>
      <c r="BD171" s="65"/>
      <c r="BE171" s="65"/>
      <c r="BF171" s="65"/>
      <c r="BG171" s="65"/>
      <c r="BH171" s="65"/>
      <c r="BI171" s="65"/>
      <c r="BJ171" s="65"/>
      <c r="BK171" s="65"/>
    </row>
    <row r="172" spans="2:63" s="62" customFormat="1" ht="12.75">
      <c r="B172" s="16" t="s">
        <v>81</v>
      </c>
      <c r="C172" s="16"/>
      <c r="D172" s="16" t="s">
        <v>19</v>
      </c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  <c r="AN172" s="65"/>
      <c r="AO172" s="65"/>
      <c r="AP172" s="65"/>
      <c r="AQ172" s="65"/>
      <c r="AR172" s="65"/>
      <c r="AS172" s="65"/>
      <c r="AT172" s="65"/>
      <c r="AU172" s="65"/>
      <c r="AV172" s="65"/>
      <c r="AW172" s="65"/>
      <c r="AX172" s="65"/>
      <c r="AY172" s="65"/>
      <c r="AZ172" s="65"/>
      <c r="BA172" s="65"/>
      <c r="BB172" s="65"/>
      <c r="BC172" s="65"/>
      <c r="BD172" s="65"/>
      <c r="BE172" s="65"/>
      <c r="BF172" s="65"/>
      <c r="BG172" s="65"/>
      <c r="BH172" s="65"/>
      <c r="BI172" s="65"/>
      <c r="BJ172" s="65"/>
      <c r="BK172" s="65"/>
    </row>
    <row r="173" spans="7:63" s="62" customFormat="1" ht="12.75"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65"/>
      <c r="BA173" s="65"/>
      <c r="BB173" s="65"/>
      <c r="BC173" s="65"/>
      <c r="BD173" s="65"/>
      <c r="BE173" s="65"/>
      <c r="BF173" s="65"/>
      <c r="BG173" s="65"/>
      <c r="BH173" s="65"/>
      <c r="BI173" s="65"/>
      <c r="BJ173" s="65"/>
      <c r="BK173" s="65"/>
    </row>
    <row r="174" spans="2:63" s="62" customFormat="1" ht="12.75">
      <c r="B174" s="62" t="s">
        <v>87</v>
      </c>
      <c r="C174" s="62" t="s">
        <v>192</v>
      </c>
      <c r="D174" s="66" t="s">
        <v>242</v>
      </c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  <c r="Y174" s="65"/>
      <c r="Z174" s="65"/>
      <c r="AA174" s="65"/>
      <c r="AB174" s="65"/>
      <c r="AC174" s="65"/>
      <c r="AD174" s="65"/>
      <c r="AE174" s="65"/>
      <c r="AF174" s="65"/>
      <c r="AG174" s="65"/>
      <c r="AH174" s="65"/>
      <c r="AI174" s="65"/>
      <c r="AJ174" s="65"/>
      <c r="AK174" s="65"/>
      <c r="AL174" s="65"/>
      <c r="AM174" s="65"/>
      <c r="AN174" s="65"/>
      <c r="AO174" s="65"/>
      <c r="AP174" s="65"/>
      <c r="AQ174" s="65"/>
      <c r="AR174" s="65"/>
      <c r="AS174" s="65"/>
      <c r="AT174" s="65"/>
      <c r="AU174" s="65"/>
      <c r="AV174" s="65"/>
      <c r="AW174" s="65"/>
      <c r="AX174" s="65"/>
      <c r="AY174" s="65"/>
      <c r="AZ174" s="65"/>
      <c r="BA174" s="65"/>
      <c r="BB174" s="65"/>
      <c r="BC174" s="65"/>
      <c r="BD174" s="65"/>
      <c r="BE174" s="65"/>
      <c r="BF174" s="65"/>
      <c r="BG174" s="65"/>
      <c r="BH174" s="65"/>
      <c r="BI174" s="65"/>
      <c r="BJ174" s="65"/>
      <c r="BK174" s="65"/>
    </row>
    <row r="175" spans="2:63" s="62" customFormat="1" ht="12.75">
      <c r="B175" s="16" t="s">
        <v>82</v>
      </c>
      <c r="C175" s="16"/>
      <c r="D175" s="16" t="s">
        <v>17</v>
      </c>
      <c r="G175" s="65">
        <v>5294</v>
      </c>
      <c r="H175" s="65"/>
      <c r="I175" s="65">
        <v>5147</v>
      </c>
      <c r="J175" s="65"/>
      <c r="K175" s="65">
        <v>5107</v>
      </c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/>
      <c r="AB175" s="65"/>
      <c r="AC175" s="65"/>
      <c r="AD175" s="65"/>
      <c r="AE175" s="65"/>
      <c r="AF175" s="65"/>
      <c r="AG175" s="65"/>
      <c r="AH175" s="65"/>
      <c r="AI175" s="65"/>
      <c r="AJ175" s="65"/>
      <c r="AK175" s="65"/>
      <c r="AL175" s="65"/>
      <c r="AM175" s="65"/>
      <c r="AN175" s="65"/>
      <c r="AO175" s="65"/>
      <c r="AP175" s="65"/>
      <c r="AQ175" s="65"/>
      <c r="AR175" s="65"/>
      <c r="AS175" s="65"/>
      <c r="AT175" s="65"/>
      <c r="AU175" s="65"/>
      <c r="AV175" s="65"/>
      <c r="AW175" s="65"/>
      <c r="AX175" s="65"/>
      <c r="AY175" s="65"/>
      <c r="AZ175" s="65"/>
      <c r="BA175" s="65"/>
      <c r="BB175" s="65"/>
      <c r="BC175" s="65"/>
      <c r="BD175" s="65"/>
      <c r="BE175" s="65"/>
      <c r="BF175" s="65"/>
      <c r="BG175" s="65"/>
      <c r="BH175" s="65"/>
      <c r="BI175" s="65"/>
      <c r="BJ175" s="65"/>
      <c r="BK175" s="65"/>
    </row>
    <row r="176" spans="2:63" s="62" customFormat="1" ht="12.75">
      <c r="B176" s="16" t="s">
        <v>84</v>
      </c>
      <c r="C176" s="16"/>
      <c r="D176" s="16" t="s">
        <v>18</v>
      </c>
      <c r="G176" s="65">
        <v>16</v>
      </c>
      <c r="H176" s="65"/>
      <c r="I176" s="65">
        <v>15.93</v>
      </c>
      <c r="J176" s="65"/>
      <c r="K176" s="65">
        <v>16.2</v>
      </c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  <c r="Y176" s="65"/>
      <c r="Z176" s="65"/>
      <c r="AA176" s="65"/>
      <c r="AB176" s="65"/>
      <c r="AC176" s="65"/>
      <c r="AD176" s="65"/>
      <c r="AE176" s="65"/>
      <c r="AF176" s="65"/>
      <c r="AG176" s="65"/>
      <c r="AH176" s="65"/>
      <c r="AI176" s="65"/>
      <c r="AJ176" s="65"/>
      <c r="AK176" s="65"/>
      <c r="AL176" s="65"/>
      <c r="AM176" s="65"/>
      <c r="AN176" s="65"/>
      <c r="AO176" s="65"/>
      <c r="AP176" s="65"/>
      <c r="AQ176" s="65"/>
      <c r="AR176" s="65"/>
      <c r="AS176" s="65"/>
      <c r="AT176" s="65"/>
      <c r="AU176" s="65"/>
      <c r="AV176" s="65"/>
      <c r="AW176" s="65"/>
      <c r="AX176" s="65"/>
      <c r="AY176" s="65"/>
      <c r="AZ176" s="65"/>
      <c r="BA176" s="65"/>
      <c r="BB176" s="65"/>
      <c r="BC176" s="65"/>
      <c r="BD176" s="65"/>
      <c r="BE176" s="65"/>
      <c r="BF176" s="65"/>
      <c r="BG176" s="65"/>
      <c r="BH176" s="65"/>
      <c r="BI176" s="65"/>
      <c r="BJ176" s="65"/>
      <c r="BK176" s="65"/>
    </row>
    <row r="177" spans="2:63" s="62" customFormat="1" ht="12.75">
      <c r="B177" s="16" t="s">
        <v>85</v>
      </c>
      <c r="C177" s="16"/>
      <c r="D177" s="16" t="s">
        <v>18</v>
      </c>
      <c r="G177" s="65">
        <v>4.2</v>
      </c>
      <c r="H177" s="65"/>
      <c r="I177" s="65">
        <v>3.9</v>
      </c>
      <c r="J177" s="65"/>
      <c r="K177" s="65">
        <v>4</v>
      </c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/>
      <c r="AC177" s="65"/>
      <c r="AD177" s="65"/>
      <c r="AE177" s="65"/>
      <c r="AF177" s="65"/>
      <c r="AG177" s="65"/>
      <c r="AH177" s="65"/>
      <c r="AI177" s="65"/>
      <c r="AJ177" s="65"/>
      <c r="AK177" s="65"/>
      <c r="AL177" s="65"/>
      <c r="AM177" s="65"/>
      <c r="AN177" s="65"/>
      <c r="AO177" s="65"/>
      <c r="AP177" s="65"/>
      <c r="AQ177" s="65"/>
      <c r="AR177" s="65"/>
      <c r="AS177" s="65"/>
      <c r="AT177" s="65"/>
      <c r="AU177" s="65"/>
      <c r="AV177" s="65"/>
      <c r="AW177" s="65"/>
      <c r="AX177" s="65"/>
      <c r="AY177" s="65"/>
      <c r="AZ177" s="65"/>
      <c r="BA177" s="65"/>
      <c r="BB177" s="65"/>
      <c r="BC177" s="65"/>
      <c r="BD177" s="65"/>
      <c r="BE177" s="65"/>
      <c r="BF177" s="65"/>
      <c r="BG177" s="65"/>
      <c r="BH177" s="65"/>
      <c r="BI177" s="65"/>
      <c r="BJ177" s="65"/>
      <c r="BK177" s="65"/>
    </row>
    <row r="178" spans="2:63" s="62" customFormat="1" ht="12.75">
      <c r="B178" s="16" t="s">
        <v>81</v>
      </c>
      <c r="C178" s="16"/>
      <c r="D178" s="16" t="s">
        <v>19</v>
      </c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  <c r="Y178" s="65"/>
      <c r="Z178" s="65"/>
      <c r="AA178" s="65"/>
      <c r="AB178" s="65"/>
      <c r="AC178" s="65"/>
      <c r="AD178" s="65"/>
      <c r="AE178" s="65"/>
      <c r="AF178" s="65"/>
      <c r="AG178" s="65"/>
      <c r="AH178" s="65"/>
      <c r="AI178" s="65"/>
      <c r="AJ178" s="65"/>
      <c r="AK178" s="65"/>
      <c r="AL178" s="65"/>
      <c r="AM178" s="65"/>
      <c r="AN178" s="65"/>
      <c r="AO178" s="65"/>
      <c r="AP178" s="65"/>
      <c r="AQ178" s="65"/>
      <c r="AR178" s="65"/>
      <c r="AS178" s="65"/>
      <c r="AT178" s="65"/>
      <c r="AU178" s="65"/>
      <c r="AV178" s="65"/>
      <c r="AW178" s="65"/>
      <c r="AX178" s="65"/>
      <c r="AY178" s="65"/>
      <c r="AZ178" s="65"/>
      <c r="BA178" s="65"/>
      <c r="BB178" s="65"/>
      <c r="BC178" s="65"/>
      <c r="BD178" s="65"/>
      <c r="BE178" s="65"/>
      <c r="BF178" s="65"/>
      <c r="BG178" s="65"/>
      <c r="BH178" s="65"/>
      <c r="BI178" s="65"/>
      <c r="BJ178" s="65"/>
      <c r="BK178" s="65"/>
    </row>
    <row r="180" spans="1:57" s="66" customFormat="1" ht="12.75">
      <c r="A180" s="66" t="s">
        <v>177</v>
      </c>
      <c r="B180" s="66" t="s">
        <v>194</v>
      </c>
      <c r="C180" s="66" t="s">
        <v>54</v>
      </c>
      <c r="D180" s="66" t="s">
        <v>18</v>
      </c>
      <c r="G180" s="67">
        <v>99.9982</v>
      </c>
      <c r="H180" s="67"/>
      <c r="I180" s="67">
        <v>99.9986</v>
      </c>
      <c r="J180" s="67"/>
      <c r="K180" s="67">
        <v>99.9986</v>
      </c>
      <c r="L180" s="67"/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  <c r="AY180" s="67"/>
      <c r="AZ180" s="67"/>
      <c r="BA180" s="67"/>
      <c r="BB180" s="67"/>
      <c r="BC180" s="67"/>
      <c r="BD180" s="67"/>
      <c r="BE180" s="67"/>
    </row>
    <row r="181" spans="1:57" s="66" customFormat="1" ht="12.75">
      <c r="A181" s="66" t="s">
        <v>177</v>
      </c>
      <c r="B181" s="66" t="s">
        <v>195</v>
      </c>
      <c r="C181" s="66" t="s">
        <v>54</v>
      </c>
      <c r="D181" s="66" t="s">
        <v>18</v>
      </c>
      <c r="G181" s="67">
        <v>99.9924</v>
      </c>
      <c r="H181" s="67"/>
      <c r="I181" s="67">
        <v>99.9943</v>
      </c>
      <c r="J181" s="67"/>
      <c r="K181" s="67">
        <v>99.9944</v>
      </c>
      <c r="L181" s="67"/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  <c r="AY181" s="67"/>
      <c r="AZ181" s="67"/>
      <c r="BA181" s="67"/>
      <c r="BB181" s="67"/>
      <c r="BC181" s="67"/>
      <c r="BD181" s="67"/>
      <c r="BE181" s="67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K60"/>
  <sheetViews>
    <sheetView workbookViewId="0" topLeftCell="B23">
      <selection activeCell="C42" sqref="C42"/>
    </sheetView>
  </sheetViews>
  <sheetFormatPr defaultColWidth="9.140625" defaultRowHeight="12.75"/>
  <cols>
    <col min="1" max="1" width="3.57421875" style="31" hidden="1" customWidth="1"/>
    <col min="2" max="2" width="20.140625" style="12" customWidth="1"/>
    <col min="3" max="3" width="3.140625" style="12" customWidth="1"/>
    <col min="4" max="4" width="9.28125" style="12" customWidth="1"/>
    <col min="5" max="5" width="3.140625" style="33" customWidth="1"/>
    <col min="6" max="6" width="9.7109375" style="31" customWidth="1"/>
    <col min="7" max="7" width="1.7109375" style="31" customWidth="1"/>
    <col min="8" max="8" width="12.8515625" style="31" customWidth="1"/>
    <col min="9" max="9" width="2.421875" style="31" customWidth="1"/>
    <col min="10" max="10" width="11.7109375" style="31" customWidth="1"/>
    <col min="11" max="11" width="2.140625" style="31" customWidth="1"/>
    <col min="12" max="12" width="12.8515625" style="31" customWidth="1"/>
    <col min="13" max="13" width="2.00390625" style="31" customWidth="1"/>
    <col min="14" max="14" width="9.7109375" style="31" customWidth="1"/>
    <col min="15" max="15" width="1.8515625" style="31" customWidth="1"/>
    <col min="16" max="16" width="10.28125" style="31" customWidth="1"/>
    <col min="17" max="17" width="1.8515625" style="31" customWidth="1"/>
    <col min="18" max="18" width="9.28125" style="31" customWidth="1"/>
    <col min="19" max="19" width="1.7109375" style="31" customWidth="1"/>
    <col min="20" max="20" width="10.00390625" style="31" customWidth="1"/>
    <col min="21" max="21" width="3.00390625" style="31" customWidth="1"/>
    <col min="22" max="22" width="10.57421875" style="31" customWidth="1"/>
    <col min="23" max="23" width="1.57421875" style="31" customWidth="1"/>
    <col min="24" max="24" width="11.00390625" style="31" customWidth="1"/>
    <col min="25" max="25" width="1.7109375" style="31" customWidth="1"/>
    <col min="26" max="26" width="10.140625" style="31" customWidth="1"/>
    <col min="27" max="27" width="1.8515625" style="31" customWidth="1"/>
    <col min="28" max="28" width="11.28125" style="31" customWidth="1"/>
    <col min="29" max="16384" width="8.8515625" style="31" customWidth="1"/>
  </cols>
  <sheetData>
    <row r="1" spans="2:3" ht="12.75">
      <c r="B1" s="30" t="s">
        <v>215</v>
      </c>
      <c r="C1" s="30"/>
    </row>
    <row r="4" spans="1:12" ht="12.75">
      <c r="A4" s="31" t="s">
        <v>88</v>
      </c>
      <c r="B4" s="30" t="s">
        <v>168</v>
      </c>
      <c r="C4" s="30"/>
      <c r="F4" s="33" t="s">
        <v>104</v>
      </c>
      <c r="G4" s="33"/>
      <c r="H4" s="33" t="s">
        <v>105</v>
      </c>
      <c r="I4" s="33"/>
      <c r="J4" s="33" t="s">
        <v>106</v>
      </c>
      <c r="K4" s="33"/>
      <c r="L4" s="33" t="s">
        <v>47</v>
      </c>
    </row>
    <row r="6" spans="2:12" ht="12.75">
      <c r="B6" s="12" t="s">
        <v>257</v>
      </c>
      <c r="F6" s="31" t="s">
        <v>259</v>
      </c>
      <c r="H6" s="31" t="s">
        <v>259</v>
      </c>
      <c r="J6" s="31" t="s">
        <v>259</v>
      </c>
      <c r="L6" s="31" t="s">
        <v>259</v>
      </c>
    </row>
    <row r="7" spans="2:12" ht="12.75">
      <c r="B7" s="12" t="s">
        <v>258</v>
      </c>
      <c r="F7" s="31" t="s">
        <v>260</v>
      </c>
      <c r="H7" s="31" t="s">
        <v>260</v>
      </c>
      <c r="J7" s="31" t="s">
        <v>260</v>
      </c>
      <c r="L7" s="31" t="s">
        <v>260</v>
      </c>
    </row>
    <row r="8" spans="2:12" ht="12.75">
      <c r="B8" s="20" t="s">
        <v>269</v>
      </c>
      <c r="F8" s="31" t="s">
        <v>67</v>
      </c>
      <c r="H8" s="31" t="s">
        <v>67</v>
      </c>
      <c r="J8" s="31" t="s">
        <v>67</v>
      </c>
      <c r="L8" s="31" t="s">
        <v>67</v>
      </c>
    </row>
    <row r="9" spans="2:28" ht="12.75">
      <c r="B9" s="12" t="s">
        <v>48</v>
      </c>
      <c r="E9" s="32"/>
      <c r="F9" s="32" t="s">
        <v>125</v>
      </c>
      <c r="G9" s="32"/>
      <c r="H9" s="32" t="s">
        <v>125</v>
      </c>
      <c r="I9" s="32"/>
      <c r="J9" s="32" t="s">
        <v>125</v>
      </c>
      <c r="K9" s="32"/>
      <c r="L9" s="32" t="s">
        <v>125</v>
      </c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Z9" s="32"/>
      <c r="AB9" s="32"/>
    </row>
    <row r="10" spans="2:21" ht="12.75">
      <c r="B10" s="12" t="s">
        <v>90</v>
      </c>
      <c r="D10" s="12" t="s">
        <v>55</v>
      </c>
      <c r="F10" s="16">
        <f>5.64*60</f>
        <v>338.4</v>
      </c>
      <c r="G10" s="16"/>
      <c r="H10" s="16">
        <f>10.23*60</f>
        <v>613.8000000000001</v>
      </c>
      <c r="I10" s="16"/>
      <c r="J10" s="16">
        <f>5.43*60</f>
        <v>325.79999999999995</v>
      </c>
      <c r="K10" s="16"/>
      <c r="L10" s="16">
        <f>AVERAGE(J10,H10,F10)</f>
        <v>426</v>
      </c>
      <c r="M10" s="16"/>
      <c r="N10" s="16"/>
      <c r="O10" s="16"/>
      <c r="P10" s="16"/>
      <c r="Q10" s="16"/>
      <c r="R10" s="16"/>
      <c r="S10" s="16"/>
      <c r="T10" s="16"/>
      <c r="U10" s="34"/>
    </row>
    <row r="11" spans="2:20" ht="12.75">
      <c r="B11" s="12" t="s">
        <v>49</v>
      </c>
      <c r="D11" s="12" t="s">
        <v>50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2:63" ht="12.75">
      <c r="B12" s="12" t="s">
        <v>89</v>
      </c>
      <c r="D12" s="12" t="s">
        <v>147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</row>
    <row r="13" spans="5:23" ht="12.75">
      <c r="E13" s="14"/>
      <c r="F13" s="13"/>
      <c r="G13" s="13"/>
      <c r="H13" s="13"/>
      <c r="I13" s="13"/>
      <c r="J13" s="13"/>
      <c r="K13" s="13"/>
      <c r="L13" s="13"/>
      <c r="M13" s="33"/>
      <c r="V13" s="13"/>
      <c r="W13" s="13"/>
    </row>
    <row r="14" spans="1:12" ht="12.75">
      <c r="A14" s="31" t="s">
        <v>88</v>
      </c>
      <c r="B14" s="30" t="s">
        <v>167</v>
      </c>
      <c r="C14" s="30"/>
      <c r="F14" s="33" t="s">
        <v>104</v>
      </c>
      <c r="G14" s="33"/>
      <c r="H14" s="33" t="s">
        <v>105</v>
      </c>
      <c r="I14" s="33"/>
      <c r="J14" s="33" t="s">
        <v>106</v>
      </c>
      <c r="K14" s="33"/>
      <c r="L14" s="33" t="s">
        <v>47</v>
      </c>
    </row>
    <row r="16" spans="2:12" ht="12.75">
      <c r="B16" s="12" t="s">
        <v>257</v>
      </c>
      <c r="F16" s="31" t="s">
        <v>259</v>
      </c>
      <c r="H16" s="31" t="s">
        <v>259</v>
      </c>
      <c r="J16" s="31" t="s">
        <v>259</v>
      </c>
      <c r="L16" s="31" t="s">
        <v>259</v>
      </c>
    </row>
    <row r="17" spans="2:12" ht="12.75">
      <c r="B17" s="12" t="s">
        <v>258</v>
      </c>
      <c r="F17" s="31" t="s">
        <v>260</v>
      </c>
      <c r="H17" s="31" t="s">
        <v>260</v>
      </c>
      <c r="J17" s="31" t="s">
        <v>260</v>
      </c>
      <c r="L17" s="31" t="s">
        <v>260</v>
      </c>
    </row>
    <row r="18" spans="2:12" ht="12.75">
      <c r="B18" s="20" t="s">
        <v>269</v>
      </c>
      <c r="F18" s="31" t="s">
        <v>67</v>
      </c>
      <c r="H18" s="31" t="s">
        <v>67</v>
      </c>
      <c r="J18" s="31" t="s">
        <v>67</v>
      </c>
      <c r="L18" s="31" t="s">
        <v>67</v>
      </c>
    </row>
    <row r="19" spans="2:23" ht="12.75">
      <c r="B19" s="12" t="s">
        <v>48</v>
      </c>
      <c r="E19" s="32"/>
      <c r="F19" s="32" t="s">
        <v>126</v>
      </c>
      <c r="G19" s="32"/>
      <c r="H19" s="32" t="s">
        <v>126</v>
      </c>
      <c r="I19" s="32"/>
      <c r="J19" s="32" t="s">
        <v>126</v>
      </c>
      <c r="K19" s="32"/>
      <c r="L19" s="32" t="s">
        <v>126</v>
      </c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</row>
    <row r="20" spans="2:18" ht="12.75">
      <c r="B20" s="12" t="s">
        <v>90</v>
      </c>
      <c r="D20" s="12" t="s">
        <v>55</v>
      </c>
      <c r="F20" s="16">
        <f>212.2*60</f>
        <v>12732</v>
      </c>
      <c r="G20" s="16"/>
      <c r="H20" s="16">
        <f>207.7*60</f>
        <v>12462</v>
      </c>
      <c r="I20" s="16"/>
      <c r="J20" s="16">
        <f>217*60</f>
        <v>13020</v>
      </c>
      <c r="K20" s="16"/>
      <c r="L20" s="16">
        <f>AVERAGE(J20,H20,F20)</f>
        <v>12738</v>
      </c>
      <c r="M20" s="16"/>
      <c r="N20" s="16"/>
      <c r="O20" s="16"/>
      <c r="P20" s="16"/>
      <c r="Q20" s="16"/>
      <c r="R20" s="16"/>
    </row>
    <row r="21" spans="2:18" ht="12.75">
      <c r="B21" s="12" t="s">
        <v>49</v>
      </c>
      <c r="D21" s="12" t="s">
        <v>50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spans="2:18" ht="12.75">
      <c r="B22" s="12" t="s">
        <v>89</v>
      </c>
      <c r="D22" s="12" t="s">
        <v>147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spans="6:13" ht="12.75">
      <c r="F23" s="32"/>
      <c r="G23" s="32"/>
      <c r="H23" s="32"/>
      <c r="I23" s="32"/>
      <c r="J23" s="32"/>
      <c r="K23" s="32"/>
      <c r="L23" s="32"/>
      <c r="M23" s="33"/>
    </row>
    <row r="24" spans="1:20" ht="12.75">
      <c r="A24" s="31" t="s">
        <v>88</v>
      </c>
      <c r="B24" s="30" t="s">
        <v>166</v>
      </c>
      <c r="C24" s="30"/>
      <c r="F24" s="33" t="s">
        <v>104</v>
      </c>
      <c r="G24" s="33"/>
      <c r="H24" s="33" t="s">
        <v>105</v>
      </c>
      <c r="I24" s="33"/>
      <c r="J24" s="33" t="s">
        <v>106</v>
      </c>
      <c r="K24" s="33"/>
      <c r="L24" s="33" t="s">
        <v>47</v>
      </c>
      <c r="N24" s="31" t="s">
        <v>104</v>
      </c>
      <c r="P24" s="31" t="s">
        <v>105</v>
      </c>
      <c r="R24" s="31" t="s">
        <v>106</v>
      </c>
      <c r="T24" s="31" t="s">
        <v>47</v>
      </c>
    </row>
    <row r="26" spans="2:12" ht="12.75">
      <c r="B26" s="12" t="s">
        <v>257</v>
      </c>
      <c r="F26" s="31" t="s">
        <v>259</v>
      </c>
      <c r="H26" s="31" t="s">
        <v>259</v>
      </c>
      <c r="J26" s="31" t="s">
        <v>259</v>
      </c>
      <c r="L26" s="31" t="s">
        <v>259</v>
      </c>
    </row>
    <row r="27" spans="2:12" ht="12.75">
      <c r="B27" s="12" t="s">
        <v>258</v>
      </c>
      <c r="F27" s="31" t="s">
        <v>260</v>
      </c>
      <c r="H27" s="31" t="s">
        <v>260</v>
      </c>
      <c r="J27" s="31" t="s">
        <v>260</v>
      </c>
      <c r="L27" s="31" t="s">
        <v>260</v>
      </c>
    </row>
    <row r="28" spans="2:20" ht="12.75">
      <c r="B28" s="20" t="s">
        <v>269</v>
      </c>
      <c r="F28" s="31" t="s">
        <v>67</v>
      </c>
      <c r="H28" s="31" t="s">
        <v>67</v>
      </c>
      <c r="J28" s="31" t="s">
        <v>67</v>
      </c>
      <c r="L28" s="31" t="s">
        <v>67</v>
      </c>
      <c r="N28" s="31" t="s">
        <v>25</v>
      </c>
      <c r="P28" s="31" t="s">
        <v>25</v>
      </c>
      <c r="R28" s="31" t="s">
        <v>25</v>
      </c>
      <c r="T28" s="31" t="s">
        <v>25</v>
      </c>
    </row>
    <row r="29" spans="2:23" ht="12.75">
      <c r="B29" s="12" t="s">
        <v>48</v>
      </c>
      <c r="E29" s="32"/>
      <c r="F29" s="32" t="s">
        <v>143</v>
      </c>
      <c r="G29" s="32"/>
      <c r="H29" s="32" t="s">
        <v>143</v>
      </c>
      <c r="I29" s="32"/>
      <c r="J29" s="32" t="s">
        <v>143</v>
      </c>
      <c r="K29" s="32"/>
      <c r="L29" s="32" t="s">
        <v>143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</row>
    <row r="30" spans="2:20" ht="12.75">
      <c r="B30" s="12" t="s">
        <v>90</v>
      </c>
      <c r="D30" s="12" t="s">
        <v>55</v>
      </c>
      <c r="F30" s="16">
        <v>335.6</v>
      </c>
      <c r="G30" s="16"/>
      <c r="H30" s="16">
        <v>284.5</v>
      </c>
      <c r="I30" s="16"/>
      <c r="J30" s="16">
        <v>331.5</v>
      </c>
      <c r="K30" s="16"/>
      <c r="L30" s="16">
        <f>AVERAGE(J30,H30,F30)</f>
        <v>317.2</v>
      </c>
      <c r="M30" s="16"/>
      <c r="N30" s="16">
        <f>F30</f>
        <v>335.6</v>
      </c>
      <c r="O30" s="16"/>
      <c r="P30" s="16">
        <f>H30</f>
        <v>284.5</v>
      </c>
      <c r="Q30" s="16"/>
      <c r="R30" s="16">
        <f>J30</f>
        <v>331.5</v>
      </c>
      <c r="T30" s="16">
        <f>L30</f>
        <v>317.2</v>
      </c>
    </row>
    <row r="31" spans="2:18" ht="12.75">
      <c r="B31" s="12" t="s">
        <v>49</v>
      </c>
      <c r="D31" s="12" t="s">
        <v>50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2:20" ht="12.75">
      <c r="B32" s="12" t="s">
        <v>51</v>
      </c>
      <c r="D32" s="12" t="s">
        <v>55</v>
      </c>
      <c r="F32" s="31">
        <v>57.1</v>
      </c>
      <c r="H32" s="31">
        <v>48.4</v>
      </c>
      <c r="J32" s="31">
        <v>56.4</v>
      </c>
      <c r="N32" s="16">
        <f>F32</f>
        <v>57.1</v>
      </c>
      <c r="P32" s="16">
        <f>H32</f>
        <v>48.4</v>
      </c>
      <c r="R32" s="16">
        <f>J32</f>
        <v>56.4</v>
      </c>
      <c r="T32" s="16"/>
    </row>
    <row r="33" spans="2:13" ht="12.75">
      <c r="B33" s="12" t="s">
        <v>144</v>
      </c>
      <c r="D33" s="12" t="s">
        <v>55</v>
      </c>
      <c r="F33" s="35">
        <v>1</v>
      </c>
      <c r="G33" s="35"/>
      <c r="H33" s="35">
        <v>0.8</v>
      </c>
      <c r="I33" s="35"/>
      <c r="J33" s="35">
        <v>1</v>
      </c>
      <c r="K33" s="35"/>
      <c r="L33" s="35"/>
      <c r="M33" s="32"/>
    </row>
    <row r="34" spans="6:13" ht="12.75">
      <c r="F34" s="35"/>
      <c r="G34" s="35"/>
      <c r="H34" s="35"/>
      <c r="I34" s="35"/>
      <c r="J34" s="35"/>
      <c r="K34" s="35"/>
      <c r="L34" s="35"/>
      <c r="M34" s="32"/>
    </row>
    <row r="35" spans="2:52" ht="12.75">
      <c r="B35" s="12" t="s">
        <v>145</v>
      </c>
      <c r="D35" s="12" t="s">
        <v>17</v>
      </c>
      <c r="F35" s="28">
        <f>'emiss 1'!G103</f>
        <v>3545</v>
      </c>
      <c r="G35" s="33"/>
      <c r="H35" s="28">
        <f>'emiss 1'!I103</f>
        <v>3491.6666666666665</v>
      </c>
      <c r="I35" s="32"/>
      <c r="J35" s="28">
        <f>'emiss 1'!K103</f>
        <v>3676.6666666666665</v>
      </c>
      <c r="K35" s="33"/>
      <c r="L35" s="28">
        <f>'emiss 1'!M103</f>
        <v>3571.111111111111</v>
      </c>
      <c r="AT35" s="16"/>
      <c r="AU35" s="16"/>
      <c r="AV35" s="16"/>
      <c r="AW35" s="16"/>
      <c r="AX35" s="16"/>
      <c r="AY35" s="16"/>
      <c r="AZ35" s="16"/>
    </row>
    <row r="36" spans="2:52" ht="12.75">
      <c r="B36" s="12" t="s">
        <v>146</v>
      </c>
      <c r="D36" s="12" t="s">
        <v>18</v>
      </c>
      <c r="F36" s="28">
        <f>'emiss 1'!G104</f>
        <v>15.4</v>
      </c>
      <c r="G36" s="33"/>
      <c r="H36" s="28">
        <f>'emiss 1'!I104</f>
        <v>15.6</v>
      </c>
      <c r="I36" s="32"/>
      <c r="J36" s="28">
        <f>'emiss 1'!K104</f>
        <v>16.3</v>
      </c>
      <c r="K36" s="33"/>
      <c r="L36" s="28">
        <f>'emiss 1'!M104</f>
        <v>15.766666666666666</v>
      </c>
      <c r="AT36" s="16"/>
      <c r="AU36" s="16"/>
      <c r="AV36" s="16"/>
      <c r="AW36" s="16"/>
      <c r="AX36" s="16"/>
      <c r="AY36" s="16"/>
      <c r="AZ36" s="16"/>
    </row>
    <row r="37" spans="6:52" ht="12.75">
      <c r="F37" s="32"/>
      <c r="G37" s="33"/>
      <c r="H37" s="32"/>
      <c r="I37" s="32"/>
      <c r="J37" s="33"/>
      <c r="K37" s="33"/>
      <c r="AT37" s="16"/>
      <c r="AU37" s="16"/>
      <c r="AV37" s="16"/>
      <c r="AW37" s="16"/>
      <c r="AX37" s="16"/>
      <c r="AY37" s="16"/>
      <c r="AZ37" s="16"/>
    </row>
    <row r="38" spans="2:52" ht="12.75">
      <c r="B38" s="12" t="s">
        <v>89</v>
      </c>
      <c r="D38" s="12" t="s">
        <v>147</v>
      </c>
      <c r="F38" s="13"/>
      <c r="G38" s="14"/>
      <c r="H38" s="13"/>
      <c r="I38" s="13"/>
      <c r="J38" s="33"/>
      <c r="K38" s="33"/>
      <c r="P38" s="34"/>
      <c r="AT38" s="16"/>
      <c r="AU38" s="16"/>
      <c r="AV38" s="16"/>
      <c r="AW38" s="16"/>
      <c r="AX38" s="16"/>
      <c r="AY38" s="16"/>
      <c r="AZ38" s="16"/>
    </row>
    <row r="39" spans="2:52" ht="12.75">
      <c r="B39" s="12" t="s">
        <v>271</v>
      </c>
      <c r="D39" s="12" t="s">
        <v>147</v>
      </c>
      <c r="F39" s="34">
        <f>F35/9000*(21-F36)/21*60</f>
        <v>6.3022222222222215</v>
      </c>
      <c r="G39" s="14"/>
      <c r="H39" s="34">
        <f>H35/9000*(21-H36)/21*60</f>
        <v>5.985714285714287</v>
      </c>
      <c r="I39" s="13"/>
      <c r="J39" s="34">
        <f>J35/9000*(21-J36)/21*60</f>
        <v>5.485820105820105</v>
      </c>
      <c r="K39" s="33"/>
      <c r="L39" s="34">
        <f>L35/9000*(21-L36)/21*60</f>
        <v>5.932957084068196</v>
      </c>
      <c r="N39" s="38">
        <f>F39</f>
        <v>6.3022222222222215</v>
      </c>
      <c r="O39" s="34"/>
      <c r="P39" s="38">
        <f>H39</f>
        <v>5.985714285714287</v>
      </c>
      <c r="Q39" s="34"/>
      <c r="R39" s="38">
        <f>J39</f>
        <v>5.485820105820105</v>
      </c>
      <c r="S39" s="34"/>
      <c r="T39" s="38">
        <f>L39</f>
        <v>5.932957084068196</v>
      </c>
      <c r="AT39" s="16"/>
      <c r="AU39" s="16"/>
      <c r="AV39" s="16"/>
      <c r="AW39" s="16"/>
      <c r="AX39" s="16"/>
      <c r="AY39" s="16"/>
      <c r="AZ39" s="16"/>
    </row>
    <row r="40" spans="7:52" ht="12.75">
      <c r="G40" s="14"/>
      <c r="H40" s="13"/>
      <c r="I40" s="13"/>
      <c r="J40" s="33"/>
      <c r="K40" s="33"/>
      <c r="P40" s="13"/>
      <c r="AT40" s="16"/>
      <c r="AU40" s="16"/>
      <c r="AV40" s="16"/>
      <c r="AW40" s="16"/>
      <c r="AX40" s="16"/>
      <c r="AY40" s="16"/>
      <c r="AZ40" s="16"/>
    </row>
    <row r="41" spans="2:52" ht="12.75">
      <c r="B41" s="50" t="s">
        <v>148</v>
      </c>
      <c r="C41" s="50"/>
      <c r="G41" s="14"/>
      <c r="H41" s="13"/>
      <c r="I41" s="13"/>
      <c r="J41" s="33"/>
      <c r="K41" s="33"/>
      <c r="P41" s="13"/>
      <c r="AT41" s="16"/>
      <c r="AU41" s="16"/>
      <c r="AV41" s="16"/>
      <c r="AW41" s="16"/>
      <c r="AX41" s="16"/>
      <c r="AY41" s="16"/>
      <c r="AZ41" s="16"/>
    </row>
    <row r="42" spans="2:52" ht="12.75">
      <c r="B42" s="12" t="s">
        <v>51</v>
      </c>
      <c r="C42" s="50"/>
      <c r="D42" s="12" t="s">
        <v>66</v>
      </c>
      <c r="F42" s="45">
        <f>F32*454/60/0.0283/F$35*(21-7)/(21-F$36)*1000</f>
        <v>10766.58675850291</v>
      </c>
      <c r="G42" s="15"/>
      <c r="H42" s="45">
        <f>H32*454/60/0.0283/H$35*(21-7)/(21-H$36)*1000</f>
        <v>9608.708702799462</v>
      </c>
      <c r="I42" s="76"/>
      <c r="J42" s="45">
        <f>J32*454/60/0.0283/J$35*(21-7)/(21-J$36)*1000</f>
        <v>12217.242406671176</v>
      </c>
      <c r="K42" s="15"/>
      <c r="L42" s="77">
        <f>AVERAGE(J42,H42,F42)</f>
        <v>10864.179289324517</v>
      </c>
      <c r="M42" s="45"/>
      <c r="N42" s="77">
        <f>F42</f>
        <v>10766.58675850291</v>
      </c>
      <c r="O42" s="45"/>
      <c r="P42" s="77">
        <f>H42</f>
        <v>9608.708702799462</v>
      </c>
      <c r="Q42" s="45"/>
      <c r="R42" s="77">
        <f>J42</f>
        <v>12217.242406671176</v>
      </c>
      <c r="S42" s="45"/>
      <c r="T42" s="77">
        <f>L42</f>
        <v>10864.179289324517</v>
      </c>
      <c r="AT42" s="16"/>
      <c r="AU42" s="16"/>
      <c r="AV42" s="16"/>
      <c r="AW42" s="16"/>
      <c r="AX42" s="16"/>
      <c r="AY42" s="16"/>
      <c r="AZ42" s="16"/>
    </row>
    <row r="43" spans="2:52" ht="12.75">
      <c r="B43" s="12" t="s">
        <v>144</v>
      </c>
      <c r="D43" s="12" t="s">
        <v>60</v>
      </c>
      <c r="F43" s="45">
        <f>F33*454/60/0.0283/F$35*(21-7)/(21-F$36)*1000000</f>
        <v>188556.68578814206</v>
      </c>
      <c r="G43" s="15"/>
      <c r="H43" s="45">
        <f>H33*454/60/0.0283/H$35*(21-7)/(21-H$36)*1000000</f>
        <v>158821.63145123076</v>
      </c>
      <c r="I43" s="76"/>
      <c r="J43" s="45">
        <f>J33*454/60/0.0283/J$35*(21-7)/(21-J$36)*1000000</f>
        <v>216617.77316792865</v>
      </c>
      <c r="K43" s="15"/>
      <c r="L43" s="77">
        <f>AVERAGE(J43,H43,F43)</f>
        <v>187998.6968024338</v>
      </c>
      <c r="M43" s="45"/>
      <c r="N43" s="77">
        <f>F43</f>
        <v>188556.68578814206</v>
      </c>
      <c r="O43" s="76"/>
      <c r="P43" s="77">
        <f>H43</f>
        <v>158821.63145123076</v>
      </c>
      <c r="Q43" s="45"/>
      <c r="R43" s="77">
        <f>J43</f>
        <v>216617.77316792865</v>
      </c>
      <c r="S43" s="45"/>
      <c r="T43" s="77">
        <f>L43</f>
        <v>187998.6968024338</v>
      </c>
      <c r="AT43" s="16"/>
      <c r="AU43" s="16"/>
      <c r="AV43" s="16"/>
      <c r="AW43" s="16"/>
      <c r="AX43" s="16"/>
      <c r="AY43" s="16"/>
      <c r="AZ43" s="16"/>
    </row>
    <row r="44" spans="6:12" ht="12.75">
      <c r="F44" s="13"/>
      <c r="G44" s="13"/>
      <c r="H44" s="13"/>
      <c r="I44" s="13"/>
      <c r="J44" s="13"/>
      <c r="K44" s="13"/>
      <c r="L44" s="13"/>
    </row>
    <row r="45" spans="6:12" ht="12.75">
      <c r="F45" s="13"/>
      <c r="G45" s="13"/>
      <c r="H45" s="13"/>
      <c r="I45" s="13"/>
      <c r="J45" s="13"/>
      <c r="K45" s="13"/>
      <c r="L45" s="13"/>
    </row>
    <row r="46" spans="6:12" ht="12.75">
      <c r="F46" s="13"/>
      <c r="G46" s="13"/>
      <c r="H46" s="13"/>
      <c r="I46" s="13"/>
      <c r="J46" s="13"/>
      <c r="K46" s="13"/>
      <c r="L46" s="13"/>
    </row>
    <row r="47" spans="6:12" ht="12.75">
      <c r="F47" s="13"/>
      <c r="G47" s="13"/>
      <c r="H47" s="13"/>
      <c r="I47" s="13"/>
      <c r="J47" s="13"/>
      <c r="K47" s="13"/>
      <c r="L47" s="13"/>
    </row>
    <row r="48" spans="6:12" ht="12.75">
      <c r="F48" s="13"/>
      <c r="G48" s="13"/>
      <c r="H48" s="13"/>
      <c r="I48" s="13"/>
      <c r="J48" s="13"/>
      <c r="K48" s="13"/>
      <c r="L48" s="13"/>
    </row>
    <row r="49" spans="6:12" ht="12.75">
      <c r="F49" s="13"/>
      <c r="G49" s="13"/>
      <c r="H49" s="13"/>
      <c r="I49" s="13"/>
      <c r="J49" s="13"/>
      <c r="K49" s="13"/>
      <c r="L49" s="13"/>
    </row>
    <row r="50" spans="6:12" ht="12.75">
      <c r="F50" s="13"/>
      <c r="G50" s="13"/>
      <c r="H50" s="13"/>
      <c r="I50" s="13"/>
      <c r="J50" s="13"/>
      <c r="K50" s="13"/>
      <c r="L50" s="13"/>
    </row>
    <row r="51" spans="6:12" ht="12.75">
      <c r="F51" s="13"/>
      <c r="G51" s="13"/>
      <c r="H51" s="13"/>
      <c r="I51" s="13"/>
      <c r="J51" s="13"/>
      <c r="K51" s="13"/>
      <c r="L51" s="13"/>
    </row>
    <row r="52" spans="6:12" ht="12.75">
      <c r="F52" s="13"/>
      <c r="G52" s="13"/>
      <c r="H52" s="13"/>
      <c r="I52" s="13"/>
      <c r="J52" s="13"/>
      <c r="K52" s="13"/>
      <c r="L52" s="13"/>
    </row>
    <row r="53" spans="6:12" ht="12.75">
      <c r="F53" s="13"/>
      <c r="G53" s="13"/>
      <c r="H53" s="13"/>
      <c r="I53" s="13"/>
      <c r="J53" s="13"/>
      <c r="K53" s="13"/>
      <c r="L53" s="13"/>
    </row>
    <row r="54" spans="6:12" ht="12.75">
      <c r="F54" s="13"/>
      <c r="G54" s="13"/>
      <c r="H54" s="13"/>
      <c r="I54" s="13"/>
      <c r="J54" s="13"/>
      <c r="K54" s="13"/>
      <c r="L54" s="13"/>
    </row>
    <row r="55" spans="6:12" ht="12.75">
      <c r="F55" s="13"/>
      <c r="G55" s="13"/>
      <c r="H55" s="13"/>
      <c r="I55" s="13"/>
      <c r="J55" s="13"/>
      <c r="K55" s="13"/>
      <c r="L55" s="13"/>
    </row>
    <row r="56" spans="6:12" ht="12.75">
      <c r="F56" s="13"/>
      <c r="G56" s="13"/>
      <c r="H56" s="13"/>
      <c r="I56" s="13"/>
      <c r="J56" s="13"/>
      <c r="K56" s="13"/>
      <c r="L56" s="13"/>
    </row>
    <row r="57" spans="5:12" ht="12.75">
      <c r="E57" s="13"/>
      <c r="F57" s="13"/>
      <c r="G57" s="13"/>
      <c r="H57" s="13"/>
      <c r="I57" s="13"/>
      <c r="J57" s="13"/>
      <c r="K57" s="13"/>
      <c r="L57" s="13"/>
    </row>
    <row r="58" spans="5:12" ht="12.75">
      <c r="E58" s="13"/>
      <c r="F58" s="13"/>
      <c r="G58" s="13"/>
      <c r="H58" s="13"/>
      <c r="I58" s="13"/>
      <c r="J58" s="13"/>
      <c r="K58" s="13"/>
      <c r="L58" s="13"/>
    </row>
    <row r="60" spans="2:3" ht="12.75">
      <c r="B60" s="30"/>
      <c r="C60" s="30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D114"/>
  <sheetViews>
    <sheetView workbookViewId="0" topLeftCell="B1">
      <selection activeCell="C42" sqref="C42"/>
    </sheetView>
  </sheetViews>
  <sheetFormatPr defaultColWidth="9.140625" defaultRowHeight="12.75"/>
  <cols>
    <col min="1" max="1" width="9.140625" style="66" hidden="1" customWidth="1"/>
    <col min="2" max="2" width="18.57421875" style="66" customWidth="1"/>
    <col min="3" max="3" width="6.57421875" style="66" customWidth="1"/>
    <col min="4" max="4" width="8.421875" style="66" customWidth="1"/>
    <col min="5" max="5" width="12.00390625" style="66" bestFit="1" customWidth="1"/>
    <col min="6" max="6" width="2.7109375" style="66" customWidth="1"/>
    <col min="7" max="7" width="10.57421875" style="66" customWidth="1"/>
    <col min="8" max="8" width="3.140625" style="66" customWidth="1"/>
    <col min="9" max="9" width="9.7109375" style="66" customWidth="1"/>
    <col min="10" max="10" width="2.28125" style="66" customWidth="1"/>
    <col min="11" max="11" width="7.00390625" style="66" bestFit="1" customWidth="1"/>
    <col min="12" max="12" width="2.421875" style="66" customWidth="1"/>
    <col min="13" max="13" width="7.00390625" style="66" bestFit="1" customWidth="1"/>
    <col min="14" max="14" width="2.57421875" style="66" customWidth="1"/>
    <col min="15" max="15" width="7.00390625" style="66" bestFit="1" customWidth="1"/>
    <col min="16" max="16" width="2.00390625" style="66" customWidth="1"/>
    <col min="17" max="17" width="12.00390625" style="66" bestFit="1" customWidth="1"/>
    <col min="18" max="18" width="2.421875" style="66" customWidth="1"/>
    <col min="19" max="19" width="12.00390625" style="66" bestFit="1" customWidth="1"/>
    <col min="20" max="20" width="2.00390625" style="66" customWidth="1"/>
    <col min="21" max="21" width="8.7109375" style="66" customWidth="1"/>
    <col min="22" max="22" width="3.28125" style="66" customWidth="1"/>
    <col min="23" max="23" width="12.00390625" style="66" bestFit="1" customWidth="1"/>
    <col min="24" max="24" width="2.57421875" style="66" customWidth="1"/>
    <col min="25" max="25" width="9.57421875" style="66" customWidth="1"/>
    <col min="26" max="26" width="3.28125" style="66" customWidth="1"/>
    <col min="27" max="27" width="8.28125" style="66" customWidth="1"/>
    <col min="28" max="28" width="2.57421875" style="66" customWidth="1"/>
    <col min="29" max="29" width="7.00390625" style="66" bestFit="1" customWidth="1"/>
    <col min="30" max="30" width="2.140625" style="66" customWidth="1"/>
    <col min="31" max="31" width="7.00390625" style="66" bestFit="1" customWidth="1"/>
    <col min="32" max="32" width="2.00390625" style="66" customWidth="1"/>
    <col min="33" max="33" width="7.00390625" style="66" bestFit="1" customWidth="1"/>
    <col min="34" max="34" width="2.7109375" style="66" customWidth="1"/>
    <col min="35" max="35" width="7.00390625" style="66" bestFit="1" customWidth="1"/>
    <col min="36" max="36" width="2.28125" style="66" customWidth="1"/>
    <col min="37" max="37" width="7.00390625" style="66" bestFit="1" customWidth="1"/>
    <col min="38" max="38" width="2.421875" style="66" customWidth="1"/>
    <col min="39" max="39" width="7.00390625" style="66" bestFit="1" customWidth="1"/>
    <col min="40" max="40" width="2.7109375" style="66" customWidth="1"/>
    <col min="41" max="41" width="9.140625" style="66" customWidth="1"/>
    <col min="42" max="42" width="1.8515625" style="66" customWidth="1"/>
    <col min="43" max="43" width="9.140625" style="66" customWidth="1"/>
    <col min="44" max="44" width="2.8515625" style="66" customWidth="1"/>
    <col min="45" max="45" width="9.140625" style="66" customWidth="1"/>
    <col min="46" max="46" width="3.00390625" style="66" customWidth="1"/>
    <col min="47" max="47" width="9.140625" style="66" customWidth="1"/>
    <col min="48" max="48" width="3.00390625" style="66" customWidth="1"/>
    <col min="49" max="49" width="9.140625" style="66" customWidth="1"/>
    <col min="50" max="50" width="3.00390625" style="66" customWidth="1"/>
    <col min="51" max="51" width="9.140625" style="66" customWidth="1"/>
    <col min="52" max="52" width="3.00390625" style="66" customWidth="1"/>
    <col min="53" max="53" width="9.140625" style="66" customWidth="1"/>
    <col min="54" max="54" width="3.00390625" style="66" customWidth="1"/>
    <col min="55" max="16384" width="9.140625" style="66" customWidth="1"/>
  </cols>
  <sheetData>
    <row r="1" ht="12.75">
      <c r="B1" s="19" t="s">
        <v>216</v>
      </c>
    </row>
    <row r="4" spans="2:55" ht="12.75">
      <c r="B4" s="19" t="s">
        <v>117</v>
      </c>
      <c r="E4" s="70" t="s">
        <v>104</v>
      </c>
      <c r="F4" s="70"/>
      <c r="G4" s="70" t="s">
        <v>105</v>
      </c>
      <c r="H4" s="70"/>
      <c r="I4" s="70" t="s">
        <v>106</v>
      </c>
      <c r="J4" s="70"/>
      <c r="K4" s="70" t="s">
        <v>104</v>
      </c>
      <c r="L4" s="70"/>
      <c r="M4" s="70" t="s">
        <v>105</v>
      </c>
      <c r="N4" s="70"/>
      <c r="O4" s="70" t="s">
        <v>106</v>
      </c>
      <c r="P4" s="70"/>
      <c r="Q4" s="70" t="s">
        <v>104</v>
      </c>
      <c r="R4" s="70"/>
      <c r="S4" s="70" t="s">
        <v>105</v>
      </c>
      <c r="T4" s="70"/>
      <c r="U4" s="70" t="s">
        <v>106</v>
      </c>
      <c r="V4" s="70"/>
      <c r="W4" s="70" t="s">
        <v>104</v>
      </c>
      <c r="X4" s="70"/>
      <c r="Y4" s="70" t="s">
        <v>105</v>
      </c>
      <c r="Z4" s="70"/>
      <c r="AA4" s="70" t="s">
        <v>106</v>
      </c>
      <c r="AB4" s="70"/>
      <c r="AC4" s="70" t="s">
        <v>104</v>
      </c>
      <c r="AD4" s="70"/>
      <c r="AE4" s="70" t="s">
        <v>105</v>
      </c>
      <c r="AF4" s="70"/>
      <c r="AG4" s="70" t="s">
        <v>106</v>
      </c>
      <c r="AH4" s="70"/>
      <c r="AI4" s="70" t="s">
        <v>104</v>
      </c>
      <c r="AJ4" s="70"/>
      <c r="AK4" s="70" t="s">
        <v>105</v>
      </c>
      <c r="AL4" s="70"/>
      <c r="AM4" s="70" t="s">
        <v>106</v>
      </c>
      <c r="AN4" s="70"/>
      <c r="AO4" s="70" t="s">
        <v>104</v>
      </c>
      <c r="AP4" s="70"/>
      <c r="AQ4" s="70" t="s">
        <v>105</v>
      </c>
      <c r="AR4" s="70"/>
      <c r="AS4" s="70" t="s">
        <v>106</v>
      </c>
      <c r="AT4" s="70"/>
      <c r="AU4" s="70" t="s">
        <v>47</v>
      </c>
      <c r="AV4" s="70"/>
      <c r="AW4" s="70" t="s">
        <v>104</v>
      </c>
      <c r="AX4" s="70"/>
      <c r="AY4" s="70" t="s">
        <v>105</v>
      </c>
      <c r="AZ4" s="70"/>
      <c r="BA4" s="70" t="s">
        <v>106</v>
      </c>
      <c r="BB4" s="70"/>
      <c r="BC4" s="70" t="s">
        <v>47</v>
      </c>
    </row>
    <row r="6" spans="2:47" ht="12.75">
      <c r="B6" s="66" t="s">
        <v>257</v>
      </c>
      <c r="E6" s="66" t="s">
        <v>259</v>
      </c>
      <c r="G6" s="66" t="s">
        <v>259</v>
      </c>
      <c r="I6" s="66" t="s">
        <v>259</v>
      </c>
      <c r="K6" s="66" t="s">
        <v>263</v>
      </c>
      <c r="M6" s="66" t="s">
        <v>263</v>
      </c>
      <c r="O6" s="66" t="s">
        <v>263</v>
      </c>
      <c r="Q6" s="66" t="s">
        <v>264</v>
      </c>
      <c r="S6" s="66" t="s">
        <v>264</v>
      </c>
      <c r="U6" s="66" t="s">
        <v>264</v>
      </c>
      <c r="W6" s="66" t="s">
        <v>265</v>
      </c>
      <c r="Y6" s="66" t="s">
        <v>265</v>
      </c>
      <c r="AA6" s="66" t="s">
        <v>265</v>
      </c>
      <c r="AC6" s="66" t="s">
        <v>266</v>
      </c>
      <c r="AE6" s="66" t="s">
        <v>266</v>
      </c>
      <c r="AG6" s="66" t="s">
        <v>266</v>
      </c>
      <c r="AI6" s="66" t="s">
        <v>267</v>
      </c>
      <c r="AK6" s="66" t="s">
        <v>267</v>
      </c>
      <c r="AM6" s="66" t="s">
        <v>267</v>
      </c>
      <c r="AO6" s="66" t="s">
        <v>268</v>
      </c>
      <c r="AQ6" s="66" t="s">
        <v>268</v>
      </c>
      <c r="AS6" s="66" t="s">
        <v>268</v>
      </c>
      <c r="AU6" s="66" t="s">
        <v>268</v>
      </c>
    </row>
    <row r="7" spans="2:47" ht="12.75">
      <c r="B7" s="66" t="s">
        <v>258</v>
      </c>
      <c r="E7" s="66" t="s">
        <v>262</v>
      </c>
      <c r="G7" s="66" t="s">
        <v>262</v>
      </c>
      <c r="I7" s="66" t="s">
        <v>262</v>
      </c>
      <c r="K7" s="66" t="s">
        <v>260</v>
      </c>
      <c r="M7" s="66" t="s">
        <v>260</v>
      </c>
      <c r="O7" s="66" t="s">
        <v>260</v>
      </c>
      <c r="Q7" s="66" t="s">
        <v>260</v>
      </c>
      <c r="S7" s="66" t="s">
        <v>260</v>
      </c>
      <c r="U7" s="66" t="s">
        <v>260</v>
      </c>
      <c r="W7" s="66" t="s">
        <v>260</v>
      </c>
      <c r="Y7" s="66" t="s">
        <v>260</v>
      </c>
      <c r="AA7" s="66" t="s">
        <v>260</v>
      </c>
      <c r="AC7" s="66" t="s">
        <v>260</v>
      </c>
      <c r="AE7" s="66" t="s">
        <v>260</v>
      </c>
      <c r="AG7" s="66" t="s">
        <v>260</v>
      </c>
      <c r="AI7" s="66" t="s">
        <v>260</v>
      </c>
      <c r="AK7" s="66" t="s">
        <v>260</v>
      </c>
      <c r="AM7" s="66" t="s">
        <v>260</v>
      </c>
      <c r="AO7" s="66" t="s">
        <v>25</v>
      </c>
      <c r="AQ7" s="66" t="s">
        <v>25</v>
      </c>
      <c r="AS7" s="66" t="s">
        <v>25</v>
      </c>
      <c r="AU7" s="66" t="s">
        <v>25</v>
      </c>
    </row>
    <row r="8" spans="2:55" ht="12.75">
      <c r="B8" s="66" t="s">
        <v>269</v>
      </c>
      <c r="AO8" s="66" t="s">
        <v>25</v>
      </c>
      <c r="AQ8" s="66" t="s">
        <v>25</v>
      </c>
      <c r="AS8" s="66" t="s">
        <v>25</v>
      </c>
      <c r="AU8" s="66" t="s">
        <v>25</v>
      </c>
      <c r="AW8" s="66" t="s">
        <v>67</v>
      </c>
      <c r="AY8" s="66" t="s">
        <v>67</v>
      </c>
      <c r="BA8" s="66" t="s">
        <v>67</v>
      </c>
      <c r="BC8" s="66" t="s">
        <v>67</v>
      </c>
    </row>
    <row r="9" spans="2:41" ht="12.75">
      <c r="B9" s="66" t="s">
        <v>48</v>
      </c>
      <c r="E9" s="66" t="s">
        <v>196</v>
      </c>
      <c r="K9" s="66" t="s">
        <v>197</v>
      </c>
      <c r="Q9" s="66" t="s">
        <v>198</v>
      </c>
      <c r="W9" s="66" t="s">
        <v>199</v>
      </c>
      <c r="AC9" s="66" t="s">
        <v>200</v>
      </c>
      <c r="AI9" s="66" t="s">
        <v>201</v>
      </c>
      <c r="AO9" s="66" t="s">
        <v>25</v>
      </c>
    </row>
    <row r="10" spans="1:39" ht="12.75">
      <c r="A10" s="66" t="s">
        <v>117</v>
      </c>
      <c r="B10" s="66" t="s">
        <v>202</v>
      </c>
      <c r="D10" s="66" t="s">
        <v>55</v>
      </c>
      <c r="E10" s="69">
        <v>2160.38</v>
      </c>
      <c r="F10" s="69"/>
      <c r="G10" s="69">
        <v>2001.88</v>
      </c>
      <c r="H10" s="67"/>
      <c r="I10" s="67">
        <v>2023</v>
      </c>
      <c r="J10" s="67"/>
      <c r="K10" s="67">
        <v>8.24</v>
      </c>
      <c r="L10" s="67"/>
      <c r="M10" s="67">
        <v>7.64</v>
      </c>
      <c r="N10" s="67"/>
      <c r="O10" s="67">
        <v>7.72</v>
      </c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</row>
    <row r="11" spans="1:39" ht="12.75">
      <c r="A11" s="66" t="s">
        <v>117</v>
      </c>
      <c r="B11" s="66" t="s">
        <v>203</v>
      </c>
      <c r="D11" s="66" t="s">
        <v>50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</row>
    <row r="12" spans="1:39" ht="12.75">
      <c r="A12" s="66" t="s">
        <v>117</v>
      </c>
      <c r="B12" s="66" t="s">
        <v>51</v>
      </c>
      <c r="D12" s="66" t="s">
        <v>204</v>
      </c>
      <c r="E12" s="68"/>
      <c r="F12" s="68"/>
      <c r="G12" s="68"/>
      <c r="H12" s="68"/>
      <c r="I12" s="68"/>
      <c r="J12" s="68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</row>
    <row r="13" spans="1:39" ht="12.75">
      <c r="A13" s="66" t="s">
        <v>117</v>
      </c>
      <c r="B13" s="66" t="s">
        <v>180</v>
      </c>
      <c r="D13" s="66" t="s">
        <v>205</v>
      </c>
      <c r="E13" s="68">
        <v>402.7069311880317</v>
      </c>
      <c r="F13" s="68"/>
      <c r="G13" s="68">
        <v>404.61965752193</v>
      </c>
      <c r="H13" s="68"/>
      <c r="I13" s="68">
        <v>405.33860603064755</v>
      </c>
      <c r="J13" s="68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</row>
    <row r="14" spans="1:39" ht="12.75">
      <c r="A14" s="66" t="s">
        <v>117</v>
      </c>
      <c r="B14" s="66" t="s">
        <v>182</v>
      </c>
      <c r="D14" s="66" t="s">
        <v>205</v>
      </c>
      <c r="E14" s="68">
        <v>629.5188809376128</v>
      </c>
      <c r="F14" s="68"/>
      <c r="G14" s="68">
        <v>629.4083561452235</v>
      </c>
      <c r="H14" s="68"/>
      <c r="I14" s="68">
        <v>632.7236777063766</v>
      </c>
      <c r="J14" s="68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</row>
    <row r="15" spans="1:39" ht="12.75">
      <c r="A15" s="66" t="s">
        <v>117</v>
      </c>
      <c r="B15" s="66" t="s">
        <v>186</v>
      </c>
      <c r="D15" s="66" t="s">
        <v>205</v>
      </c>
      <c r="E15" s="68">
        <v>629.5188809376128</v>
      </c>
      <c r="F15" s="68"/>
      <c r="G15" s="68">
        <v>629.4083561452235</v>
      </c>
      <c r="H15" s="68"/>
      <c r="I15" s="68">
        <v>632.7236777063766</v>
      </c>
      <c r="J15" s="68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</row>
    <row r="16" spans="5:39" ht="12.75">
      <c r="E16" s="68"/>
      <c r="F16" s="68"/>
      <c r="G16" s="68"/>
      <c r="H16" s="68"/>
      <c r="I16" s="68"/>
      <c r="J16" s="68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</row>
    <row r="17" spans="2:47" ht="12.75">
      <c r="B17" s="66" t="s">
        <v>206</v>
      </c>
      <c r="E17" s="68">
        <f>'emiss 2'!$G$21</f>
        <v>3258.33333</v>
      </c>
      <c r="F17" s="68"/>
      <c r="G17" s="68">
        <f>'emiss 2'!$I$21</f>
        <v>3233.33333</v>
      </c>
      <c r="H17" s="68"/>
      <c r="I17" s="68">
        <f>'emiss 2'!$K$21</f>
        <v>3165</v>
      </c>
      <c r="J17" s="68"/>
      <c r="K17" s="68">
        <f>'emiss 2'!$G$21</f>
        <v>3258.33333</v>
      </c>
      <c r="L17" s="68"/>
      <c r="M17" s="68">
        <f>'emiss 2'!$I$21</f>
        <v>3233.33333</v>
      </c>
      <c r="N17" s="68"/>
      <c r="O17" s="68">
        <f>'emiss 2'!$K$21</f>
        <v>3165</v>
      </c>
      <c r="P17" s="67"/>
      <c r="Q17" s="68">
        <f>'emiss 2'!$G$21</f>
        <v>3258.33333</v>
      </c>
      <c r="R17" s="68"/>
      <c r="S17" s="68">
        <f>'emiss 2'!$I$21</f>
        <v>3233.33333</v>
      </c>
      <c r="T17" s="68"/>
      <c r="U17" s="68">
        <f>'emiss 2'!$K$21</f>
        <v>3165</v>
      </c>
      <c r="V17" s="67"/>
      <c r="W17" s="68">
        <f>'emiss 2'!$G$21</f>
        <v>3258.33333</v>
      </c>
      <c r="X17" s="68"/>
      <c r="Y17" s="68">
        <f>'emiss 2'!$I$21</f>
        <v>3233.33333</v>
      </c>
      <c r="Z17" s="68"/>
      <c r="AA17" s="68">
        <f>'emiss 2'!$K$21</f>
        <v>3165</v>
      </c>
      <c r="AB17" s="67"/>
      <c r="AC17" s="68">
        <f>'emiss 2'!$G$21</f>
        <v>3258.33333</v>
      </c>
      <c r="AD17" s="68"/>
      <c r="AE17" s="68">
        <f>'emiss 2'!$I$21</f>
        <v>3233.33333</v>
      </c>
      <c r="AF17" s="68"/>
      <c r="AG17" s="68">
        <f>'emiss 2'!$K$21</f>
        <v>3165</v>
      </c>
      <c r="AH17" s="67"/>
      <c r="AI17" s="68">
        <f>'emiss 2'!$G$21</f>
        <v>3258.33333</v>
      </c>
      <c r="AJ17" s="68"/>
      <c r="AK17" s="68">
        <f>'emiss 2'!$I$21</f>
        <v>3233.33333</v>
      </c>
      <c r="AL17" s="68"/>
      <c r="AM17" s="68">
        <f>'emiss 2'!$K$21</f>
        <v>3165</v>
      </c>
      <c r="AO17" s="68">
        <f>AI17</f>
        <v>3258.33333</v>
      </c>
      <c r="AQ17" s="68">
        <f>AK17</f>
        <v>3233.33333</v>
      </c>
      <c r="AS17" s="68">
        <f>AM17</f>
        <v>3165</v>
      </c>
      <c r="AU17" s="68">
        <f>AVERAGE(AO17,AQ17,AS17)</f>
        <v>3218.888886666666</v>
      </c>
    </row>
    <row r="18" spans="2:47" ht="12.75">
      <c r="B18" s="66" t="s">
        <v>146</v>
      </c>
      <c r="E18" s="68">
        <f>'emiss 2'!$G$22</f>
        <v>16.33</v>
      </c>
      <c r="F18" s="68"/>
      <c r="G18" s="68">
        <f>'emiss 2'!$I$22</f>
        <v>16.53</v>
      </c>
      <c r="H18" s="68"/>
      <c r="I18" s="68">
        <f>'emiss 2'!$K$22</f>
        <v>16.53</v>
      </c>
      <c r="J18" s="68"/>
      <c r="K18" s="68">
        <f>'emiss 2'!$G$22</f>
        <v>16.33</v>
      </c>
      <c r="L18" s="68"/>
      <c r="M18" s="68">
        <f>'emiss 2'!$I$22</f>
        <v>16.53</v>
      </c>
      <c r="N18" s="68"/>
      <c r="O18" s="68">
        <f>'emiss 2'!$K$22</f>
        <v>16.53</v>
      </c>
      <c r="P18" s="67"/>
      <c r="Q18" s="68">
        <f>'emiss 2'!$G$22</f>
        <v>16.33</v>
      </c>
      <c r="R18" s="68"/>
      <c r="S18" s="68">
        <f>'emiss 2'!$I$22</f>
        <v>16.53</v>
      </c>
      <c r="T18" s="68"/>
      <c r="U18" s="68">
        <f>'emiss 2'!$K$22</f>
        <v>16.53</v>
      </c>
      <c r="V18" s="67"/>
      <c r="W18" s="68">
        <f>'emiss 2'!$G$22</f>
        <v>16.33</v>
      </c>
      <c r="X18" s="68"/>
      <c r="Y18" s="68">
        <f>'emiss 2'!$I$22</f>
        <v>16.53</v>
      </c>
      <c r="Z18" s="68"/>
      <c r="AA18" s="68">
        <f>'emiss 2'!$K$22</f>
        <v>16.53</v>
      </c>
      <c r="AB18" s="67"/>
      <c r="AC18" s="68">
        <f>'emiss 2'!$G$22</f>
        <v>16.33</v>
      </c>
      <c r="AD18" s="68"/>
      <c r="AE18" s="68">
        <f>'emiss 2'!$I$22</f>
        <v>16.53</v>
      </c>
      <c r="AF18" s="68"/>
      <c r="AG18" s="68">
        <f>'emiss 2'!$K$22</f>
        <v>16.53</v>
      </c>
      <c r="AH18" s="67"/>
      <c r="AI18" s="68">
        <f>'emiss 2'!$G$22</f>
        <v>16.33</v>
      </c>
      <c r="AJ18" s="68"/>
      <c r="AK18" s="68">
        <f>'emiss 2'!$I$22</f>
        <v>16.53</v>
      </c>
      <c r="AL18" s="68"/>
      <c r="AM18" s="68">
        <f>'emiss 2'!$K$22</f>
        <v>16.53</v>
      </c>
      <c r="AO18" s="68">
        <f>AI18</f>
        <v>16.33</v>
      </c>
      <c r="AQ18" s="68">
        <f>AK18</f>
        <v>16.53</v>
      </c>
      <c r="AS18" s="68">
        <f>AM18</f>
        <v>16.53</v>
      </c>
      <c r="AU18" s="68">
        <f>AVERAGE(AO18,AQ18,AS18)</f>
        <v>16.463333333333335</v>
      </c>
    </row>
    <row r="19" spans="5:39" ht="12.75"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7"/>
      <c r="Q19" s="68"/>
      <c r="R19" s="68"/>
      <c r="S19" s="68"/>
      <c r="T19" s="68"/>
      <c r="U19" s="68"/>
      <c r="V19" s="67"/>
      <c r="W19" s="68"/>
      <c r="X19" s="68"/>
      <c r="Y19" s="68"/>
      <c r="Z19" s="68"/>
      <c r="AA19" s="68"/>
      <c r="AB19" s="67"/>
      <c r="AC19" s="68"/>
      <c r="AD19" s="68"/>
      <c r="AE19" s="68"/>
      <c r="AF19" s="68"/>
      <c r="AG19" s="68"/>
      <c r="AH19" s="67"/>
      <c r="AI19" s="68"/>
      <c r="AJ19" s="68"/>
      <c r="AK19" s="68"/>
      <c r="AL19" s="68"/>
      <c r="AM19" s="68"/>
    </row>
    <row r="20" spans="2:47" ht="12.75">
      <c r="B20" s="10" t="s">
        <v>271</v>
      </c>
      <c r="D20" s="10" t="s">
        <v>147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7"/>
      <c r="Q20" s="68"/>
      <c r="R20" s="68"/>
      <c r="S20" s="68"/>
      <c r="T20" s="68"/>
      <c r="U20" s="68"/>
      <c r="V20" s="67"/>
      <c r="W20" s="68"/>
      <c r="X20" s="68"/>
      <c r="Y20" s="68"/>
      <c r="Z20" s="68"/>
      <c r="AA20" s="68"/>
      <c r="AB20" s="67"/>
      <c r="AC20" s="68"/>
      <c r="AD20" s="68"/>
      <c r="AE20" s="68"/>
      <c r="AF20" s="68"/>
      <c r="AG20" s="68"/>
      <c r="AH20" s="67"/>
      <c r="AI20" s="68"/>
      <c r="AJ20" s="68"/>
      <c r="AK20" s="68"/>
      <c r="AL20" s="68"/>
      <c r="AM20" s="68"/>
      <c r="AO20" s="29">
        <f>AO17/9000*60*(21-AO18)/21</f>
        <v>4.830608460666668</v>
      </c>
      <c r="AQ20" s="29">
        <f>AQ17/9000*60*(21-AQ18)/21</f>
        <v>4.588253963523808</v>
      </c>
      <c r="AS20" s="29">
        <f>AS17/9000*60*(21-AS18)/21</f>
        <v>4.491285714285714</v>
      </c>
      <c r="AU20" s="29">
        <f>AU17/9000*60*(21-AU18)/21</f>
        <v>4.635881243125218</v>
      </c>
    </row>
    <row r="21" spans="5:39" ht="12.75">
      <c r="E21" s="68"/>
      <c r="F21" s="68"/>
      <c r="G21" s="68"/>
      <c r="H21" s="68"/>
      <c r="I21" s="68"/>
      <c r="J21" s="68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</row>
    <row r="22" spans="2:39" ht="12.75">
      <c r="B22" s="66" t="s">
        <v>274</v>
      </c>
      <c r="E22" s="68"/>
      <c r="F22" s="68"/>
      <c r="G22" s="68"/>
      <c r="H22" s="68"/>
      <c r="I22" s="68"/>
      <c r="J22" s="68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</row>
    <row r="23" spans="2:55" ht="12.75">
      <c r="B23" s="66" t="s">
        <v>180</v>
      </c>
      <c r="D23" s="66" t="s">
        <v>60</v>
      </c>
      <c r="E23" s="69">
        <f>E13*E$10/0.0283/60*14/(21-E$18)*454/E$17</f>
        <v>214019.36135970408</v>
      </c>
      <c r="F23" s="69"/>
      <c r="G23" s="69">
        <f>G13*G$10/0.0283/60*14/(21-G$18)*454/G$17</f>
        <v>209784.4141286523</v>
      </c>
      <c r="H23" s="69"/>
      <c r="I23" s="69">
        <f>I13*I$10/0.0283/60*14/(21-I$18)*454/I$17</f>
        <v>216959.5730383198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>E23</f>
        <v>214019.36135970408</v>
      </c>
      <c r="AP23" s="69"/>
      <c r="AQ23" s="69">
        <f>G23</f>
        <v>209784.4141286523</v>
      </c>
      <c r="AR23" s="69"/>
      <c r="AS23" s="69">
        <f>I23</f>
        <v>216959.5730383198</v>
      </c>
      <c r="AT23" s="69"/>
      <c r="AU23" s="69">
        <f>AVERAGE(AO23,AQ23,AS23)</f>
        <v>213587.7828422254</v>
      </c>
      <c r="AV23" s="69"/>
      <c r="AW23" s="69">
        <f>E23+K23+Q23+W23+AC23+AI23</f>
        <v>214019.36135970408</v>
      </c>
      <c r="AX23" s="69"/>
      <c r="AY23" s="69">
        <f>G23+M23+S23+Y23+AE23+AK23</f>
        <v>209784.4141286523</v>
      </c>
      <c r="AZ23" s="69"/>
      <c r="BA23" s="69">
        <f>I23+O23+U23+AA23+AG23+AM23</f>
        <v>216959.5730383198</v>
      </c>
      <c r="BB23" s="69"/>
      <c r="BC23" s="69">
        <f>K23+Q23+W23+AC23+AI23+AO23</f>
        <v>214019.36135970408</v>
      </c>
    </row>
    <row r="24" spans="2:55" ht="12.75">
      <c r="B24" s="66" t="s">
        <v>182</v>
      </c>
      <c r="D24" s="66" t="s">
        <v>60</v>
      </c>
      <c r="E24" s="69">
        <f aca="true" t="shared" si="0" ref="E24:G25">E14*E$10/0.0283/60*14/(21-E$18)*454/E$17</f>
        <v>334559.0016657443</v>
      </c>
      <c r="F24" s="69"/>
      <c r="G24" s="69">
        <f t="shared" si="0"/>
        <v>326331.310866792</v>
      </c>
      <c r="H24" s="69"/>
      <c r="I24" s="69">
        <f>I14*I$10/0.0283/60*14/(21-I$18)*454/I$17</f>
        <v>338668.60181591386</v>
      </c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aca="true" t="shared" si="1" ref="AO24:AS25">E24</f>
        <v>334559.0016657443</v>
      </c>
      <c r="AP24" s="69"/>
      <c r="AQ24" s="69">
        <f t="shared" si="1"/>
        <v>326331.310866792</v>
      </c>
      <c r="AR24" s="69"/>
      <c r="AS24" s="69">
        <f t="shared" si="1"/>
        <v>338668.60181591386</v>
      </c>
      <c r="AT24" s="69"/>
      <c r="AU24" s="69">
        <f>AVERAGE(AO24,AQ24,AS24)</f>
        <v>333186.3047828167</v>
      </c>
      <c r="AV24" s="69"/>
      <c r="AW24" s="69">
        <f>E24+K24+Q24+W24+AC24+AI24</f>
        <v>334559.0016657443</v>
      </c>
      <c r="AX24" s="69"/>
      <c r="AY24" s="69">
        <f>G24+M24+S24+Y24+AE24+AK24</f>
        <v>326331.310866792</v>
      </c>
      <c r="AZ24" s="69"/>
      <c r="BA24" s="69">
        <f>I24+O24+U24+AA24+AG24+AM24</f>
        <v>338668.60181591386</v>
      </c>
      <c r="BB24" s="69"/>
      <c r="BC24" s="69">
        <f>K24+Q24+W24+AC24+AI24+AO24</f>
        <v>334559.0016657443</v>
      </c>
    </row>
    <row r="25" spans="2:55" ht="12.75">
      <c r="B25" s="66" t="s">
        <v>186</v>
      </c>
      <c r="D25" s="66" t="s">
        <v>60</v>
      </c>
      <c r="E25" s="69">
        <f t="shared" si="0"/>
        <v>334559.0016657443</v>
      </c>
      <c r="F25" s="69"/>
      <c r="G25" s="69">
        <f t="shared" si="0"/>
        <v>326331.310866792</v>
      </c>
      <c r="H25" s="69"/>
      <c r="I25" s="69">
        <f>I15*I$10/0.0283/60*14/(21-I$18)*454/I$17</f>
        <v>338668.60181591386</v>
      </c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334559.0016657443</v>
      </c>
      <c r="AP25" s="69"/>
      <c r="AQ25" s="69">
        <f t="shared" si="1"/>
        <v>326331.310866792</v>
      </c>
      <c r="AR25" s="69"/>
      <c r="AS25" s="69">
        <f t="shared" si="1"/>
        <v>338668.60181591386</v>
      </c>
      <c r="AT25" s="69"/>
      <c r="AU25" s="69">
        <f>AVERAGE(AO25,AQ25,AS25)</f>
        <v>333186.3047828167</v>
      </c>
      <c r="AV25" s="69"/>
      <c r="AW25" s="69">
        <f>E25+K25+Q25+W25+AC25+AI25</f>
        <v>334559.0016657443</v>
      </c>
      <c r="AX25" s="69"/>
      <c r="AY25" s="69">
        <f>G25+M25+S25+Y25+AE25+AK25</f>
        <v>326331.310866792</v>
      </c>
      <c r="AZ25" s="69"/>
      <c r="BA25" s="69">
        <f>I25+O25+U25+AA25+AG25+AM25</f>
        <v>338668.60181591386</v>
      </c>
      <c r="BB25" s="69"/>
      <c r="BC25" s="69">
        <f>K25+Q25+W25+AC25+AI25+AO25</f>
        <v>334559.0016657443</v>
      </c>
    </row>
    <row r="26" spans="2:55" ht="12.75">
      <c r="B26" s="66" t="s">
        <v>61</v>
      </c>
      <c r="D26" s="66" t="s">
        <v>60</v>
      </c>
      <c r="E26" s="69">
        <f>E25</f>
        <v>334559.0016657443</v>
      </c>
      <c r="F26" s="69"/>
      <c r="G26" s="69">
        <f>G25</f>
        <v>326331.310866792</v>
      </c>
      <c r="H26" s="69"/>
      <c r="I26" s="69">
        <f>I25</f>
        <v>338668.60181591386</v>
      </c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>AO25</f>
        <v>334559.0016657443</v>
      </c>
      <c r="AP26" s="69"/>
      <c r="AQ26" s="69">
        <f>AQ25</f>
        <v>326331.310866792</v>
      </c>
      <c r="AR26" s="69"/>
      <c r="AS26" s="69">
        <f>AS25</f>
        <v>338668.60181591386</v>
      </c>
      <c r="AT26" s="69"/>
      <c r="AU26" s="69">
        <f>AU25</f>
        <v>333186.3047828167</v>
      </c>
      <c r="AV26" s="69"/>
      <c r="AW26" s="69">
        <f>AW25</f>
        <v>334559.0016657443</v>
      </c>
      <c r="AX26" s="69"/>
      <c r="AY26" s="69">
        <f>AY25</f>
        <v>326331.310866792</v>
      </c>
      <c r="AZ26" s="69"/>
      <c r="BA26" s="69">
        <f>BA25</f>
        <v>338668.60181591386</v>
      </c>
      <c r="BB26" s="69"/>
      <c r="BC26" s="69">
        <f>BC25</f>
        <v>334559.0016657443</v>
      </c>
    </row>
    <row r="27" spans="5:39" ht="12.75"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</row>
    <row r="28" spans="2:55" ht="12.75">
      <c r="B28" s="19" t="s">
        <v>116</v>
      </c>
      <c r="E28" s="70" t="s">
        <v>104</v>
      </c>
      <c r="F28" s="70"/>
      <c r="G28" s="70" t="s">
        <v>105</v>
      </c>
      <c r="H28" s="70"/>
      <c r="I28" s="70" t="s">
        <v>106</v>
      </c>
      <c r="J28" s="70"/>
      <c r="K28" s="70" t="s">
        <v>104</v>
      </c>
      <c r="L28" s="70"/>
      <c r="M28" s="70" t="s">
        <v>105</v>
      </c>
      <c r="N28" s="70"/>
      <c r="O28" s="70" t="s">
        <v>106</v>
      </c>
      <c r="P28" s="70"/>
      <c r="Q28" s="70" t="s">
        <v>104</v>
      </c>
      <c r="R28" s="70"/>
      <c r="S28" s="70" t="s">
        <v>105</v>
      </c>
      <c r="T28" s="70"/>
      <c r="U28" s="70" t="s">
        <v>106</v>
      </c>
      <c r="V28" s="70"/>
      <c r="W28" s="70" t="s">
        <v>104</v>
      </c>
      <c r="X28" s="70"/>
      <c r="Y28" s="70" t="s">
        <v>105</v>
      </c>
      <c r="Z28" s="70"/>
      <c r="AA28" s="70" t="s">
        <v>106</v>
      </c>
      <c r="AB28" s="70"/>
      <c r="AC28" s="70" t="s">
        <v>104</v>
      </c>
      <c r="AD28" s="70"/>
      <c r="AE28" s="70" t="s">
        <v>105</v>
      </c>
      <c r="AF28" s="70"/>
      <c r="AG28" s="70" t="s">
        <v>106</v>
      </c>
      <c r="AH28" s="70"/>
      <c r="AI28" s="70" t="s">
        <v>104</v>
      </c>
      <c r="AJ28" s="70"/>
      <c r="AK28" s="70" t="s">
        <v>105</v>
      </c>
      <c r="AL28" s="70"/>
      <c r="AM28" s="70" t="s">
        <v>106</v>
      </c>
      <c r="AN28" s="70"/>
      <c r="AO28" s="70" t="s">
        <v>104</v>
      </c>
      <c r="AP28" s="70"/>
      <c r="AQ28" s="70" t="s">
        <v>105</v>
      </c>
      <c r="AR28" s="70"/>
      <c r="AS28" s="70" t="s">
        <v>106</v>
      </c>
      <c r="AT28" s="70"/>
      <c r="AU28" s="70" t="s">
        <v>47</v>
      </c>
      <c r="AV28" s="70"/>
      <c r="AW28" s="70" t="s">
        <v>104</v>
      </c>
      <c r="AX28" s="70"/>
      <c r="AY28" s="70" t="s">
        <v>105</v>
      </c>
      <c r="AZ28" s="70"/>
      <c r="BA28" s="70" t="s">
        <v>106</v>
      </c>
      <c r="BB28" s="70"/>
      <c r="BC28" s="70" t="s">
        <v>47</v>
      </c>
    </row>
    <row r="29" spans="5:39" ht="12.75"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</row>
    <row r="30" spans="2:47" ht="12.75">
      <c r="B30" s="66" t="s">
        <v>257</v>
      </c>
      <c r="E30" s="66" t="s">
        <v>259</v>
      </c>
      <c r="G30" s="66" t="s">
        <v>259</v>
      </c>
      <c r="I30" s="66" t="s">
        <v>259</v>
      </c>
      <c r="J30" s="67"/>
      <c r="K30" s="67" t="s">
        <v>263</v>
      </c>
      <c r="L30" s="67"/>
      <c r="M30" s="67" t="s">
        <v>263</v>
      </c>
      <c r="N30" s="67"/>
      <c r="O30" s="67" t="s">
        <v>263</v>
      </c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O30" s="66" t="s">
        <v>264</v>
      </c>
      <c r="AQ30" s="66" t="s">
        <v>264</v>
      </c>
      <c r="AS30" s="66" t="s">
        <v>264</v>
      </c>
      <c r="AU30" s="66" t="s">
        <v>264</v>
      </c>
    </row>
    <row r="31" spans="2:47" ht="12.75">
      <c r="B31" s="66" t="s">
        <v>258</v>
      </c>
      <c r="E31" s="66" t="s">
        <v>262</v>
      </c>
      <c r="G31" s="66" t="s">
        <v>262</v>
      </c>
      <c r="I31" s="66" t="s">
        <v>262</v>
      </c>
      <c r="J31" s="67"/>
      <c r="K31" s="67" t="s">
        <v>260</v>
      </c>
      <c r="L31" s="67"/>
      <c r="M31" s="67" t="s">
        <v>260</v>
      </c>
      <c r="N31" s="67"/>
      <c r="O31" s="67" t="s">
        <v>260</v>
      </c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O31" s="66" t="s">
        <v>25</v>
      </c>
      <c r="AQ31" s="66" t="s">
        <v>25</v>
      </c>
      <c r="AS31" s="66" t="s">
        <v>25</v>
      </c>
      <c r="AU31" s="66" t="s">
        <v>25</v>
      </c>
    </row>
    <row r="32" spans="2:55" ht="12.75">
      <c r="B32" s="66" t="s">
        <v>269</v>
      </c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O32" s="66" t="s">
        <v>25</v>
      </c>
      <c r="AQ32" s="66" t="s">
        <v>25</v>
      </c>
      <c r="AS32" s="66" t="s">
        <v>25</v>
      </c>
      <c r="AU32" s="66" t="s">
        <v>25</v>
      </c>
      <c r="AW32" s="66" t="s">
        <v>67</v>
      </c>
      <c r="AY32" s="66" t="s">
        <v>67</v>
      </c>
      <c r="BA32" s="66" t="s">
        <v>67</v>
      </c>
      <c r="BC32" s="66" t="s">
        <v>67</v>
      </c>
    </row>
    <row r="33" spans="2:41" ht="12.75">
      <c r="B33" s="66" t="s">
        <v>48</v>
      </c>
      <c r="E33" s="66" t="s">
        <v>196</v>
      </c>
      <c r="K33" s="66" t="s">
        <v>197</v>
      </c>
      <c r="Q33" s="66" t="s">
        <v>198</v>
      </c>
      <c r="W33" s="66" t="s">
        <v>199</v>
      </c>
      <c r="AC33" s="66" t="s">
        <v>200</v>
      </c>
      <c r="AI33" s="66" t="s">
        <v>201</v>
      </c>
      <c r="AO33" s="66" t="s">
        <v>25</v>
      </c>
    </row>
    <row r="34" spans="1:39" ht="12.75">
      <c r="A34" s="66" t="s">
        <v>116</v>
      </c>
      <c r="B34" s="66" t="s">
        <v>202</v>
      </c>
      <c r="D34" s="66" t="s">
        <v>55</v>
      </c>
      <c r="E34" s="67">
        <v>894.94</v>
      </c>
      <c r="F34" s="67"/>
      <c r="G34" s="67">
        <v>996.69</v>
      </c>
      <c r="H34" s="67"/>
      <c r="I34" s="67">
        <v>903.68</v>
      </c>
      <c r="J34" s="67"/>
      <c r="K34" s="67">
        <v>136.57</v>
      </c>
      <c r="L34" s="67"/>
      <c r="M34" s="67">
        <v>147.52</v>
      </c>
      <c r="N34" s="67"/>
      <c r="O34" s="67">
        <v>137.9</v>
      </c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</row>
    <row r="35" spans="1:39" ht="12.75">
      <c r="A35" s="66" t="s">
        <v>116</v>
      </c>
      <c r="B35" s="66" t="s">
        <v>203</v>
      </c>
      <c r="D35" s="66" t="s">
        <v>50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</row>
    <row r="36" spans="1:39" ht="12.75">
      <c r="A36" s="66" t="s">
        <v>116</v>
      </c>
      <c r="B36" s="66" t="s">
        <v>51</v>
      </c>
      <c r="D36" s="66" t="s">
        <v>204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</row>
    <row r="37" spans="1:39" ht="12.75">
      <c r="A37" s="66" t="s">
        <v>116</v>
      </c>
      <c r="B37" s="66" t="s">
        <v>180</v>
      </c>
      <c r="D37" s="66" t="s">
        <v>205</v>
      </c>
      <c r="E37" s="68">
        <v>2536.4828927079</v>
      </c>
      <c r="F37" s="68"/>
      <c r="G37" s="68">
        <v>2458.136431588558</v>
      </c>
      <c r="H37" s="68"/>
      <c r="I37" s="68">
        <v>2534.0828611898</v>
      </c>
      <c r="J37" s="68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</row>
    <row r="38" spans="1:39" ht="12.75">
      <c r="A38" s="66" t="s">
        <v>116</v>
      </c>
      <c r="B38" s="66" t="s">
        <v>182</v>
      </c>
      <c r="D38" s="66" t="s">
        <v>205</v>
      </c>
      <c r="E38" s="68">
        <v>324.04406999352</v>
      </c>
      <c r="F38" s="68"/>
      <c r="G38" s="68">
        <v>311.02950767038897</v>
      </c>
      <c r="H38" s="68"/>
      <c r="I38" s="68">
        <v>320.91005665722383</v>
      </c>
      <c r="J38" s="68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</row>
    <row r="39" spans="1:39" ht="12.75">
      <c r="A39" s="66" t="s">
        <v>116</v>
      </c>
      <c r="B39" s="66" t="s">
        <v>186</v>
      </c>
      <c r="D39" s="66" t="s">
        <v>205</v>
      </c>
      <c r="E39" s="68">
        <v>324.04406999352</v>
      </c>
      <c r="F39" s="68"/>
      <c r="G39" s="68">
        <v>311.02950767038897</v>
      </c>
      <c r="H39" s="68"/>
      <c r="I39" s="68">
        <v>320.91005665722383</v>
      </c>
      <c r="J39" s="68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</row>
    <row r="40" spans="5:39" ht="12.75">
      <c r="E40" s="68"/>
      <c r="F40" s="68"/>
      <c r="G40" s="68"/>
      <c r="H40" s="68"/>
      <c r="I40" s="68"/>
      <c r="J40" s="68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</row>
    <row r="41" spans="2:47" ht="12.75">
      <c r="B41" s="66" t="s">
        <v>206</v>
      </c>
      <c r="E41" s="68">
        <f>'emiss 2'!G49</f>
        <v>3153.33333</v>
      </c>
      <c r="F41" s="68"/>
      <c r="G41" s="68">
        <f>'emiss 2'!I49</f>
        <v>3056.66667</v>
      </c>
      <c r="H41" s="68"/>
      <c r="I41" s="68">
        <f>'emiss 2'!K49</f>
        <v>3115</v>
      </c>
      <c r="J41" s="68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O41" s="68">
        <f>E41</f>
        <v>3153.33333</v>
      </c>
      <c r="AQ41" s="68">
        <f>G41</f>
        <v>3056.66667</v>
      </c>
      <c r="AS41" s="68">
        <f>I41</f>
        <v>3115</v>
      </c>
      <c r="AU41" s="68">
        <f>AVERAGE(AO41,AQ41,AS41)</f>
        <v>3108.3333333333335</v>
      </c>
    </row>
    <row r="42" spans="2:47" ht="12.75">
      <c r="B42" s="66" t="s">
        <v>146</v>
      </c>
      <c r="E42" s="68">
        <f>'emiss 2'!G50</f>
        <v>16</v>
      </c>
      <c r="F42" s="68"/>
      <c r="G42" s="68">
        <f>'emiss 2'!I50</f>
        <v>16.2</v>
      </c>
      <c r="H42" s="68"/>
      <c r="I42" s="68">
        <f>'emiss 2'!K50</f>
        <v>16</v>
      </c>
      <c r="J42" s="68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O42" s="68">
        <f>E42</f>
        <v>16</v>
      </c>
      <c r="AQ42" s="68">
        <f>G42</f>
        <v>16.2</v>
      </c>
      <c r="AS42" s="68">
        <f>I42</f>
        <v>16</v>
      </c>
      <c r="AU42" s="68">
        <f>AVERAGE(AO42,AQ42,AS42)</f>
        <v>16.066666666666666</v>
      </c>
    </row>
    <row r="43" spans="5:39" ht="12.75">
      <c r="E43" s="68"/>
      <c r="F43" s="68"/>
      <c r="G43" s="68"/>
      <c r="H43" s="68"/>
      <c r="I43" s="68"/>
      <c r="J43" s="68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</row>
    <row r="44" spans="2:47" ht="12.75">
      <c r="B44" s="10" t="s">
        <v>271</v>
      </c>
      <c r="C44" s="10" t="s">
        <v>147</v>
      </c>
      <c r="E44" s="68"/>
      <c r="F44" s="68"/>
      <c r="G44" s="68"/>
      <c r="H44" s="68"/>
      <c r="I44" s="68"/>
      <c r="J44" s="68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O44" s="29">
        <f>AO41/9000*60*(21-AO42)/21</f>
        <v>5.005291</v>
      </c>
      <c r="AQ44" s="29">
        <f>AQ41/9000*60*(21-AQ42)/21</f>
        <v>4.657777782857144</v>
      </c>
      <c r="AS44" s="29">
        <f>AS41/9000*60*(21-AS42)/21</f>
        <v>4.944444444444445</v>
      </c>
      <c r="AU44" s="29">
        <f>AU41/9000*60*(21-AU42)/21</f>
        <v>4.868077601410935</v>
      </c>
    </row>
    <row r="45" spans="5:39" ht="12.75">
      <c r="E45" s="68"/>
      <c r="F45" s="68"/>
      <c r="G45" s="68"/>
      <c r="H45" s="68"/>
      <c r="I45" s="68"/>
      <c r="J45" s="68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</row>
    <row r="46" spans="2:39" ht="12.75">
      <c r="B46" s="66" t="s">
        <v>207</v>
      </c>
      <c r="E46" s="68"/>
      <c r="F46" s="68"/>
      <c r="G46" s="68"/>
      <c r="H46" s="68"/>
      <c r="I46" s="68"/>
      <c r="J46" s="68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</row>
    <row r="47" spans="2:55" ht="12.75">
      <c r="B47" s="66" t="s">
        <v>180</v>
      </c>
      <c r="D47" s="66" t="s">
        <v>60</v>
      </c>
      <c r="E47" s="69">
        <f>E37*E$34/0.0283/60*14/(21-E$42)*454/E$41</f>
        <v>538929.769953898</v>
      </c>
      <c r="F47" s="69"/>
      <c r="G47" s="69">
        <f>G37*G$34/0.0283/60*14/(21-G$42)*454/G$41</f>
        <v>625061.8142960188</v>
      </c>
      <c r="H47" s="69"/>
      <c r="I47" s="69">
        <f>I37*I$34/0.0283/60*14/(21-I$42)*454/I$41</f>
        <v>550368.5763819957</v>
      </c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>
        <f>E47</f>
        <v>538929.769953898</v>
      </c>
      <c r="AP47" s="69"/>
      <c r="AQ47" s="69">
        <f>G47</f>
        <v>625061.8142960188</v>
      </c>
      <c r="AR47" s="69"/>
      <c r="AS47" s="69">
        <f>I47</f>
        <v>550368.5763819957</v>
      </c>
      <c r="AT47" s="69"/>
      <c r="AU47" s="69">
        <f>AVERAGE(AO47,AQ47,AS47)</f>
        <v>571453.3868773043</v>
      </c>
      <c r="AV47" s="69"/>
      <c r="AW47" s="69">
        <f>E47+K47+Q47+W47+AC47+AI47</f>
        <v>538929.769953898</v>
      </c>
      <c r="AX47" s="69"/>
      <c r="AY47" s="69">
        <f>G47+M47+S47+Y47+AE47+AK47</f>
        <v>625061.8142960188</v>
      </c>
      <c r="AZ47" s="69"/>
      <c r="BA47" s="69">
        <f>I47+O47+U47+AA47+AG47+AM47</f>
        <v>550368.5763819957</v>
      </c>
      <c r="BB47" s="69"/>
      <c r="BC47" s="69">
        <f>K47+Q47+W47+AC47+AI47+AO47</f>
        <v>538929.769953898</v>
      </c>
    </row>
    <row r="48" spans="2:55" ht="12.75">
      <c r="B48" s="66" t="s">
        <v>182</v>
      </c>
      <c r="D48" s="66" t="s">
        <v>60</v>
      </c>
      <c r="E48" s="69">
        <f aca="true" t="shared" si="2" ref="E48:G49">E38*E$34/0.0283/60*14/(21-E$42)*454/E$41</f>
        <v>68850.05871657723</v>
      </c>
      <c r="F48" s="69"/>
      <c r="G48" s="69">
        <f t="shared" si="2"/>
        <v>79089.45405378197</v>
      </c>
      <c r="H48" s="69"/>
      <c r="I48" s="69">
        <f>I38*I$34/0.0283/60*14/(21-I$42)*454/I$41</f>
        <v>69697.33063352788</v>
      </c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>
        <f>E48</f>
        <v>68850.05871657723</v>
      </c>
      <c r="AP48" s="69"/>
      <c r="AQ48" s="69">
        <f>G48</f>
        <v>79089.45405378197</v>
      </c>
      <c r="AR48" s="69"/>
      <c r="AS48" s="69">
        <f>I48</f>
        <v>69697.33063352788</v>
      </c>
      <c r="AT48" s="69"/>
      <c r="AU48" s="69">
        <f>AVERAGE(AO48,AQ48,AS48)</f>
        <v>72545.61446796235</v>
      </c>
      <c r="AV48" s="69"/>
      <c r="AW48" s="69">
        <f>E48+K48+Q48+W48+AC48+AI48</f>
        <v>68850.05871657723</v>
      </c>
      <c r="AX48" s="69"/>
      <c r="AY48" s="69">
        <f>G48+M48+S48+Y48+AE48+AK48</f>
        <v>79089.45405378197</v>
      </c>
      <c r="AZ48" s="69"/>
      <c r="BA48" s="69">
        <f>I48+O48+U48+AA48+AG48+AM48</f>
        <v>69697.33063352788</v>
      </c>
      <c r="BB48" s="69"/>
      <c r="BC48" s="69">
        <f>K48+Q48+W48+AC48+AI48+AO48</f>
        <v>68850.05871657723</v>
      </c>
    </row>
    <row r="49" spans="2:55" ht="12.75">
      <c r="B49" s="66" t="s">
        <v>186</v>
      </c>
      <c r="D49" s="66" t="s">
        <v>60</v>
      </c>
      <c r="E49" s="69">
        <f t="shared" si="2"/>
        <v>68850.05871657723</v>
      </c>
      <c r="F49" s="69"/>
      <c r="G49" s="69">
        <f t="shared" si="2"/>
        <v>79089.45405378197</v>
      </c>
      <c r="H49" s="69"/>
      <c r="I49" s="69">
        <f>I39*I$34/0.0283/60*14/(21-I$42)*454/I$41</f>
        <v>69697.33063352788</v>
      </c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>
        <f>E49</f>
        <v>68850.05871657723</v>
      </c>
      <c r="AP49" s="69"/>
      <c r="AQ49" s="69">
        <f>G49</f>
        <v>79089.45405378197</v>
      </c>
      <c r="AR49" s="69"/>
      <c r="AS49" s="69">
        <f>I49</f>
        <v>69697.33063352788</v>
      </c>
      <c r="AT49" s="69"/>
      <c r="AU49" s="69">
        <f>AVERAGE(AO49,AQ49,AS49)</f>
        <v>72545.61446796235</v>
      </c>
      <c r="AV49" s="69"/>
      <c r="AW49" s="69">
        <f>E49+K49+Q49+W49+AC49+AI49</f>
        <v>68850.05871657723</v>
      </c>
      <c r="AX49" s="69"/>
      <c r="AY49" s="69">
        <f>G49+M49+S49+Y49+AE49+AK49</f>
        <v>79089.45405378197</v>
      </c>
      <c r="AZ49" s="69"/>
      <c r="BA49" s="69">
        <f>I49+O49+U49+AA49+AG49+AM49</f>
        <v>69697.33063352788</v>
      </c>
      <c r="BB49" s="69"/>
      <c r="BC49" s="69">
        <f>K49+Q49+W49+AC49+AI49+AO49</f>
        <v>68850.05871657723</v>
      </c>
    </row>
    <row r="50" spans="2:55" ht="12.75">
      <c r="B50" s="66" t="s">
        <v>61</v>
      </c>
      <c r="D50" s="66" t="s">
        <v>60</v>
      </c>
      <c r="E50" s="69">
        <f>E49</f>
        <v>68850.05871657723</v>
      </c>
      <c r="F50" s="69"/>
      <c r="G50" s="69">
        <f>G49</f>
        <v>79089.45405378197</v>
      </c>
      <c r="H50" s="69"/>
      <c r="I50" s="69">
        <f>I49</f>
        <v>69697.33063352788</v>
      </c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>
        <f>AO49</f>
        <v>68850.05871657723</v>
      </c>
      <c r="AP50" s="69"/>
      <c r="AQ50" s="69">
        <f>AQ49</f>
        <v>79089.45405378197</v>
      </c>
      <c r="AR50" s="69"/>
      <c r="AS50" s="69">
        <f>AS49</f>
        <v>69697.33063352788</v>
      </c>
      <c r="AT50" s="69"/>
      <c r="AU50" s="69">
        <f>AU49</f>
        <v>72545.61446796235</v>
      </c>
      <c r="AV50" s="69"/>
      <c r="AW50" s="69">
        <f>AW49</f>
        <v>68850.05871657723</v>
      </c>
      <c r="AX50" s="69"/>
      <c r="AY50" s="69">
        <f>AY49</f>
        <v>79089.45405378197</v>
      </c>
      <c r="AZ50" s="69"/>
      <c r="BA50" s="69">
        <f>BA49</f>
        <v>69697.33063352788</v>
      </c>
      <c r="BB50" s="69"/>
      <c r="BC50" s="69">
        <f>BC49</f>
        <v>68850.05871657723</v>
      </c>
    </row>
    <row r="51" spans="5:39" ht="12.75"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</row>
    <row r="52" spans="2:55" ht="12.75">
      <c r="B52" s="19" t="s">
        <v>118</v>
      </c>
      <c r="E52" s="70" t="s">
        <v>104</v>
      </c>
      <c r="F52" s="70"/>
      <c r="G52" s="70" t="s">
        <v>105</v>
      </c>
      <c r="H52" s="70"/>
      <c r="I52" s="70" t="s">
        <v>106</v>
      </c>
      <c r="J52" s="70"/>
      <c r="K52" s="70" t="s">
        <v>104</v>
      </c>
      <c r="L52" s="70"/>
      <c r="M52" s="70" t="s">
        <v>105</v>
      </c>
      <c r="N52" s="70"/>
      <c r="O52" s="70" t="s">
        <v>106</v>
      </c>
      <c r="P52" s="70"/>
      <c r="Q52" s="70" t="s">
        <v>104</v>
      </c>
      <c r="R52" s="70"/>
      <c r="S52" s="70" t="s">
        <v>105</v>
      </c>
      <c r="T52" s="70"/>
      <c r="U52" s="70" t="s">
        <v>106</v>
      </c>
      <c r="V52" s="70"/>
      <c r="W52" s="70" t="s">
        <v>104</v>
      </c>
      <c r="X52" s="70"/>
      <c r="Y52" s="70" t="s">
        <v>105</v>
      </c>
      <c r="Z52" s="70"/>
      <c r="AA52" s="70" t="s">
        <v>106</v>
      </c>
      <c r="AB52" s="70"/>
      <c r="AC52" s="70" t="s">
        <v>104</v>
      </c>
      <c r="AD52" s="70"/>
      <c r="AE52" s="70" t="s">
        <v>105</v>
      </c>
      <c r="AF52" s="70"/>
      <c r="AG52" s="70" t="s">
        <v>106</v>
      </c>
      <c r="AH52" s="70"/>
      <c r="AI52" s="70" t="s">
        <v>104</v>
      </c>
      <c r="AJ52" s="70"/>
      <c r="AK52" s="70" t="s">
        <v>105</v>
      </c>
      <c r="AL52" s="70"/>
      <c r="AM52" s="70" t="s">
        <v>106</v>
      </c>
      <c r="AN52" s="70"/>
      <c r="AO52" s="70" t="s">
        <v>104</v>
      </c>
      <c r="AP52" s="70"/>
      <c r="AQ52" s="70" t="s">
        <v>105</v>
      </c>
      <c r="AR52" s="70"/>
      <c r="AS52" s="70" t="s">
        <v>106</v>
      </c>
      <c r="AT52" s="70"/>
      <c r="AU52" s="70" t="s">
        <v>47</v>
      </c>
      <c r="AV52" s="70"/>
      <c r="AW52" s="70" t="s">
        <v>104</v>
      </c>
      <c r="AX52" s="70"/>
      <c r="AY52" s="70" t="s">
        <v>105</v>
      </c>
      <c r="AZ52" s="70"/>
      <c r="BA52" s="70" t="s">
        <v>106</v>
      </c>
      <c r="BB52" s="70"/>
      <c r="BC52" s="70" t="s">
        <v>47</v>
      </c>
    </row>
    <row r="53" spans="5:39" ht="12.75"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</row>
    <row r="54" spans="2:47" ht="12.75">
      <c r="B54" s="66" t="s">
        <v>257</v>
      </c>
      <c r="E54" s="66" t="s">
        <v>259</v>
      </c>
      <c r="G54" s="66" t="s">
        <v>259</v>
      </c>
      <c r="I54" s="66" t="s">
        <v>259</v>
      </c>
      <c r="J54" s="67"/>
      <c r="K54" s="67"/>
      <c r="L54" s="67"/>
      <c r="M54" s="67"/>
      <c r="N54" s="67"/>
      <c r="O54" s="67"/>
      <c r="P54" s="67"/>
      <c r="Q54" s="67" t="s">
        <v>263</v>
      </c>
      <c r="R54" s="67"/>
      <c r="S54" s="67" t="s">
        <v>263</v>
      </c>
      <c r="T54" s="67"/>
      <c r="U54" s="67" t="s">
        <v>263</v>
      </c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O54" s="66" t="s">
        <v>264</v>
      </c>
      <c r="AQ54" s="66" t="s">
        <v>264</v>
      </c>
      <c r="AS54" s="66" t="s">
        <v>264</v>
      </c>
      <c r="AU54" s="66" t="s">
        <v>264</v>
      </c>
    </row>
    <row r="55" spans="2:47" ht="12.75">
      <c r="B55" s="66" t="s">
        <v>258</v>
      </c>
      <c r="E55" s="66" t="s">
        <v>262</v>
      </c>
      <c r="G55" s="66" t="s">
        <v>262</v>
      </c>
      <c r="I55" s="66" t="s">
        <v>262</v>
      </c>
      <c r="J55" s="67"/>
      <c r="K55" s="67"/>
      <c r="L55" s="67"/>
      <c r="M55" s="67"/>
      <c r="N55" s="67"/>
      <c r="O55" s="67"/>
      <c r="P55" s="67"/>
      <c r="Q55" s="67" t="s">
        <v>260</v>
      </c>
      <c r="R55" s="67"/>
      <c r="S55" s="67" t="s">
        <v>260</v>
      </c>
      <c r="T55" s="67"/>
      <c r="U55" s="67" t="s">
        <v>260</v>
      </c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O55" s="66" t="s">
        <v>25</v>
      </c>
      <c r="AQ55" s="66" t="s">
        <v>25</v>
      </c>
      <c r="AS55" s="66" t="s">
        <v>25</v>
      </c>
      <c r="AU55" s="66" t="s">
        <v>25</v>
      </c>
    </row>
    <row r="56" spans="2:55" ht="12.75">
      <c r="B56" s="66" t="s">
        <v>269</v>
      </c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O56" s="66" t="s">
        <v>25</v>
      </c>
      <c r="AQ56" s="66" t="s">
        <v>25</v>
      </c>
      <c r="AS56" s="66" t="s">
        <v>25</v>
      </c>
      <c r="AU56" s="66" t="s">
        <v>25</v>
      </c>
      <c r="AW56" s="66" t="s">
        <v>67</v>
      </c>
      <c r="AY56" s="66" t="s">
        <v>67</v>
      </c>
      <c r="BA56" s="66" t="s">
        <v>67</v>
      </c>
      <c r="BC56" s="66" t="s">
        <v>67</v>
      </c>
    </row>
    <row r="57" spans="2:41" ht="12.75">
      <c r="B57" s="66" t="s">
        <v>48</v>
      </c>
      <c r="E57" s="66" t="s">
        <v>196</v>
      </c>
      <c r="K57" s="66" t="s">
        <v>197</v>
      </c>
      <c r="Q57" s="66" t="s">
        <v>198</v>
      </c>
      <c r="W57" s="66" t="s">
        <v>199</v>
      </c>
      <c r="AC57" s="66" t="s">
        <v>200</v>
      </c>
      <c r="AI57" s="66" t="s">
        <v>201</v>
      </c>
      <c r="AO57" s="66" t="s">
        <v>25</v>
      </c>
    </row>
    <row r="58" spans="1:39" ht="12.75">
      <c r="A58" s="66" t="s">
        <v>118</v>
      </c>
      <c r="B58" s="66" t="s">
        <v>202</v>
      </c>
      <c r="D58" s="66" t="s">
        <v>55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>
        <v>579</v>
      </c>
      <c r="R58" s="67"/>
      <c r="S58" s="67">
        <v>568</v>
      </c>
      <c r="T58" s="67"/>
      <c r="U58" s="67">
        <v>483</v>
      </c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</row>
    <row r="59" spans="1:39" ht="12.75">
      <c r="A59" s="66" t="s">
        <v>118</v>
      </c>
      <c r="B59" s="66" t="s">
        <v>203</v>
      </c>
      <c r="D59" s="66" t="s">
        <v>50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>
        <v>137000</v>
      </c>
      <c r="R59" s="67"/>
      <c r="S59" s="67">
        <v>137000</v>
      </c>
      <c r="T59" s="67"/>
      <c r="U59" s="67">
        <v>137000</v>
      </c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</row>
    <row r="60" spans="1:39" ht="12.75">
      <c r="A60" s="66" t="s">
        <v>118</v>
      </c>
      <c r="B60" s="66" t="s">
        <v>51</v>
      </c>
      <c r="D60" s="66" t="s">
        <v>204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>
        <v>0</v>
      </c>
      <c r="R60" s="67"/>
      <c r="S60" s="67">
        <v>0</v>
      </c>
      <c r="T60" s="67"/>
      <c r="U60" s="67">
        <v>0</v>
      </c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</row>
    <row r="61" spans="1:39" ht="12.75">
      <c r="A61" s="66" t="s">
        <v>118</v>
      </c>
      <c r="B61" s="66" t="s">
        <v>180</v>
      </c>
      <c r="D61" s="66" t="s">
        <v>205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8">
        <v>45.768566493955</v>
      </c>
      <c r="R61" s="68"/>
      <c r="S61" s="68">
        <v>45.774647887324</v>
      </c>
      <c r="T61" s="68"/>
      <c r="U61" s="68">
        <v>45.75569358178054</v>
      </c>
      <c r="V61" s="68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</row>
    <row r="62" spans="1:39" ht="12.75">
      <c r="A62" s="66" t="s">
        <v>118</v>
      </c>
      <c r="B62" s="66" t="s">
        <v>186</v>
      </c>
      <c r="D62" s="66" t="s">
        <v>205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8">
        <v>81.86528497409327</v>
      </c>
      <c r="R62" s="68"/>
      <c r="S62" s="68">
        <v>81.86619718309859</v>
      </c>
      <c r="T62" s="68"/>
      <c r="U62" s="68">
        <v>81.98757763975155</v>
      </c>
      <c r="V62" s="68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</row>
    <row r="63" spans="5:39" ht="12.75"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8"/>
      <c r="R63" s="68"/>
      <c r="S63" s="68"/>
      <c r="T63" s="68"/>
      <c r="U63" s="68"/>
      <c r="V63" s="68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</row>
    <row r="64" spans="2:47" ht="12.75">
      <c r="B64" s="66" t="s">
        <v>206</v>
      </c>
      <c r="E64" s="68"/>
      <c r="F64" s="68"/>
      <c r="G64" s="68"/>
      <c r="H64" s="68"/>
      <c r="I64" s="68"/>
      <c r="J64" s="68"/>
      <c r="K64" s="67"/>
      <c r="L64" s="67"/>
      <c r="M64" s="67"/>
      <c r="N64" s="67"/>
      <c r="O64" s="67"/>
      <c r="P64" s="67"/>
      <c r="Q64" s="67">
        <f>'emiss 2'!G77</f>
        <v>5176</v>
      </c>
      <c r="R64" s="67"/>
      <c r="S64" s="67">
        <f>'emiss 2'!I77</f>
        <v>5280</v>
      </c>
      <c r="T64" s="67"/>
      <c r="U64" s="67">
        <f>'emiss 2'!K77</f>
        <v>5056</v>
      </c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O64" s="66">
        <f>Q64</f>
        <v>5176</v>
      </c>
      <c r="AQ64" s="66">
        <f>S64</f>
        <v>5280</v>
      </c>
      <c r="AS64" s="66">
        <f>U64</f>
        <v>5056</v>
      </c>
      <c r="AU64" s="68">
        <f>AVERAGE(AO64,AQ64,AS64)</f>
        <v>5170.666666666667</v>
      </c>
    </row>
    <row r="65" spans="2:47" ht="12.75">
      <c r="B65" s="66" t="s">
        <v>146</v>
      </c>
      <c r="E65" s="68"/>
      <c r="F65" s="68"/>
      <c r="G65" s="68"/>
      <c r="H65" s="68"/>
      <c r="I65" s="68"/>
      <c r="J65" s="68"/>
      <c r="K65" s="67"/>
      <c r="L65" s="67"/>
      <c r="M65" s="67"/>
      <c r="N65" s="67"/>
      <c r="O65" s="67"/>
      <c r="P65" s="67"/>
      <c r="Q65" s="67">
        <f>'emiss 2'!G78</f>
        <v>16</v>
      </c>
      <c r="R65" s="67"/>
      <c r="S65" s="67">
        <f>'emiss 2'!I78</f>
        <v>16</v>
      </c>
      <c r="T65" s="67"/>
      <c r="U65" s="67">
        <f>'emiss 2'!K78</f>
        <v>15.53</v>
      </c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O65" s="66">
        <f>Q65</f>
        <v>16</v>
      </c>
      <c r="AQ65" s="66">
        <f>S65</f>
        <v>16</v>
      </c>
      <c r="AS65" s="66">
        <f>U65</f>
        <v>15.53</v>
      </c>
      <c r="AU65" s="68">
        <f>AVERAGE(AO65,AQ65,AS65)</f>
        <v>15.843333333333334</v>
      </c>
    </row>
    <row r="66" spans="5:39" ht="12.75">
      <c r="E66" s="68"/>
      <c r="F66" s="68"/>
      <c r="G66" s="68"/>
      <c r="H66" s="68"/>
      <c r="I66" s="68"/>
      <c r="J66" s="68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</row>
    <row r="67" spans="2:47" ht="12.75">
      <c r="B67" s="10" t="s">
        <v>271</v>
      </c>
      <c r="D67" s="10" t="s">
        <v>147</v>
      </c>
      <c r="E67" s="68"/>
      <c r="F67" s="68"/>
      <c r="G67" s="68"/>
      <c r="H67" s="68"/>
      <c r="I67" s="68"/>
      <c r="J67" s="68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O67" s="29">
        <f>AO64/9000*60*(21-AO65)/21</f>
        <v>8.215873015873015</v>
      </c>
      <c r="AQ67" s="29">
        <f>AQ64/9000*60*(21-AQ65)/21</f>
        <v>8.380952380952381</v>
      </c>
      <c r="AS67" s="29">
        <f>AS64/9000*60*(21-AS65)/21</f>
        <v>8.77978412698413</v>
      </c>
      <c r="AU67" s="29">
        <f>AU64/9000*60*(21-AU65)/21</f>
        <v>8.464572839506173</v>
      </c>
    </row>
    <row r="68" spans="5:39" ht="12.75">
      <c r="E68" s="68"/>
      <c r="F68" s="68"/>
      <c r="G68" s="68"/>
      <c r="H68" s="68"/>
      <c r="I68" s="68"/>
      <c r="J68" s="68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</row>
    <row r="69" spans="2:39" ht="12.75">
      <c r="B69" s="66" t="s">
        <v>207</v>
      </c>
      <c r="E69" s="68"/>
      <c r="F69" s="68"/>
      <c r="G69" s="68"/>
      <c r="H69" s="68"/>
      <c r="I69" s="68"/>
      <c r="J69" s="68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</row>
    <row r="70" spans="2:55" ht="12.75">
      <c r="B70" s="66" t="s">
        <v>180</v>
      </c>
      <c r="D70" s="66" t="s">
        <v>60</v>
      </c>
      <c r="E70" s="68"/>
      <c r="F70" s="68"/>
      <c r="G70" s="68"/>
      <c r="H70" s="68"/>
      <c r="I70" s="68"/>
      <c r="J70" s="68"/>
      <c r="K70" s="67"/>
      <c r="L70" s="67"/>
      <c r="M70" s="67"/>
      <c r="N70" s="67"/>
      <c r="O70" s="67"/>
      <c r="P70" s="67"/>
      <c r="Q70" s="69">
        <f>Q61*Q$58/0.0283/60*14/(21-Q$65)*454/Q$64</f>
        <v>3832.902787714605</v>
      </c>
      <c r="R70" s="67"/>
      <c r="S70" s="69">
        <f>S61*S$58/0.0283/60*14/(21-S$65)*454/S$64</f>
        <v>3686.5117607167126</v>
      </c>
      <c r="T70" s="67"/>
      <c r="U70" s="69">
        <f>U61*U$58/0.0283/60*14/(21-U$65)*454/U$64</f>
        <v>2991.190581772373</v>
      </c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O70" s="69">
        <f>Q70</f>
        <v>3832.902787714605</v>
      </c>
      <c r="AQ70" s="69">
        <f>S70</f>
        <v>3686.5117607167126</v>
      </c>
      <c r="AS70" s="69">
        <f>U70</f>
        <v>2991.190581772373</v>
      </c>
      <c r="AU70" s="69">
        <f>AVERAGE(AO70,AQ70,AS70)</f>
        <v>3503.5350434012303</v>
      </c>
      <c r="AW70" s="68">
        <f>E70+K70+Q70+W70+AC70+AI70</f>
        <v>3832.902787714605</v>
      </c>
      <c r="AY70" s="68">
        <f>G70+M70+S70+Y70+AE70+AK70</f>
        <v>3686.5117607167126</v>
      </c>
      <c r="BA70" s="68">
        <f>I70+O70+U70+AA70+AG70+AM70</f>
        <v>2991.190581772373</v>
      </c>
      <c r="BC70" s="68">
        <f>K70+Q70+W70+AC70+AI70+AO70</f>
        <v>7665.80557542921</v>
      </c>
    </row>
    <row r="71" spans="2:55" ht="12.75">
      <c r="B71" s="66" t="s">
        <v>186</v>
      </c>
      <c r="D71" s="66" t="s">
        <v>60</v>
      </c>
      <c r="E71" s="68"/>
      <c r="F71" s="68"/>
      <c r="G71" s="68"/>
      <c r="H71" s="68"/>
      <c r="I71" s="68"/>
      <c r="J71" s="68"/>
      <c r="K71" s="67"/>
      <c r="L71" s="67"/>
      <c r="M71" s="67"/>
      <c r="N71" s="67"/>
      <c r="O71" s="67"/>
      <c r="P71" s="67"/>
      <c r="Q71" s="69">
        <f>Q62*Q$58/0.0283/60*14/(21-Q$65)*454/Q$64</f>
        <v>6855.833665572554</v>
      </c>
      <c r="R71" s="67"/>
      <c r="S71" s="69">
        <f>S62*S$58/0.0283/60*14/(21-S$65)*454/S$64</f>
        <v>6593.184495127957</v>
      </c>
      <c r="T71" s="67"/>
      <c r="U71" s="69">
        <f>U62*U$58/0.0283/60*14/(21-U$65)*454/U$64</f>
        <v>5359.780408967691</v>
      </c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O71" s="69">
        <f>Q71</f>
        <v>6855.833665572554</v>
      </c>
      <c r="AQ71" s="69">
        <f>S71</f>
        <v>6593.184495127957</v>
      </c>
      <c r="AS71" s="69">
        <f>U71</f>
        <v>5359.780408967691</v>
      </c>
      <c r="AU71" s="69">
        <f>AVERAGE(AO71,AQ71,AS71)</f>
        <v>6269.599523222733</v>
      </c>
      <c r="AW71" s="68">
        <f>E71+K71+Q71+W71+AC71+AI71</f>
        <v>6855.833665572554</v>
      </c>
      <c r="AY71" s="68">
        <f>G71+M71+S71+Y71+AE71+AK71</f>
        <v>6593.184495127957</v>
      </c>
      <c r="BA71" s="68">
        <f>I71+O71+U71+AA71+AG71+AM71</f>
        <v>5359.780408967691</v>
      </c>
      <c r="BC71" s="68">
        <f>K71+Q71+W71+AC71+AI71+AO71</f>
        <v>13711.667331145109</v>
      </c>
    </row>
    <row r="72" spans="2:55" ht="12.75">
      <c r="B72" s="66" t="s">
        <v>61</v>
      </c>
      <c r="D72" s="66" t="s">
        <v>60</v>
      </c>
      <c r="E72" s="68"/>
      <c r="F72" s="68"/>
      <c r="G72" s="68"/>
      <c r="H72" s="68"/>
      <c r="I72" s="68"/>
      <c r="J72" s="68"/>
      <c r="K72" s="67"/>
      <c r="L72" s="67"/>
      <c r="M72" s="67"/>
      <c r="N72" s="67"/>
      <c r="O72" s="67"/>
      <c r="P72" s="67"/>
      <c r="Q72" s="69">
        <f>Q71</f>
        <v>6855.833665572554</v>
      </c>
      <c r="R72" s="67"/>
      <c r="S72" s="69">
        <f>S71</f>
        <v>6593.184495127957</v>
      </c>
      <c r="T72" s="67"/>
      <c r="U72" s="69">
        <f>U71</f>
        <v>5359.780408967691</v>
      </c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O72" s="69">
        <f>AO71</f>
        <v>6855.833665572554</v>
      </c>
      <c r="AQ72" s="69">
        <f>AQ71</f>
        <v>6593.184495127957</v>
      </c>
      <c r="AS72" s="69">
        <f>AS71</f>
        <v>5359.780408967691</v>
      </c>
      <c r="AU72" s="69">
        <f>AU71</f>
        <v>6269.599523222733</v>
      </c>
      <c r="AW72" s="69">
        <f>AW71</f>
        <v>6855.833665572554</v>
      </c>
      <c r="AY72" s="69">
        <f>AY71</f>
        <v>6593.184495127957</v>
      </c>
      <c r="BA72" s="69">
        <f>BA71</f>
        <v>5359.780408967691</v>
      </c>
      <c r="BC72" s="69">
        <f>BC71</f>
        <v>13711.667331145109</v>
      </c>
    </row>
    <row r="73" spans="5:55" ht="12.75">
      <c r="E73" s="68"/>
      <c r="F73" s="68"/>
      <c r="G73" s="68"/>
      <c r="H73" s="68"/>
      <c r="I73" s="68"/>
      <c r="J73" s="68"/>
      <c r="K73" s="67"/>
      <c r="L73" s="67"/>
      <c r="M73" s="67"/>
      <c r="N73" s="67"/>
      <c r="O73" s="67"/>
      <c r="P73" s="67"/>
      <c r="Q73" s="69"/>
      <c r="R73" s="67"/>
      <c r="S73" s="69"/>
      <c r="T73" s="67"/>
      <c r="U73" s="69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O73" s="69"/>
      <c r="AQ73" s="69"/>
      <c r="AS73" s="69"/>
      <c r="AU73" s="69"/>
      <c r="AW73" s="68"/>
      <c r="AY73" s="68"/>
      <c r="BA73" s="68"/>
      <c r="BC73" s="69"/>
    </row>
    <row r="74" spans="5:53" ht="12.75"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W74" s="68"/>
      <c r="AY74" s="68"/>
      <c r="BA74" s="68"/>
    </row>
    <row r="75" spans="2:55" ht="12.75">
      <c r="B75" s="19" t="s">
        <v>173</v>
      </c>
      <c r="E75" s="70" t="s">
        <v>104</v>
      </c>
      <c r="F75" s="70"/>
      <c r="G75" s="70" t="s">
        <v>105</v>
      </c>
      <c r="H75" s="70"/>
      <c r="I75" s="70" t="s">
        <v>106</v>
      </c>
      <c r="J75" s="70"/>
      <c r="K75" s="70" t="s">
        <v>104</v>
      </c>
      <c r="L75" s="70"/>
      <c r="M75" s="70" t="s">
        <v>105</v>
      </c>
      <c r="N75" s="70"/>
      <c r="O75" s="70" t="s">
        <v>106</v>
      </c>
      <c r="P75" s="70"/>
      <c r="Q75" s="70" t="s">
        <v>104</v>
      </c>
      <c r="R75" s="70"/>
      <c r="S75" s="70" t="s">
        <v>105</v>
      </c>
      <c r="T75" s="70"/>
      <c r="U75" s="70" t="s">
        <v>106</v>
      </c>
      <c r="V75" s="70"/>
      <c r="W75" s="70" t="s">
        <v>104</v>
      </c>
      <c r="X75" s="70"/>
      <c r="Y75" s="70" t="s">
        <v>105</v>
      </c>
      <c r="Z75" s="70"/>
      <c r="AA75" s="70" t="s">
        <v>106</v>
      </c>
      <c r="AB75" s="70"/>
      <c r="AC75" s="70" t="s">
        <v>104</v>
      </c>
      <c r="AD75" s="70"/>
      <c r="AE75" s="70" t="s">
        <v>105</v>
      </c>
      <c r="AF75" s="70"/>
      <c r="AG75" s="70" t="s">
        <v>106</v>
      </c>
      <c r="AH75" s="70"/>
      <c r="AI75" s="70" t="s">
        <v>104</v>
      </c>
      <c r="AJ75" s="70"/>
      <c r="AK75" s="70" t="s">
        <v>105</v>
      </c>
      <c r="AL75" s="70"/>
      <c r="AM75" s="70" t="s">
        <v>106</v>
      </c>
      <c r="AN75" s="70"/>
      <c r="AO75" s="70" t="s">
        <v>104</v>
      </c>
      <c r="AP75" s="70"/>
      <c r="AQ75" s="70" t="s">
        <v>105</v>
      </c>
      <c r="AR75" s="70"/>
      <c r="AS75" s="70" t="s">
        <v>106</v>
      </c>
      <c r="AT75" s="70"/>
      <c r="AU75" s="70" t="s">
        <v>47</v>
      </c>
      <c r="AV75" s="70"/>
      <c r="AW75" s="70" t="s">
        <v>104</v>
      </c>
      <c r="AX75" s="70"/>
      <c r="AY75" s="70" t="s">
        <v>105</v>
      </c>
      <c r="AZ75" s="70"/>
      <c r="BA75" s="70" t="s">
        <v>106</v>
      </c>
      <c r="BB75" s="70"/>
      <c r="BC75" s="70" t="s">
        <v>47</v>
      </c>
    </row>
    <row r="76" spans="5:39" ht="12.75"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</row>
    <row r="77" spans="2:47" ht="12.75">
      <c r="B77" s="66" t="s">
        <v>257</v>
      </c>
      <c r="E77" s="66" t="s">
        <v>259</v>
      </c>
      <c r="G77" s="66" t="s">
        <v>259</v>
      </c>
      <c r="I77" s="66" t="s">
        <v>259</v>
      </c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 t="s">
        <v>263</v>
      </c>
      <c r="X77" s="67"/>
      <c r="Y77" s="67" t="s">
        <v>263</v>
      </c>
      <c r="Z77" s="67"/>
      <c r="AA77" s="67" t="s">
        <v>263</v>
      </c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O77" s="66" t="s">
        <v>264</v>
      </c>
      <c r="AQ77" s="66" t="s">
        <v>264</v>
      </c>
      <c r="AS77" s="66" t="s">
        <v>264</v>
      </c>
      <c r="AU77" s="66" t="s">
        <v>264</v>
      </c>
    </row>
    <row r="78" spans="2:47" ht="12.75">
      <c r="B78" s="66" t="s">
        <v>258</v>
      </c>
      <c r="E78" s="66" t="s">
        <v>262</v>
      </c>
      <c r="G78" s="66" t="s">
        <v>262</v>
      </c>
      <c r="I78" s="66" t="s">
        <v>262</v>
      </c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 t="s">
        <v>260</v>
      </c>
      <c r="X78" s="67"/>
      <c r="Y78" s="67" t="s">
        <v>260</v>
      </c>
      <c r="Z78" s="67"/>
      <c r="AA78" s="67" t="s">
        <v>260</v>
      </c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O78" s="66" t="s">
        <v>25</v>
      </c>
      <c r="AQ78" s="66" t="s">
        <v>25</v>
      </c>
      <c r="AS78" s="66" t="s">
        <v>25</v>
      </c>
      <c r="AU78" s="66" t="s">
        <v>25</v>
      </c>
    </row>
    <row r="79" spans="2:55" ht="12.75">
      <c r="B79" s="66" t="s">
        <v>269</v>
      </c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O79" s="66" t="s">
        <v>25</v>
      </c>
      <c r="AQ79" s="66" t="s">
        <v>25</v>
      </c>
      <c r="AS79" s="66" t="s">
        <v>25</v>
      </c>
      <c r="AU79" s="66" t="s">
        <v>25</v>
      </c>
      <c r="AW79" s="66" t="s">
        <v>67</v>
      </c>
      <c r="AY79" s="66" t="s">
        <v>67</v>
      </c>
      <c r="BA79" s="66" t="s">
        <v>67</v>
      </c>
      <c r="BC79" s="66" t="s">
        <v>67</v>
      </c>
    </row>
    <row r="80" spans="2:41" ht="12.75">
      <c r="B80" s="66" t="s">
        <v>48</v>
      </c>
      <c r="E80" s="66" t="s">
        <v>196</v>
      </c>
      <c r="K80" s="66" t="s">
        <v>197</v>
      </c>
      <c r="Q80" s="66" t="s">
        <v>198</v>
      </c>
      <c r="W80" s="66" t="s">
        <v>199</v>
      </c>
      <c r="AC80" s="66" t="s">
        <v>200</v>
      </c>
      <c r="AI80" s="66" t="s">
        <v>201</v>
      </c>
      <c r="AO80" s="66" t="s">
        <v>25</v>
      </c>
    </row>
    <row r="81" spans="1:39" ht="12.75">
      <c r="A81" s="66" t="s">
        <v>173</v>
      </c>
      <c r="B81" s="66" t="s">
        <v>202</v>
      </c>
      <c r="D81" s="66" t="s">
        <v>55</v>
      </c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>
        <v>90</v>
      </c>
      <c r="X81" s="67"/>
      <c r="Y81" s="67">
        <v>133</v>
      </c>
      <c r="Z81" s="67"/>
      <c r="AA81" s="67">
        <v>146</v>
      </c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</row>
    <row r="82" spans="1:39" ht="12.75">
      <c r="A82" s="66" t="s">
        <v>173</v>
      </c>
      <c r="B82" s="66" t="s">
        <v>203</v>
      </c>
      <c r="D82" s="66" t="s">
        <v>50</v>
      </c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>
        <v>137000</v>
      </c>
      <c r="X82" s="67"/>
      <c r="Y82" s="67">
        <v>137000</v>
      </c>
      <c r="Z82" s="67"/>
      <c r="AA82" s="67">
        <v>137000</v>
      </c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</row>
    <row r="83" spans="1:39" ht="12.75">
      <c r="A83" s="66" t="s">
        <v>173</v>
      </c>
      <c r="B83" s="66" t="s">
        <v>51</v>
      </c>
      <c r="D83" s="66" t="s">
        <v>204</v>
      </c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>
        <v>0</v>
      </c>
      <c r="X83" s="67"/>
      <c r="Y83" s="67">
        <v>0</v>
      </c>
      <c r="Z83" s="67"/>
      <c r="AA83" s="67">
        <v>0</v>
      </c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</row>
    <row r="84" spans="1:39" ht="12.75">
      <c r="A84" s="66" t="s">
        <v>173</v>
      </c>
      <c r="B84" s="66" t="s">
        <v>180</v>
      </c>
      <c r="D84" s="66" t="s">
        <v>205</v>
      </c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8">
        <v>13666.666666666666</v>
      </c>
      <c r="X84" s="68"/>
      <c r="Y84" s="68">
        <v>13609.022556391</v>
      </c>
      <c r="Z84" s="68"/>
      <c r="AA84" s="68">
        <v>13630.13698630137</v>
      </c>
      <c r="AB84" s="68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</row>
    <row r="85" spans="1:39" ht="12.75">
      <c r="A85" s="66" t="s">
        <v>173</v>
      </c>
      <c r="B85" s="66" t="s">
        <v>182</v>
      </c>
      <c r="D85" s="66" t="s">
        <v>205</v>
      </c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8">
        <v>21333.333333333332</v>
      </c>
      <c r="X85" s="68"/>
      <c r="Y85" s="68">
        <v>21353.38345864662</v>
      </c>
      <c r="Z85" s="68"/>
      <c r="AA85" s="68">
        <v>21301.369863013697</v>
      </c>
      <c r="AB85" s="68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</row>
    <row r="86" spans="1:39" ht="12.75">
      <c r="A86" s="66" t="s">
        <v>173</v>
      </c>
      <c r="B86" s="66" t="s">
        <v>186</v>
      </c>
      <c r="D86" s="66" t="s">
        <v>205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8">
        <v>21333.333333333332</v>
      </c>
      <c r="X86" s="68"/>
      <c r="Y86" s="68">
        <v>21278.195488721805</v>
      </c>
      <c r="Z86" s="68"/>
      <c r="AA86" s="68">
        <v>21301.369863013697</v>
      </c>
      <c r="AB86" s="68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</row>
    <row r="87" spans="5:39" ht="12.75"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8"/>
      <c r="X87" s="68"/>
      <c r="Y87" s="68"/>
      <c r="Z87" s="68"/>
      <c r="AA87" s="68"/>
      <c r="AB87" s="68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</row>
    <row r="88" spans="2:47" ht="12.75">
      <c r="B88" s="66" t="s">
        <v>206</v>
      </c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8">
        <f>'emiss 2'!G118</f>
        <v>5115</v>
      </c>
      <c r="X88" s="68"/>
      <c r="Y88" s="68">
        <f>'emiss 2'!I118</f>
        <v>5127</v>
      </c>
      <c r="Z88" s="68"/>
      <c r="AA88" s="68">
        <f>'emiss 2'!K118</f>
        <v>5128</v>
      </c>
      <c r="AB88" s="68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O88" s="68">
        <f>W88</f>
        <v>5115</v>
      </c>
      <c r="AQ88" s="68">
        <f>Y88</f>
        <v>5127</v>
      </c>
      <c r="AS88" s="68">
        <f>AA88</f>
        <v>5128</v>
      </c>
      <c r="AU88" s="68">
        <f>AVERAGE(AO88,AQ88,AS88)</f>
        <v>5123.333333333333</v>
      </c>
    </row>
    <row r="89" spans="2:47" ht="12.75">
      <c r="B89" s="66" t="s">
        <v>146</v>
      </c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8">
        <f>'emiss 2'!G119</f>
        <v>16.53</v>
      </c>
      <c r="X89" s="68"/>
      <c r="Y89" s="68">
        <f>'emiss 2'!I119</f>
        <v>16.2</v>
      </c>
      <c r="Z89" s="68"/>
      <c r="AA89" s="68">
        <f>'emiss 2'!K119</f>
        <v>16.2</v>
      </c>
      <c r="AB89" s="68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O89" s="68">
        <f>W89</f>
        <v>16.53</v>
      </c>
      <c r="AQ89" s="68">
        <f>Y89</f>
        <v>16.2</v>
      </c>
      <c r="AS89" s="68">
        <f>AA89</f>
        <v>16.2</v>
      </c>
      <c r="AU89" s="68">
        <f>AVERAGE(AO89,AQ89,AS89)</f>
        <v>16.310000000000002</v>
      </c>
    </row>
    <row r="90" spans="5:39" ht="12.75"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8"/>
      <c r="X90" s="68"/>
      <c r="Y90" s="68"/>
      <c r="Z90" s="68"/>
      <c r="AA90" s="68"/>
      <c r="AB90" s="68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</row>
    <row r="91" spans="2:47" ht="12.75">
      <c r="B91" s="10" t="s">
        <v>271</v>
      </c>
      <c r="C91" s="10" t="s">
        <v>147</v>
      </c>
      <c r="E91" s="68"/>
      <c r="F91" s="68"/>
      <c r="G91" s="68"/>
      <c r="H91" s="68"/>
      <c r="I91" s="68"/>
      <c r="J91" s="68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O91" s="29">
        <f>AO88/9000*60*(21-AO89)/21</f>
        <v>7.25842857142857</v>
      </c>
      <c r="AQ91" s="29">
        <f>AQ88/9000*60*(21-AQ89)/21</f>
        <v>7.812571428571429</v>
      </c>
      <c r="AS91" s="29">
        <f>AS88/9000*60*(21-AS89)/21</f>
        <v>7.8140952380952395</v>
      </c>
      <c r="AU91" s="29">
        <f>AU88/9000*60*(21-AU89)/21</f>
        <v>7.62807407407407</v>
      </c>
    </row>
    <row r="92" spans="5:39" ht="12.75"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8"/>
      <c r="X92" s="68"/>
      <c r="Y92" s="68"/>
      <c r="Z92" s="68"/>
      <c r="AA92" s="68"/>
      <c r="AB92" s="68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</row>
    <row r="93" spans="2:39" ht="12.75">
      <c r="B93" s="66" t="s">
        <v>207</v>
      </c>
      <c r="E93" s="68"/>
      <c r="F93" s="68"/>
      <c r="G93" s="68"/>
      <c r="H93" s="68"/>
      <c r="I93" s="68"/>
      <c r="J93" s="68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</row>
    <row r="94" spans="2:55" ht="12.75">
      <c r="B94" s="66" t="s">
        <v>180</v>
      </c>
      <c r="D94" s="66" t="s">
        <v>60</v>
      </c>
      <c r="E94" s="68"/>
      <c r="F94" s="68"/>
      <c r="G94" s="68"/>
      <c r="H94" s="68"/>
      <c r="I94" s="68"/>
      <c r="J94" s="68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9">
        <f>W84*W$81/0.0283/60*14/(21-W$89)*454/W$88</f>
        <v>201371.56852383638</v>
      </c>
      <c r="X94" s="69"/>
      <c r="Y94" s="69">
        <f>Y84*Y$81/0.0283/60*14/(21-Y$89)*454/Y$88</f>
        <v>275308.88192176324</v>
      </c>
      <c r="Z94" s="69"/>
      <c r="AA94" s="69">
        <f>AA84*AA$81/0.0283/60*14/(21-AA$89)*454/AA$88</f>
        <v>302628.6393034049</v>
      </c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>
        <f>W94</f>
        <v>201371.56852383638</v>
      </c>
      <c r="AP94" s="69"/>
      <c r="AQ94" s="69">
        <f>Y94</f>
        <v>275308.88192176324</v>
      </c>
      <c r="AR94" s="69"/>
      <c r="AS94" s="69">
        <f>AA94</f>
        <v>302628.6393034049</v>
      </c>
      <c r="AT94" s="69"/>
      <c r="AU94" s="69">
        <f>AVERAGE(AO94:AS94)</f>
        <v>259769.6965830015</v>
      </c>
      <c r="AV94" s="69"/>
      <c r="AW94" s="69">
        <f>E94+K94+Q94+W94+AC94+AI94</f>
        <v>201371.56852383638</v>
      </c>
      <c r="AX94" s="69"/>
      <c r="AY94" s="69">
        <f>G94+M94+S94+Y94+AE94+AK94</f>
        <v>275308.88192176324</v>
      </c>
      <c r="AZ94" s="69"/>
      <c r="BA94" s="69">
        <f>I94+O94+U94+AA94+AG94+AM94</f>
        <v>302628.6393034049</v>
      </c>
      <c r="BB94" s="69"/>
      <c r="BC94" s="69">
        <f>K94+Q94+W94+AC94+AI94+AO94</f>
        <v>402743.13704767276</v>
      </c>
    </row>
    <row r="95" spans="2:55" ht="12.75">
      <c r="B95" s="66" t="s">
        <v>182</v>
      </c>
      <c r="D95" s="66" t="s">
        <v>60</v>
      </c>
      <c r="E95" s="68"/>
      <c r="F95" s="68"/>
      <c r="G95" s="68"/>
      <c r="H95" s="68"/>
      <c r="I95" s="68"/>
      <c r="J95" s="68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9">
        <f aca="true" t="shared" si="3" ref="W95:Y96">W85*W$81/0.0283/60*14/(21-W$89)*454/W$88</f>
        <v>314336.10696403735</v>
      </c>
      <c r="X95" s="69"/>
      <c r="Y95" s="69">
        <f t="shared" si="3"/>
        <v>431976.3672142576</v>
      </c>
      <c r="Z95" s="69"/>
      <c r="AA95" s="69">
        <f>AA85*AA$81/0.0283/60*14/(21-AA$89)*454/AA$88</f>
        <v>472952.2955947683</v>
      </c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>
        <f aca="true" t="shared" si="4" ref="AO95:AS96">W95</f>
        <v>314336.10696403735</v>
      </c>
      <c r="AP95" s="69"/>
      <c r="AQ95" s="69">
        <f t="shared" si="4"/>
        <v>431976.3672142576</v>
      </c>
      <c r="AR95" s="69"/>
      <c r="AS95" s="69">
        <f t="shared" si="4"/>
        <v>472952.2955947683</v>
      </c>
      <c r="AT95" s="69"/>
      <c r="AU95" s="69">
        <f>AVERAGE(AO95:AS95)</f>
        <v>406421.5899243544</v>
      </c>
      <c r="AV95" s="69"/>
      <c r="AW95" s="69">
        <f>E95+K95+Q95+W95+AC95+AI95</f>
        <v>314336.10696403735</v>
      </c>
      <c r="AX95" s="69"/>
      <c r="AY95" s="69">
        <f>G95+M95+S95+Y95+AE95+AK95</f>
        <v>431976.3672142576</v>
      </c>
      <c r="AZ95" s="69"/>
      <c r="BA95" s="69">
        <f>I95+O95+U95+AA95+AG95+AM95</f>
        <v>472952.2955947683</v>
      </c>
      <c r="BB95" s="69"/>
      <c r="BC95" s="69">
        <f>K95+Q95+W95+AC95+AI95+AO95</f>
        <v>628672.2139280747</v>
      </c>
    </row>
    <row r="96" spans="2:55" ht="12.75">
      <c r="B96" s="66" t="s">
        <v>186</v>
      </c>
      <c r="D96" s="66" t="s">
        <v>60</v>
      </c>
      <c r="E96" s="68"/>
      <c r="F96" s="68"/>
      <c r="G96" s="68"/>
      <c r="H96" s="68"/>
      <c r="I96" s="68"/>
      <c r="J96" s="68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9">
        <f t="shared" si="3"/>
        <v>314336.10696403735</v>
      </c>
      <c r="X96" s="69"/>
      <c r="Y96" s="69">
        <f t="shared" si="3"/>
        <v>430455.3236677285</v>
      </c>
      <c r="Z96" s="69"/>
      <c r="AA96" s="69">
        <f>AA86*AA$81/0.0283/60*14/(21-AA$89)*454/AA$88</f>
        <v>472952.2955947683</v>
      </c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>
        <f t="shared" si="4"/>
        <v>314336.10696403735</v>
      </c>
      <c r="AP96" s="69"/>
      <c r="AQ96" s="69">
        <f t="shared" si="4"/>
        <v>430455.3236677285</v>
      </c>
      <c r="AR96" s="69"/>
      <c r="AS96" s="69">
        <f t="shared" si="4"/>
        <v>472952.2955947683</v>
      </c>
      <c r="AT96" s="69"/>
      <c r="AU96" s="69">
        <f>AVERAGE(AO96:AS96)</f>
        <v>405914.57540884474</v>
      </c>
      <c r="AV96" s="69"/>
      <c r="AW96" s="69">
        <f>E96+K96+Q96+W96+AC96+AI96</f>
        <v>314336.10696403735</v>
      </c>
      <c r="AX96" s="69"/>
      <c r="AY96" s="69">
        <f>G96+M96+S96+Y96+AE96+AK96</f>
        <v>430455.3236677285</v>
      </c>
      <c r="AZ96" s="69"/>
      <c r="BA96" s="69">
        <f>I96+O96+U96+AA96+AG96+AM96</f>
        <v>472952.2955947683</v>
      </c>
      <c r="BB96" s="69"/>
      <c r="BC96" s="69">
        <f>K96+Q96+W96+AC96+AI96+AO96</f>
        <v>628672.2139280747</v>
      </c>
    </row>
    <row r="97" spans="2:56" ht="12.75">
      <c r="B97" s="66" t="s">
        <v>61</v>
      </c>
      <c r="D97" s="66" t="s">
        <v>60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9">
        <f>W96</f>
        <v>314336.10696403735</v>
      </c>
      <c r="X97" s="69"/>
      <c r="Y97" s="69">
        <f>Y96</f>
        <v>430455.3236677285</v>
      </c>
      <c r="Z97" s="69"/>
      <c r="AA97" s="69">
        <f>AA96</f>
        <v>472952.2955947683</v>
      </c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>
        <f>AO96</f>
        <v>314336.10696403735</v>
      </c>
      <c r="AP97" s="69"/>
      <c r="AQ97" s="69">
        <f>AQ96</f>
        <v>430455.3236677285</v>
      </c>
      <c r="AR97" s="69"/>
      <c r="AS97" s="69">
        <f>AS96</f>
        <v>472952.2955947683</v>
      </c>
      <c r="AT97" s="69"/>
      <c r="AU97" s="69">
        <f>AU96</f>
        <v>405914.57540884474</v>
      </c>
      <c r="AV97" s="69"/>
      <c r="AW97" s="69">
        <f>AW96</f>
        <v>314336.10696403735</v>
      </c>
      <c r="AX97" s="69"/>
      <c r="AY97" s="69">
        <f>AY96</f>
        <v>430455.3236677285</v>
      </c>
      <c r="AZ97" s="69"/>
      <c r="BA97" s="69">
        <f>BA96</f>
        <v>472952.2955947683</v>
      </c>
      <c r="BB97" s="69"/>
      <c r="BC97" s="69">
        <f>BC96</f>
        <v>628672.2139280747</v>
      </c>
      <c r="BD97" s="66" t="s">
        <v>270</v>
      </c>
    </row>
    <row r="98" spans="5:39" ht="12.75"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</row>
    <row r="99" spans="2:55" ht="12.75">
      <c r="B99" s="19" t="s">
        <v>175</v>
      </c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 t="s">
        <v>104</v>
      </c>
      <c r="AD99" s="67"/>
      <c r="AE99" s="67" t="s">
        <v>105</v>
      </c>
      <c r="AF99" s="67"/>
      <c r="AG99" s="67" t="s">
        <v>106</v>
      </c>
      <c r="AH99" s="67"/>
      <c r="AI99" s="67"/>
      <c r="AJ99" s="67"/>
      <c r="AK99" s="67"/>
      <c r="AL99" s="67"/>
      <c r="AM99" s="67"/>
      <c r="AW99" s="70" t="s">
        <v>104</v>
      </c>
      <c r="AX99" s="70"/>
      <c r="AY99" s="70" t="s">
        <v>105</v>
      </c>
      <c r="AZ99" s="70"/>
      <c r="BA99" s="70" t="s">
        <v>106</v>
      </c>
      <c r="BB99" s="70"/>
      <c r="BC99" s="70" t="s">
        <v>47</v>
      </c>
    </row>
    <row r="100" spans="2:39" ht="12.75">
      <c r="B100" s="66" t="s">
        <v>257</v>
      </c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 t="s">
        <v>259</v>
      </c>
      <c r="AD100" s="67"/>
      <c r="AE100" s="67" t="s">
        <v>259</v>
      </c>
      <c r="AF100" s="67"/>
      <c r="AG100" s="67" t="s">
        <v>259</v>
      </c>
      <c r="AH100" s="67"/>
      <c r="AI100" s="67"/>
      <c r="AJ100" s="67"/>
      <c r="AK100" s="67"/>
      <c r="AL100" s="67"/>
      <c r="AM100" s="67"/>
    </row>
    <row r="101" spans="2:39" ht="12.75">
      <c r="B101" s="66" t="s">
        <v>258</v>
      </c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 t="s">
        <v>260</v>
      </c>
      <c r="AD101" s="67"/>
      <c r="AE101" s="67" t="s">
        <v>260</v>
      </c>
      <c r="AF101" s="67"/>
      <c r="AG101" s="67" t="s">
        <v>260</v>
      </c>
      <c r="AH101" s="67"/>
      <c r="AI101" s="67"/>
      <c r="AJ101" s="67"/>
      <c r="AK101" s="67"/>
      <c r="AL101" s="67"/>
      <c r="AM101" s="67"/>
    </row>
    <row r="102" spans="2:55" ht="12.75">
      <c r="B102" s="66" t="s">
        <v>269</v>
      </c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W102" s="66" t="s">
        <v>67</v>
      </c>
      <c r="AY102" s="66" t="s">
        <v>67</v>
      </c>
      <c r="BA102" s="66" t="s">
        <v>67</v>
      </c>
      <c r="BC102" s="66" t="s">
        <v>67</v>
      </c>
    </row>
    <row r="103" spans="2:39" ht="12.75">
      <c r="B103" s="66" t="s">
        <v>48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6" t="s">
        <v>200</v>
      </c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</row>
    <row r="104" spans="1:39" ht="12.75">
      <c r="A104" s="66" t="s">
        <v>175</v>
      </c>
      <c r="B104" s="66" t="s">
        <v>202</v>
      </c>
      <c r="D104" s="66" t="s">
        <v>55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>
        <v>43</v>
      </c>
      <c r="AD104" s="67"/>
      <c r="AE104" s="67">
        <v>40</v>
      </c>
      <c r="AF104" s="67"/>
      <c r="AG104" s="67">
        <v>37</v>
      </c>
      <c r="AH104" s="67"/>
      <c r="AI104" s="67"/>
      <c r="AJ104" s="67"/>
      <c r="AK104" s="67"/>
      <c r="AL104" s="67"/>
      <c r="AM104" s="67"/>
    </row>
    <row r="105" spans="1:39" ht="12.75">
      <c r="A105" s="66" t="s">
        <v>175</v>
      </c>
      <c r="B105" s="66" t="s">
        <v>203</v>
      </c>
      <c r="D105" s="20" t="s">
        <v>50</v>
      </c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>
        <v>137000</v>
      </c>
      <c r="AD105" s="67"/>
      <c r="AE105" s="67">
        <v>137000</v>
      </c>
      <c r="AF105" s="67"/>
      <c r="AG105" s="67">
        <v>137000</v>
      </c>
      <c r="AH105" s="67"/>
      <c r="AI105" s="67"/>
      <c r="AJ105" s="67"/>
      <c r="AK105" s="67"/>
      <c r="AL105" s="67"/>
      <c r="AM105" s="67"/>
    </row>
    <row r="106" spans="1:39" ht="12.75">
      <c r="A106" s="66" t="s">
        <v>175</v>
      </c>
      <c r="B106" s="66" t="s">
        <v>51</v>
      </c>
      <c r="D106" s="66" t="s">
        <v>204</v>
      </c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</row>
    <row r="107" spans="5:39" ht="12.75"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</row>
    <row r="108" spans="2:39" ht="12.75">
      <c r="B108" s="19" t="s">
        <v>177</v>
      </c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 t="s">
        <v>104</v>
      </c>
      <c r="AJ108" s="67"/>
      <c r="AK108" s="67" t="s">
        <v>105</v>
      </c>
      <c r="AL108" s="67"/>
      <c r="AM108" s="67" t="s">
        <v>106</v>
      </c>
    </row>
    <row r="109" spans="2:39" ht="12.75">
      <c r="B109" s="66" t="s">
        <v>257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 t="s">
        <v>259</v>
      </c>
      <c r="AJ109" s="67"/>
      <c r="AK109" s="67" t="s">
        <v>259</v>
      </c>
      <c r="AL109" s="67"/>
      <c r="AM109" s="67" t="s">
        <v>259</v>
      </c>
    </row>
    <row r="110" spans="2:39" ht="12.75">
      <c r="B110" s="66" t="s">
        <v>258</v>
      </c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 t="s">
        <v>260</v>
      </c>
      <c r="AJ110" s="67"/>
      <c r="AK110" s="67" t="s">
        <v>260</v>
      </c>
      <c r="AL110" s="67"/>
      <c r="AM110" s="67" t="s">
        <v>260</v>
      </c>
    </row>
    <row r="111" spans="2:39" ht="12.75">
      <c r="B111" s="66" t="s">
        <v>48</v>
      </c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6" t="s">
        <v>201</v>
      </c>
      <c r="AJ111" s="67"/>
      <c r="AK111" s="67"/>
      <c r="AL111" s="67"/>
      <c r="AM111" s="67"/>
    </row>
    <row r="112" spans="1:39" ht="12.75">
      <c r="A112" s="66" t="s">
        <v>177</v>
      </c>
      <c r="B112" s="66" t="s">
        <v>202</v>
      </c>
      <c r="D112" s="66" t="s">
        <v>55</v>
      </c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>
        <v>151</v>
      </c>
      <c r="AJ112" s="67"/>
      <c r="AK112" s="67">
        <v>199</v>
      </c>
      <c r="AL112" s="67"/>
      <c r="AM112" s="67">
        <v>194</v>
      </c>
    </row>
    <row r="113" spans="1:39" ht="12.75">
      <c r="A113" s="66" t="s">
        <v>177</v>
      </c>
      <c r="B113" s="66" t="s">
        <v>203</v>
      </c>
      <c r="D113" s="20" t="s">
        <v>50</v>
      </c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>
        <v>137000</v>
      </c>
      <c r="AJ113" s="67"/>
      <c r="AK113" s="67">
        <v>137000</v>
      </c>
      <c r="AL113" s="67"/>
      <c r="AM113" s="67">
        <v>137000</v>
      </c>
    </row>
    <row r="114" spans="1:39" ht="12.75">
      <c r="A114" s="66" t="s">
        <v>177</v>
      </c>
      <c r="B114" s="66" t="s">
        <v>51</v>
      </c>
      <c r="D114" s="66" t="s">
        <v>204</v>
      </c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B1">
      <selection activeCell="C42" sqref="C42"/>
    </sheetView>
  </sheetViews>
  <sheetFormatPr defaultColWidth="9.140625" defaultRowHeight="12.75"/>
  <cols>
    <col min="1" max="1" width="4.57421875" style="0" hidden="1" customWidth="1"/>
    <col min="2" max="2" width="29.8515625" style="0" customWidth="1"/>
    <col min="4" max="4" width="3.140625" style="0" customWidth="1"/>
    <col min="5" max="5" width="12.28125" style="0" customWidth="1"/>
    <col min="6" max="6" width="12.421875" style="0" customWidth="1"/>
  </cols>
  <sheetData>
    <row r="1" spans="2:6" ht="12.75">
      <c r="B1" s="8" t="s">
        <v>70</v>
      </c>
      <c r="C1" s="16"/>
      <c r="D1" s="16"/>
      <c r="E1" s="16"/>
      <c r="F1" s="16"/>
    </row>
    <row r="2" spans="2:6" ht="12.75">
      <c r="B2" s="16"/>
      <c r="C2" s="16"/>
      <c r="D2" s="16"/>
      <c r="E2" s="16"/>
      <c r="F2" s="16"/>
    </row>
    <row r="3" spans="1:7" ht="12.75">
      <c r="A3" t="s">
        <v>88</v>
      </c>
      <c r="B3" s="8" t="s">
        <v>168</v>
      </c>
      <c r="C3" s="16"/>
      <c r="D3" s="16"/>
      <c r="E3" s="78" t="s">
        <v>104</v>
      </c>
      <c r="F3" s="78" t="s">
        <v>105</v>
      </c>
      <c r="G3" s="71" t="s">
        <v>106</v>
      </c>
    </row>
    <row r="4" spans="2:6" ht="12.75">
      <c r="B4" s="16"/>
      <c r="C4" s="16"/>
      <c r="D4" s="16"/>
      <c r="E4" s="16"/>
      <c r="F4" s="16"/>
    </row>
    <row r="5" spans="2:7" ht="14.25">
      <c r="B5" s="16" t="s">
        <v>127</v>
      </c>
      <c r="C5" s="9" t="s">
        <v>59</v>
      </c>
      <c r="D5" s="9"/>
      <c r="E5">
        <v>456</v>
      </c>
      <c r="F5">
        <v>452.4</v>
      </c>
      <c r="G5">
        <v>433.1</v>
      </c>
    </row>
    <row r="6" spans="2:7" ht="14.25">
      <c r="B6" s="16" t="s">
        <v>128</v>
      </c>
      <c r="C6" s="9" t="s">
        <v>59</v>
      </c>
      <c r="D6" s="9"/>
      <c r="E6">
        <v>767</v>
      </c>
      <c r="F6">
        <v>837.9</v>
      </c>
      <c r="G6">
        <v>758.5</v>
      </c>
    </row>
    <row r="7" spans="2:7" ht="14.25">
      <c r="B7" s="16" t="s">
        <v>129</v>
      </c>
      <c r="C7" s="9" t="s">
        <v>59</v>
      </c>
      <c r="D7" s="9"/>
      <c r="E7">
        <v>1369.2</v>
      </c>
      <c r="F7">
        <v>1357.9</v>
      </c>
      <c r="G7">
        <v>1369.3</v>
      </c>
    </row>
    <row r="8" spans="2:7" ht="14.25">
      <c r="B8" s="16" t="s">
        <v>130</v>
      </c>
      <c r="C8" s="9" t="s">
        <v>59</v>
      </c>
      <c r="D8" s="9"/>
      <c r="E8">
        <v>776</v>
      </c>
      <c r="F8">
        <v>747.9</v>
      </c>
      <c r="G8">
        <v>73.4</v>
      </c>
    </row>
    <row r="9" spans="2:7" ht="14.25">
      <c r="B9" s="16" t="s">
        <v>131</v>
      </c>
      <c r="C9" s="9" t="s">
        <v>59</v>
      </c>
      <c r="D9" s="9"/>
      <c r="E9">
        <v>282.6</v>
      </c>
      <c r="F9">
        <v>281.4</v>
      </c>
      <c r="G9">
        <v>281.8</v>
      </c>
    </row>
    <row r="10" spans="2:7" ht="14.25">
      <c r="B10" s="16" t="s">
        <v>132</v>
      </c>
      <c r="C10" s="9" t="s">
        <v>59</v>
      </c>
      <c r="D10" s="9"/>
      <c r="E10">
        <v>242.5</v>
      </c>
      <c r="F10">
        <v>246.1</v>
      </c>
      <c r="G10">
        <v>246.9</v>
      </c>
    </row>
    <row r="11" spans="2:4" ht="14.25">
      <c r="B11" s="16"/>
      <c r="C11" s="9"/>
      <c r="D11" s="9"/>
    </row>
    <row r="12" spans="1:7" ht="12.75">
      <c r="A12" t="s">
        <v>88</v>
      </c>
      <c r="B12" s="8" t="s">
        <v>167</v>
      </c>
      <c r="C12" s="16"/>
      <c r="D12" s="16"/>
      <c r="E12" s="78" t="s">
        <v>104</v>
      </c>
      <c r="F12" s="78" t="s">
        <v>105</v>
      </c>
      <c r="G12" s="71" t="s">
        <v>106</v>
      </c>
    </row>
    <row r="13" spans="2:4" ht="12.75">
      <c r="B13" s="16"/>
      <c r="C13" s="16"/>
      <c r="D13" s="16"/>
    </row>
    <row r="14" spans="2:7" ht="14.25">
      <c r="B14" s="16" t="s">
        <v>127</v>
      </c>
      <c r="C14" s="9" t="s">
        <v>59</v>
      </c>
      <c r="D14" s="9"/>
      <c r="E14">
        <v>443.7</v>
      </c>
      <c r="F14">
        <v>431.8</v>
      </c>
      <c r="G14">
        <v>475.2</v>
      </c>
    </row>
    <row r="15" spans="2:7" ht="14.25">
      <c r="B15" s="16" t="s">
        <v>128</v>
      </c>
      <c r="C15" s="9" t="s">
        <v>59</v>
      </c>
      <c r="D15" s="16"/>
      <c r="E15">
        <v>1077.4</v>
      </c>
      <c r="F15">
        <v>958.4</v>
      </c>
      <c r="G15">
        <v>973.4</v>
      </c>
    </row>
    <row r="16" spans="2:7" ht="14.25">
      <c r="B16" s="16" t="s">
        <v>129</v>
      </c>
      <c r="C16" s="9" t="s">
        <v>59</v>
      </c>
      <c r="E16">
        <v>1355.7</v>
      </c>
      <c r="F16">
        <v>1366.8</v>
      </c>
      <c r="G16">
        <v>1370.2</v>
      </c>
    </row>
    <row r="17" spans="2:7" ht="14.25">
      <c r="B17" s="16" t="s">
        <v>130</v>
      </c>
      <c r="C17" s="9" t="s">
        <v>59</v>
      </c>
      <c r="E17">
        <v>769.8</v>
      </c>
      <c r="F17">
        <v>800.9</v>
      </c>
      <c r="G17">
        <v>805.9</v>
      </c>
    </row>
    <row r="18" spans="2:7" ht="14.25">
      <c r="B18" s="16" t="s">
        <v>131</v>
      </c>
      <c r="C18" s="9" t="s">
        <v>59</v>
      </c>
      <c r="E18">
        <v>316.7</v>
      </c>
      <c r="F18">
        <v>297.8</v>
      </c>
      <c r="G18">
        <v>299.1</v>
      </c>
    </row>
    <row r="19" spans="2:7" ht="14.25">
      <c r="B19" s="16" t="s">
        <v>132</v>
      </c>
      <c r="C19" s="9" t="s">
        <v>59</v>
      </c>
      <c r="E19">
        <v>270</v>
      </c>
      <c r="F19">
        <v>247.3</v>
      </c>
      <c r="G19">
        <v>253.2</v>
      </c>
    </row>
    <row r="21" spans="2:7" ht="12.75">
      <c r="B21" s="8" t="s">
        <v>166</v>
      </c>
      <c r="E21" s="78" t="s">
        <v>104</v>
      </c>
      <c r="F21" s="78" t="s">
        <v>105</v>
      </c>
      <c r="G21" s="71" t="s">
        <v>106</v>
      </c>
    </row>
    <row r="23" spans="2:7" ht="14.25">
      <c r="B23" t="s">
        <v>149</v>
      </c>
      <c r="C23" s="9" t="s">
        <v>59</v>
      </c>
      <c r="E23">
        <v>460</v>
      </c>
      <c r="F23">
        <v>461</v>
      </c>
      <c r="G23">
        <v>460</v>
      </c>
    </row>
    <row r="24" spans="2:7" ht="14.25">
      <c r="B24" t="s">
        <v>150</v>
      </c>
      <c r="C24" s="9" t="s">
        <v>59</v>
      </c>
      <c r="E24">
        <v>848</v>
      </c>
      <c r="F24">
        <v>758</v>
      </c>
      <c r="G24">
        <v>767</v>
      </c>
    </row>
    <row r="25" spans="2:7" ht="12.75">
      <c r="B25" t="s">
        <v>151</v>
      </c>
      <c r="C25" t="s">
        <v>158</v>
      </c>
      <c r="E25">
        <v>2.2</v>
      </c>
      <c r="F25">
        <v>2</v>
      </c>
      <c r="G25">
        <v>1.9</v>
      </c>
    </row>
    <row r="26" spans="2:7" ht="14.25">
      <c r="B26" t="s">
        <v>152</v>
      </c>
      <c r="C26" s="9" t="s">
        <v>59</v>
      </c>
      <c r="E26">
        <v>1366</v>
      </c>
      <c r="F26">
        <v>1366</v>
      </c>
      <c r="G26">
        <v>1366</v>
      </c>
    </row>
    <row r="27" spans="2:7" ht="14.25">
      <c r="B27" t="s">
        <v>153</v>
      </c>
      <c r="C27" s="9" t="s">
        <v>59</v>
      </c>
      <c r="E27">
        <v>750</v>
      </c>
      <c r="F27">
        <v>746</v>
      </c>
      <c r="G27">
        <v>747</v>
      </c>
    </row>
    <row r="28" spans="2:7" ht="14.25">
      <c r="B28" t="s">
        <v>154</v>
      </c>
      <c r="C28" s="9" t="s">
        <v>59</v>
      </c>
      <c r="E28">
        <v>337</v>
      </c>
      <c r="F28">
        <v>339</v>
      </c>
      <c r="G28">
        <v>338</v>
      </c>
    </row>
    <row r="29" spans="2:7" ht="14.25">
      <c r="B29" t="s">
        <v>155</v>
      </c>
      <c r="C29" s="9" t="s">
        <v>59</v>
      </c>
      <c r="E29">
        <v>295</v>
      </c>
      <c r="F29">
        <v>303</v>
      </c>
      <c r="G29">
        <v>294</v>
      </c>
    </row>
    <row r="30" spans="2:7" ht="12.75">
      <c r="B30" t="s">
        <v>156</v>
      </c>
      <c r="C30" s="16" t="s">
        <v>159</v>
      </c>
      <c r="E30">
        <v>3</v>
      </c>
      <c r="F30">
        <v>3</v>
      </c>
      <c r="G30">
        <v>3</v>
      </c>
    </row>
    <row r="31" spans="2:7" ht="12.75">
      <c r="B31" t="s">
        <v>157</v>
      </c>
      <c r="C31" s="16" t="s">
        <v>159</v>
      </c>
      <c r="E31">
        <v>-0.24</v>
      </c>
      <c r="F31">
        <v>-0.24</v>
      </c>
      <c r="G31">
        <v>-0.25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49"/>
  <sheetViews>
    <sheetView workbookViewId="0" topLeftCell="C20">
      <selection activeCell="C42" sqref="C42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6.57421875" style="0" customWidth="1"/>
  </cols>
  <sheetData>
    <row r="1" ht="12.75">
      <c r="C1" s="8" t="s">
        <v>226</v>
      </c>
    </row>
    <row r="3" spans="3:7" ht="12.75">
      <c r="C3" s="19" t="s">
        <v>117</v>
      </c>
      <c r="E3" s="71" t="s">
        <v>104</v>
      </c>
      <c r="F3" s="71" t="s">
        <v>105</v>
      </c>
      <c r="G3" s="71" t="s">
        <v>106</v>
      </c>
    </row>
    <row r="5" spans="1:31" s="66" customFormat="1" ht="12.75">
      <c r="A5" s="66" t="s">
        <v>117</v>
      </c>
      <c r="B5" s="66" t="s">
        <v>219</v>
      </c>
      <c r="C5" s="66" t="s">
        <v>223</v>
      </c>
      <c r="D5" s="66" t="s">
        <v>220</v>
      </c>
      <c r="E5" s="67">
        <v>1005</v>
      </c>
      <c r="F5" s="67">
        <v>1005</v>
      </c>
      <c r="G5" s="67">
        <v>893</v>
      </c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</row>
    <row r="6" spans="1:31" s="66" customFormat="1" ht="12.75">
      <c r="A6" s="66" t="s">
        <v>117</v>
      </c>
      <c r="B6" s="66" t="s">
        <v>221</v>
      </c>
      <c r="C6" s="66" t="s">
        <v>224</v>
      </c>
      <c r="D6" s="66" t="s">
        <v>220</v>
      </c>
      <c r="E6" s="67">
        <v>1350</v>
      </c>
      <c r="F6" s="67">
        <v>1351</v>
      </c>
      <c r="G6" s="67">
        <v>1350</v>
      </c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</row>
    <row r="7" spans="1:22" s="66" customFormat="1" ht="12.75">
      <c r="A7" s="66" t="s">
        <v>117</v>
      </c>
      <c r="B7" s="66" t="s">
        <v>222</v>
      </c>
      <c r="C7" s="66" t="s">
        <v>225</v>
      </c>
      <c r="D7" s="66" t="s">
        <v>220</v>
      </c>
      <c r="E7" s="67">
        <v>287</v>
      </c>
      <c r="F7" s="67">
        <v>285</v>
      </c>
      <c r="G7" s="67">
        <v>286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</row>
    <row r="8" spans="1:22" s="66" customFormat="1" ht="12.75">
      <c r="A8" s="66" t="s">
        <v>117</v>
      </c>
      <c r="B8" s="66" t="s">
        <v>221</v>
      </c>
      <c r="C8" s="66" t="s">
        <v>131</v>
      </c>
      <c r="D8" s="66" t="s">
        <v>220</v>
      </c>
      <c r="E8" s="67">
        <v>321</v>
      </c>
      <c r="F8" s="67">
        <v>321</v>
      </c>
      <c r="G8" s="67">
        <v>320</v>
      </c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</row>
    <row r="9" spans="1:22" s="66" customFormat="1" ht="12.75">
      <c r="A9" s="66" t="s">
        <v>117</v>
      </c>
      <c r="B9" s="66" t="s">
        <v>219</v>
      </c>
      <c r="C9" s="66" t="s">
        <v>130</v>
      </c>
      <c r="D9" s="66" t="s">
        <v>220</v>
      </c>
      <c r="E9" s="67">
        <v>773</v>
      </c>
      <c r="F9" s="67">
        <v>772</v>
      </c>
      <c r="G9" s="67">
        <v>770</v>
      </c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</row>
    <row r="10" spans="5:22" s="66" customFormat="1" ht="12.75"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</row>
    <row r="11" spans="3:22" s="66" customFormat="1" ht="12.75">
      <c r="C11" s="19" t="s">
        <v>116</v>
      </c>
      <c r="E11" s="71" t="s">
        <v>104</v>
      </c>
      <c r="F11" s="71" t="s">
        <v>105</v>
      </c>
      <c r="G11" s="71" t="s">
        <v>106</v>
      </c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</row>
    <row r="12" spans="5:22" s="66" customFormat="1" ht="12.75"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</row>
    <row r="13" spans="1:31" s="66" customFormat="1" ht="12.75">
      <c r="A13" s="66" t="s">
        <v>116</v>
      </c>
      <c r="B13" s="66" t="s">
        <v>219</v>
      </c>
      <c r="C13" s="66" t="s">
        <v>223</v>
      </c>
      <c r="D13" s="66" t="s">
        <v>220</v>
      </c>
      <c r="E13" s="67">
        <v>926</v>
      </c>
      <c r="F13" s="67">
        <v>924</v>
      </c>
      <c r="G13" s="67">
        <v>985</v>
      </c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</row>
    <row r="14" spans="1:31" s="66" customFormat="1" ht="12.75">
      <c r="A14" s="66" t="s">
        <v>116</v>
      </c>
      <c r="B14" s="66" t="s">
        <v>221</v>
      </c>
      <c r="C14" s="66" t="s">
        <v>224</v>
      </c>
      <c r="D14" s="66" t="s">
        <v>220</v>
      </c>
      <c r="E14" s="67">
        <v>1406</v>
      </c>
      <c r="F14" s="67">
        <v>1415</v>
      </c>
      <c r="G14" s="67">
        <v>1401</v>
      </c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</row>
    <row r="15" spans="1:22" s="66" customFormat="1" ht="12.75">
      <c r="A15" s="66" t="s">
        <v>116</v>
      </c>
      <c r="B15" s="66" t="s">
        <v>222</v>
      </c>
      <c r="C15" s="66" t="s">
        <v>225</v>
      </c>
      <c r="D15" s="66" t="s">
        <v>220</v>
      </c>
      <c r="E15" s="67">
        <v>282</v>
      </c>
      <c r="F15" s="67">
        <v>285</v>
      </c>
      <c r="G15" s="67">
        <v>282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</row>
    <row r="16" spans="1:22" s="66" customFormat="1" ht="12.75">
      <c r="A16" s="66" t="s">
        <v>116</v>
      </c>
      <c r="B16" s="66" t="s">
        <v>221</v>
      </c>
      <c r="C16" s="66" t="s">
        <v>131</v>
      </c>
      <c r="D16" s="66" t="s">
        <v>220</v>
      </c>
      <c r="E16" s="67">
        <v>321</v>
      </c>
      <c r="F16" s="67">
        <v>323</v>
      </c>
      <c r="G16" s="67">
        <v>317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</row>
    <row r="17" spans="1:22" s="66" customFormat="1" ht="12.75">
      <c r="A17" s="66" t="s">
        <v>116</v>
      </c>
      <c r="B17" s="66" t="s">
        <v>219</v>
      </c>
      <c r="C17" s="66" t="s">
        <v>130</v>
      </c>
      <c r="D17" s="66" t="s">
        <v>220</v>
      </c>
      <c r="E17" s="67">
        <v>784</v>
      </c>
      <c r="F17" s="67">
        <v>788</v>
      </c>
      <c r="G17" s="67">
        <v>770</v>
      </c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</row>
    <row r="18" spans="5:22" s="66" customFormat="1" ht="12.75"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</row>
    <row r="19" spans="3:22" s="66" customFormat="1" ht="12.75">
      <c r="C19" s="19" t="s">
        <v>118</v>
      </c>
      <c r="E19" s="71" t="s">
        <v>104</v>
      </c>
      <c r="F19" s="71" t="s">
        <v>105</v>
      </c>
      <c r="G19" s="71" t="s">
        <v>106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</row>
    <row r="20" spans="5:22" s="66" customFormat="1" ht="12.75"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</row>
    <row r="21" spans="1:31" s="66" customFormat="1" ht="12.75">
      <c r="A21" s="66" t="s">
        <v>118</v>
      </c>
      <c r="B21" s="66" t="s">
        <v>219</v>
      </c>
      <c r="C21" s="66" t="s">
        <v>223</v>
      </c>
      <c r="D21" s="66" t="s">
        <v>220</v>
      </c>
      <c r="E21" s="67">
        <v>917</v>
      </c>
      <c r="F21" s="67">
        <v>846</v>
      </c>
      <c r="G21" s="67">
        <v>1053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</row>
    <row r="22" spans="1:31" s="66" customFormat="1" ht="12.75">
      <c r="A22" s="66" t="s">
        <v>118</v>
      </c>
      <c r="B22" s="66" t="s">
        <v>221</v>
      </c>
      <c r="C22" s="66" t="s">
        <v>224</v>
      </c>
      <c r="D22" s="66" t="s">
        <v>220</v>
      </c>
      <c r="E22" s="67">
        <v>1399</v>
      </c>
      <c r="F22" s="67">
        <v>1400</v>
      </c>
      <c r="G22" s="67">
        <v>1400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</row>
    <row r="23" spans="1:22" s="66" customFormat="1" ht="12.75">
      <c r="A23" s="66" t="s">
        <v>118</v>
      </c>
      <c r="B23" s="66" t="s">
        <v>222</v>
      </c>
      <c r="C23" s="66" t="s">
        <v>225</v>
      </c>
      <c r="D23" s="66" t="s">
        <v>220</v>
      </c>
      <c r="E23" s="67">
        <v>264</v>
      </c>
      <c r="F23" s="67">
        <v>264</v>
      </c>
      <c r="G23" s="67">
        <v>264</v>
      </c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</row>
    <row r="24" spans="1:22" s="66" customFormat="1" ht="12.75">
      <c r="A24" s="66" t="s">
        <v>118</v>
      </c>
      <c r="B24" s="66" t="s">
        <v>221</v>
      </c>
      <c r="C24" s="66" t="s">
        <v>131</v>
      </c>
      <c r="D24" s="66" t="s">
        <v>220</v>
      </c>
      <c r="E24" s="67">
        <v>294</v>
      </c>
      <c r="F24" s="67">
        <v>294</v>
      </c>
      <c r="G24" s="67">
        <v>293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</row>
    <row r="25" spans="1:22" s="66" customFormat="1" ht="12.75">
      <c r="A25" s="66" t="s">
        <v>118</v>
      </c>
      <c r="B25" s="66" t="s">
        <v>219</v>
      </c>
      <c r="C25" s="66" t="s">
        <v>130</v>
      </c>
      <c r="D25" s="66" t="s">
        <v>220</v>
      </c>
      <c r="E25" s="67">
        <v>805</v>
      </c>
      <c r="F25" s="67">
        <v>846</v>
      </c>
      <c r="G25" s="67">
        <v>801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</row>
    <row r="26" spans="5:22" s="66" customFormat="1" ht="12.75"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</row>
    <row r="27" spans="3:22" s="66" customFormat="1" ht="12.75">
      <c r="C27" s="19" t="s">
        <v>173</v>
      </c>
      <c r="E27" s="71" t="s">
        <v>104</v>
      </c>
      <c r="F27" s="71" t="s">
        <v>105</v>
      </c>
      <c r="G27" s="71" t="s">
        <v>106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</row>
    <row r="28" spans="5:22" s="66" customFormat="1" ht="12.75"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</row>
    <row r="29" spans="1:31" s="66" customFormat="1" ht="12.75">
      <c r="A29" s="66" t="s">
        <v>173</v>
      </c>
      <c r="B29" s="66" t="s">
        <v>219</v>
      </c>
      <c r="C29" s="66" t="s">
        <v>223</v>
      </c>
      <c r="D29" s="66" t="s">
        <v>220</v>
      </c>
      <c r="E29" s="67">
        <v>694</v>
      </c>
      <c r="F29" s="67">
        <v>853</v>
      </c>
      <c r="G29" s="67">
        <v>684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</row>
    <row r="30" spans="1:31" s="66" customFormat="1" ht="12.75">
      <c r="A30" s="66" t="s">
        <v>173</v>
      </c>
      <c r="B30" s="66" t="s">
        <v>221</v>
      </c>
      <c r="C30" s="66" t="s">
        <v>224</v>
      </c>
      <c r="D30" s="66" t="s">
        <v>220</v>
      </c>
      <c r="E30" s="67">
        <v>1350</v>
      </c>
      <c r="F30" s="67">
        <v>1350</v>
      </c>
      <c r="G30" s="67">
        <v>1350</v>
      </c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</row>
    <row r="31" spans="1:22" s="66" customFormat="1" ht="12.75">
      <c r="A31" s="66" t="s">
        <v>173</v>
      </c>
      <c r="B31" s="66" t="s">
        <v>222</v>
      </c>
      <c r="C31" s="66" t="s">
        <v>225</v>
      </c>
      <c r="D31" s="66" t="s">
        <v>220</v>
      </c>
      <c r="E31" s="67">
        <v>263</v>
      </c>
      <c r="F31" s="67">
        <v>264</v>
      </c>
      <c r="G31" s="67">
        <v>265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</row>
    <row r="32" spans="1:22" s="66" customFormat="1" ht="12.75">
      <c r="A32" s="66" t="s">
        <v>173</v>
      </c>
      <c r="B32" s="66" t="s">
        <v>221</v>
      </c>
      <c r="C32" s="66" t="s">
        <v>131</v>
      </c>
      <c r="D32" s="66" t="s">
        <v>220</v>
      </c>
      <c r="E32" s="67">
        <v>294</v>
      </c>
      <c r="F32" s="67">
        <v>295</v>
      </c>
      <c r="G32" s="67">
        <v>295</v>
      </c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</row>
    <row r="33" spans="1:22" s="66" customFormat="1" ht="12.75">
      <c r="A33" s="66" t="s">
        <v>173</v>
      </c>
      <c r="B33" s="66" t="s">
        <v>219</v>
      </c>
      <c r="C33" s="66" t="s">
        <v>130</v>
      </c>
      <c r="D33" s="66" t="s">
        <v>220</v>
      </c>
      <c r="E33" s="67">
        <v>801</v>
      </c>
      <c r="F33" s="67">
        <v>853</v>
      </c>
      <c r="G33" s="67">
        <v>800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</row>
    <row r="34" spans="5:22" s="66" customFormat="1" ht="12.75"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</row>
    <row r="35" spans="3:22" s="66" customFormat="1" ht="12.75">
      <c r="C35" s="19" t="s">
        <v>175</v>
      </c>
      <c r="E35" s="71" t="s">
        <v>104</v>
      </c>
      <c r="F35" s="71" t="s">
        <v>105</v>
      </c>
      <c r="G35" s="71" t="s">
        <v>106</v>
      </c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</row>
    <row r="36" spans="5:22" s="66" customFormat="1" ht="12.75"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</row>
    <row r="37" spans="1:31" s="66" customFormat="1" ht="12.75">
      <c r="A37" s="66" t="s">
        <v>175</v>
      </c>
      <c r="B37" s="66" t="s">
        <v>219</v>
      </c>
      <c r="C37" s="66" t="s">
        <v>223</v>
      </c>
      <c r="D37" s="66" t="s">
        <v>220</v>
      </c>
      <c r="E37" s="67">
        <v>712</v>
      </c>
      <c r="F37" s="67">
        <v>652</v>
      </c>
      <c r="G37" s="67">
        <v>724</v>
      </c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</row>
    <row r="38" spans="1:31" s="66" customFormat="1" ht="12.75">
      <c r="A38" s="66" t="s">
        <v>175</v>
      </c>
      <c r="B38" s="66" t="s">
        <v>221</v>
      </c>
      <c r="C38" s="66" t="s">
        <v>224</v>
      </c>
      <c r="D38" s="66" t="s">
        <v>220</v>
      </c>
      <c r="E38" s="67">
        <v>1448</v>
      </c>
      <c r="F38" s="67">
        <v>1449</v>
      </c>
      <c r="G38" s="67">
        <v>1450</v>
      </c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</row>
    <row r="39" spans="1:22" s="66" customFormat="1" ht="12.75">
      <c r="A39" s="66" t="s">
        <v>175</v>
      </c>
      <c r="B39" s="66" t="s">
        <v>222</v>
      </c>
      <c r="C39" s="66" t="s">
        <v>225</v>
      </c>
      <c r="D39" s="66" t="s">
        <v>220</v>
      </c>
      <c r="E39" s="67">
        <v>267</v>
      </c>
      <c r="F39" s="67">
        <v>264</v>
      </c>
      <c r="G39" s="67">
        <v>262</v>
      </c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</row>
    <row r="40" spans="1:22" s="66" customFormat="1" ht="12.75">
      <c r="A40" s="66" t="s">
        <v>175</v>
      </c>
      <c r="B40" s="66" t="s">
        <v>221</v>
      </c>
      <c r="C40" s="66" t="s">
        <v>131</v>
      </c>
      <c r="D40" s="66" t="s">
        <v>220</v>
      </c>
      <c r="E40" s="67">
        <v>295</v>
      </c>
      <c r="F40" s="67">
        <v>295</v>
      </c>
      <c r="G40" s="67">
        <v>294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</row>
    <row r="41" spans="1:22" s="66" customFormat="1" ht="12.75">
      <c r="A41" s="66" t="s">
        <v>175</v>
      </c>
      <c r="B41" s="66" t="s">
        <v>219</v>
      </c>
      <c r="C41" s="66" t="s">
        <v>130</v>
      </c>
      <c r="D41" s="66" t="s">
        <v>220</v>
      </c>
      <c r="E41" s="67">
        <v>832</v>
      </c>
      <c r="F41" s="67">
        <v>828</v>
      </c>
      <c r="G41" s="67">
        <v>806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</row>
    <row r="42" spans="5:22" s="66" customFormat="1" ht="12.75"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</row>
    <row r="43" spans="3:22" s="66" customFormat="1" ht="12.75">
      <c r="C43" s="19" t="s">
        <v>177</v>
      </c>
      <c r="E43" s="71" t="s">
        <v>104</v>
      </c>
      <c r="F43" s="71" t="s">
        <v>105</v>
      </c>
      <c r="G43" s="71" t="s">
        <v>106</v>
      </c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</row>
    <row r="44" spans="5:22" s="66" customFormat="1" ht="12.75"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</row>
    <row r="45" spans="1:31" s="66" customFormat="1" ht="12.75">
      <c r="A45" s="66" t="s">
        <v>177</v>
      </c>
      <c r="B45" s="66" t="s">
        <v>219</v>
      </c>
      <c r="C45" s="66" t="s">
        <v>223</v>
      </c>
      <c r="D45" s="66" t="s">
        <v>220</v>
      </c>
      <c r="E45" s="67">
        <v>732</v>
      </c>
      <c r="F45" s="67">
        <v>667</v>
      </c>
      <c r="G45" s="67">
        <v>722</v>
      </c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</row>
    <row r="46" spans="1:31" s="66" customFormat="1" ht="12.75">
      <c r="A46" s="66" t="s">
        <v>177</v>
      </c>
      <c r="B46" s="66" t="s">
        <v>221</v>
      </c>
      <c r="C46" s="66" t="s">
        <v>224</v>
      </c>
      <c r="D46" s="66" t="s">
        <v>220</v>
      </c>
      <c r="E46" s="67">
        <v>1400</v>
      </c>
      <c r="F46" s="67">
        <v>1400</v>
      </c>
      <c r="G46" s="67">
        <v>1401</v>
      </c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</row>
    <row r="47" spans="1:22" s="66" customFormat="1" ht="12.75">
      <c r="A47" s="66" t="s">
        <v>177</v>
      </c>
      <c r="B47" s="66" t="s">
        <v>222</v>
      </c>
      <c r="C47" s="66" t="s">
        <v>225</v>
      </c>
      <c r="D47" s="66" t="s">
        <v>220</v>
      </c>
      <c r="E47" s="67">
        <v>265</v>
      </c>
      <c r="F47" s="67">
        <v>256</v>
      </c>
      <c r="G47" s="67">
        <v>267</v>
      </c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</row>
    <row r="48" spans="1:22" s="66" customFormat="1" ht="12.75">
      <c r="A48" s="66" t="s">
        <v>177</v>
      </c>
      <c r="B48" s="66" t="s">
        <v>221</v>
      </c>
      <c r="C48" s="66" t="s">
        <v>131</v>
      </c>
      <c r="D48" s="66" t="s">
        <v>220</v>
      </c>
      <c r="E48" s="67">
        <v>293</v>
      </c>
      <c r="F48" s="67">
        <v>294</v>
      </c>
      <c r="G48" s="67">
        <v>295</v>
      </c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</row>
    <row r="49" spans="1:22" s="66" customFormat="1" ht="12.75">
      <c r="A49" s="66" t="s">
        <v>177</v>
      </c>
      <c r="B49" s="66" t="s">
        <v>219</v>
      </c>
      <c r="C49" s="66" t="s">
        <v>130</v>
      </c>
      <c r="D49" s="66" t="s">
        <v>220</v>
      </c>
      <c r="E49" s="67">
        <v>803</v>
      </c>
      <c r="F49" s="67">
        <v>804</v>
      </c>
      <c r="G49" s="67">
        <v>804</v>
      </c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2004-02-25T22:35:09Z</cp:lastPrinted>
  <dcterms:created xsi:type="dcterms:W3CDTF">2000-01-10T00:44:42Z</dcterms:created>
  <dcterms:modified xsi:type="dcterms:W3CDTF">2004-02-25T22:35:15Z</dcterms:modified>
  <cp:category/>
  <cp:version/>
  <cp:contentType/>
  <cp:contentStatus/>
</cp:coreProperties>
</file>