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9720" windowHeight="6570" tabRatio="718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" sheetId="8" r:id="rId8"/>
    <sheet name="df c10" sheetId="9" r:id="rId9"/>
    <sheet name="df c11" sheetId="10" r:id="rId1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comments6.xml><?xml version="1.0" encoding="utf-8"?>
<comments xmlns="http://schemas.openxmlformats.org/spreadsheetml/2006/main">
  <authors>
    <author>Valued Gateway Client</author>
  </authors>
  <commentList>
    <comment ref="N1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NonDetect</t>
        </r>
      </text>
    </comment>
    <comment ref="P1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NonDetect</t>
        </r>
      </text>
    </comment>
    <comment ref="R1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NonDetect</t>
        </r>
      </text>
    </comment>
    <comment ref="T1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NonDetect</t>
        </r>
      </text>
    </comment>
  </commentList>
</comments>
</file>

<file path=xl/sharedStrings.xml><?xml version="1.0" encoding="utf-8"?>
<sst xmlns="http://schemas.openxmlformats.org/spreadsheetml/2006/main" count="1976" uniqueCount="343">
  <si>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</si>
  <si>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</si>
  <si>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</si>
  <si>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</si>
  <si>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</si>
  <si>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</si>
  <si>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</si>
  <si>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</si>
  <si>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</si>
  <si>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</si>
  <si>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</si>
  <si>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</si>
  <si>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</si>
  <si>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</si>
  <si>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</si>
  <si>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</si>
  <si>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</si>
  <si>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</si>
  <si>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</si>
  <si>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</si>
  <si>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</si>
  <si>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</si>
  <si>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</si>
  <si>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</si>
  <si>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</si>
  <si>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</si>
  <si>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</si>
  <si>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</si>
  <si>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</si>
  <si>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</si>
  <si>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</si>
  <si>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</si>
  <si>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</si>
  <si>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</si>
  <si>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</si>
  <si>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</si>
  <si>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</si>
  <si>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</si>
  <si>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</si>
  <si>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</si>
  <si>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</si>
  <si>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</si>
  <si>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</si>
  <si>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</si>
  <si>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</si>
  <si>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</si>
  <si>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</si>
  <si>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</si>
  <si>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</si>
  <si>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</si>
  <si>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</si>
  <si>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</si>
  <si>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DRE</t>
  </si>
  <si>
    <t>lb/hr</t>
  </si>
  <si>
    <t>Run 1</t>
  </si>
  <si>
    <t>Run 3</t>
  </si>
  <si>
    <r>
      <t>o</t>
    </r>
    <r>
      <rPr>
        <sz val="10"/>
        <rFont val="Arial"/>
        <family val="2"/>
      </rPr>
      <t>F</t>
    </r>
  </si>
  <si>
    <t>Spike</t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</si>
  <si>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</si>
  <si>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</si>
  <si>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</si>
  <si>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</si>
  <si>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</si>
  <si>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</si>
  <si>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</si>
  <si>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</si>
  <si>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O2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</si>
  <si>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</si>
  <si>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</si>
  <si>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</si>
  <si>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</si>
  <si>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</si>
  <si>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</si>
  <si>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</si>
  <si>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</si>
  <si>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</si>
  <si>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</si>
  <si>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</si>
  <si>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</si>
  <si>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</si>
  <si>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</si>
  <si>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</si>
  <si>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</si>
  <si>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</si>
  <si>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</si>
  <si>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</si>
  <si>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</si>
  <si>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</si>
  <si>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</si>
  <si>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</si>
  <si>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</si>
  <si>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</si>
  <si>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</si>
  <si>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</si>
  <si>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</si>
  <si>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</si>
  <si>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</si>
  <si>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</si>
  <si>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</si>
  <si>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</si>
  <si>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</si>
  <si>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nd</t>
  </si>
  <si>
    <t>Detected in sample volume (pg)</t>
  </si>
  <si>
    <t>Total Chlorine</t>
  </si>
  <si>
    <t>Phase I ID No.</t>
  </si>
  <si>
    <t>Silver</t>
  </si>
  <si>
    <t>Aluminum</t>
  </si>
  <si>
    <t>Arsenic</t>
  </si>
  <si>
    <t>Barium</t>
  </si>
  <si>
    <t>Cadmium</t>
  </si>
  <si>
    <t>Copper</t>
  </si>
  <si>
    <t>Nickel</t>
  </si>
  <si>
    <t>Antimony</t>
  </si>
  <si>
    <t>Selenium</t>
  </si>
  <si>
    <t>Thallium</t>
  </si>
  <si>
    <t>Zinc</t>
  </si>
  <si>
    <t>CO (RA)</t>
  </si>
  <si>
    <t>Run 2</t>
  </si>
  <si>
    <t xml:space="preserve">POHC </t>
  </si>
  <si>
    <t>POHC Feedrate</t>
  </si>
  <si>
    <t>Emission Rate</t>
  </si>
  <si>
    <t>&gt;</t>
  </si>
  <si>
    <t>Avg</t>
  </si>
  <si>
    <t>Feedrate MTEC Calculations</t>
  </si>
  <si>
    <t>OHD004304689</t>
  </si>
  <si>
    <t>Circleville</t>
  </si>
  <si>
    <t>OH</t>
  </si>
  <si>
    <t>Rotary Kiln/Secondary Combustion Chamber/Waste Heat Boiler</t>
  </si>
  <si>
    <t>Data Source</t>
  </si>
  <si>
    <t>p1-1</t>
  </si>
  <si>
    <t>1988:p3-1</t>
  </si>
  <si>
    <t>T3-19</t>
  </si>
  <si>
    <t>clean-up solvents, off-specification products and raw materials from paint and resin manufacture</t>
  </si>
  <si>
    <t>electrostatic precipitator/induced draft fan,quench tank, packed tower wet scrubber, stack</t>
  </si>
  <si>
    <t>1988:P3-1</t>
  </si>
  <si>
    <t>1988P3-1</t>
  </si>
  <si>
    <t>Fossil fuel for heatup, no supplemental fuel mentioned for testing/operation</t>
  </si>
  <si>
    <t>1988:p3-3</t>
  </si>
  <si>
    <t>1988:F4-1</t>
  </si>
  <si>
    <t>T3-20,C2</t>
  </si>
  <si>
    <t>Low Temperature</t>
  </si>
  <si>
    <t>PERC</t>
  </si>
  <si>
    <t>NOx</t>
  </si>
  <si>
    <t>SO2</t>
  </si>
  <si>
    <t>CO2</t>
  </si>
  <si>
    <t>Monochlorobenzene</t>
  </si>
  <si>
    <t>Perchloroethylene</t>
  </si>
  <si>
    <t>PM, HCl/Cl2</t>
  </si>
  <si>
    <t>High Temperature</t>
  </si>
  <si>
    <t>Semivolatile PAHs</t>
  </si>
  <si>
    <t>Bulk Lance</t>
  </si>
  <si>
    <t>Containerized Waste</t>
  </si>
  <si>
    <t>MMBtu/hr</t>
  </si>
  <si>
    <t>MCB</t>
  </si>
  <si>
    <t>Lower SCC Temp</t>
  </si>
  <si>
    <t>Mid SCC Temp</t>
  </si>
  <si>
    <t>Boiler Inlet Temp</t>
  </si>
  <si>
    <t>Boiler Outlet Temp</t>
  </si>
  <si>
    <t>Primary Air Flow</t>
  </si>
  <si>
    <t>SCFM</t>
  </si>
  <si>
    <t>FWB Blower-Sup. Primary</t>
  </si>
  <si>
    <t>Secondary Air Flow</t>
  </si>
  <si>
    <t>RFG (Tertiary) Air Flow</t>
  </si>
  <si>
    <t>Flue Gas Flow at ESP Outlet</t>
  </si>
  <si>
    <t>Heat Input (HHV)</t>
  </si>
  <si>
    <t>Boiler Steam Prod.</t>
  </si>
  <si>
    <t>Kiln Speed</t>
  </si>
  <si>
    <t>RPM</t>
  </si>
  <si>
    <t>Inches WC</t>
  </si>
  <si>
    <t>SCC Static Pressure</t>
  </si>
  <si>
    <t>ESP Outlet Static Pressure</t>
  </si>
  <si>
    <t>Packed Bed Pressure Drop</t>
  </si>
  <si>
    <t>ESP Field 1 Primary Voltage</t>
  </si>
  <si>
    <t>ESP Field 1 Primary Current</t>
  </si>
  <si>
    <t>Volts</t>
  </si>
  <si>
    <t>Amps</t>
  </si>
  <si>
    <t>ESP Field 1 Secondary Power</t>
  </si>
  <si>
    <t>Kva</t>
  </si>
  <si>
    <t>ESP Field 1 Secondary Current</t>
  </si>
  <si>
    <t>mA</t>
  </si>
  <si>
    <t>ESP Field 2 Primary Voltage</t>
  </si>
  <si>
    <t>ESP Field 2 Primary Current</t>
  </si>
  <si>
    <t>ESP Field 2 Secondary Power</t>
  </si>
  <si>
    <t>ESP Field 2 Secondary Current</t>
  </si>
  <si>
    <t>ESP Field 3 Primary Voltage</t>
  </si>
  <si>
    <t>ESP Field 3 Primary Current</t>
  </si>
  <si>
    <t>ESP Field 3 Secondary Power</t>
  </si>
  <si>
    <t>ESP Field 3 Secondary Current</t>
  </si>
  <si>
    <t>Quench Flow</t>
  </si>
  <si>
    <t>GPM</t>
  </si>
  <si>
    <t>Scrubber Flow</t>
  </si>
  <si>
    <t>Low CO after ESP</t>
  </si>
  <si>
    <t>PPM</t>
  </si>
  <si>
    <t>Dry O2 After ESP</t>
  </si>
  <si>
    <t>PCT</t>
  </si>
  <si>
    <t>Opacity After ESP</t>
  </si>
  <si>
    <t>High CO After ESP</t>
  </si>
  <si>
    <t>pH</t>
  </si>
  <si>
    <t>Scrubber pH</t>
  </si>
  <si>
    <t>Scrubber Solids</t>
  </si>
  <si>
    <t>STDev</t>
  </si>
  <si>
    <t>Max</t>
  </si>
  <si>
    <t>Min</t>
  </si>
  <si>
    <t>Condition 1 Total</t>
  </si>
  <si>
    <t>Precipitator Number of Stages On</t>
  </si>
  <si>
    <t>#</t>
  </si>
  <si>
    <t>Quench Temp</t>
  </si>
  <si>
    <t>&gt;600</t>
  </si>
  <si>
    <t>PPG Industries, Inc.</t>
  </si>
  <si>
    <t>ENSR Corp.</t>
  </si>
  <si>
    <t>PPG-ERU</t>
  </si>
  <si>
    <t>Low Temperature/Nov. 18,19, 1997</t>
  </si>
  <si>
    <t>High Temperature/Nov. 19,20, 1997</t>
  </si>
  <si>
    <t>PM, HCl/Cl2, PCDD/PCDF, DRE (PERC, MCB), SVOCs, VOCs,CO,NOx,SO2</t>
  </si>
  <si>
    <t>PM, HCl/Cl2, metals, Cr+6, PCDD/PCDF, SVOCs, VOCs</t>
  </si>
  <si>
    <t>PPG</t>
  </si>
  <si>
    <t>Energy Recovery Unit</t>
  </si>
  <si>
    <t>WHB/ESP/IDF/QT/PBS</t>
  </si>
  <si>
    <t>Final Trial Burn Report for the Energy Recovery Unit/March, 1998</t>
  </si>
  <si>
    <t>Trial Burn, Low Temperature, DRE Test</t>
  </si>
  <si>
    <t>Trial Burn, High Temperature, Metals Spike (Pb,Cr,As)</t>
  </si>
  <si>
    <t>Notes:</t>
  </si>
  <si>
    <t>495C10</t>
  </si>
  <si>
    <t>495C11</t>
  </si>
  <si>
    <t>Chlorine</t>
  </si>
  <si>
    <t>Stack Gas Flowrate</t>
  </si>
  <si>
    <t>Oxygen</t>
  </si>
  <si>
    <t>Nov. 18-19, 1997</t>
  </si>
  <si>
    <t>November 19-20, 1997</t>
  </si>
  <si>
    <t>1)      Condition 1 in report is referred to as Condition 10 in this database.  Condition 2 in report is referred to as Condition 11 in this database.</t>
  </si>
  <si>
    <t>3)      Report gives feed data on “halogens,” in lb/hr.  Test method is SW846 for “total organic halogens”  assume lb/hr means lb/hr as chlorine and that all halogens are chlorine.</t>
  </si>
  <si>
    <t>4)      Report classifies waste constituents as “native” and “supplemental”  assume “native” means HW and “supplemental” means spike.</t>
  </si>
  <si>
    <t>5)      Report only gives data for lance waste and containerized waste.  Assume no auxiliary fuel.  However, estimated firing rate based on F factor is significanly higher than sum of waste BTU input</t>
  </si>
  <si>
    <t>6)      Report does not list nd, but does report some feed rates as “&lt;”.  Assume only those given as “&lt;” are nd.</t>
  </si>
  <si>
    <t>7)      Report does not break down ash as “native” and “supplemental.”  Assume all ash is “native”, i.e., not spiked.</t>
  </si>
  <si>
    <t>8)      Metals feedrates reported but no metals stack measurements for Condition 10 (low temperature) MTECs calculated based on PM/HCl sample conditions (flowrate and O2).</t>
  </si>
  <si>
    <t>9)      No cadmium feed data reported.  Assume zero when calculating SVM MTEC.</t>
  </si>
  <si>
    <t>10)  For both conditions, Containerized waste feed was reported as total.  Assume it was all native.</t>
  </si>
  <si>
    <t>11)  For both conditions, no beryllium feed data reported.  Assume zero when calculating LVM MTEC</t>
  </si>
  <si>
    <t>12)  ESP Temperature not given.  Assume same as boiler outlet temperature.  Note that boiler output temperature for Condition 11 (the very-high dioxin condition) was simply listed as &lt;600.</t>
  </si>
  <si>
    <t>13)  Take stack gas conditions for summary sheet from PM/HCl train data.</t>
  </si>
  <si>
    <t>2) Report talks about analyzing waste samples for mercury but gives no data.</t>
  </si>
  <si>
    <t>Report Name/Date</t>
  </si>
  <si>
    <t>Report Prepare</t>
  </si>
  <si>
    <t>Testing Firm</t>
  </si>
  <si>
    <t>Testing Dates</t>
  </si>
  <si>
    <t>Condition Descr</t>
  </si>
  <si>
    <t>Content</t>
  </si>
  <si>
    <t>495C1</t>
  </si>
  <si>
    <t>Stationary Source Sampling Report, Reference No. 5471, PPG Industries, Circleville, OH, January 11 - 15 1988</t>
  </si>
  <si>
    <t>Entropy</t>
  </si>
  <si>
    <t>Cond Descr</t>
  </si>
  <si>
    <t>Jan 11-15, 1988</t>
  </si>
  <si>
    <t>495C2</t>
  </si>
  <si>
    <t>January 13-14, 1988</t>
  </si>
  <si>
    <t>495C3</t>
  </si>
  <si>
    <t>January 12-13, 1988</t>
  </si>
  <si>
    <t>R1</t>
  </si>
  <si>
    <t>R2</t>
  </si>
  <si>
    <t>R3</t>
  </si>
  <si>
    <t>R4</t>
  </si>
  <si>
    <t/>
  </si>
  <si>
    <t>Chromium</t>
  </si>
  <si>
    <t>Carbon Tetrachloride</t>
  </si>
  <si>
    <t>Chlorobenzene</t>
  </si>
  <si>
    <t>Methyl Ethyl Ketone</t>
  </si>
  <si>
    <t>Metals</t>
  </si>
  <si>
    <t>Particulate</t>
  </si>
  <si>
    <t>High Btu liq - lance 3</t>
  </si>
  <si>
    <t>Aqueous liq - lance 5</t>
  </si>
  <si>
    <t>Aqueous liq -- lance 6</t>
  </si>
  <si>
    <t>Org sludge -- lance 1</t>
  </si>
  <si>
    <t>Aqueous sludge -- lance 2</t>
  </si>
  <si>
    <t>Lance 4 -- special waste</t>
  </si>
  <si>
    <t>Heating value</t>
  </si>
  <si>
    <t>Btu/lb</t>
  </si>
  <si>
    <t>wt %</t>
  </si>
  <si>
    <t>Gas flowrate</t>
  </si>
  <si>
    <t>ppmw</t>
  </si>
  <si>
    <t>Chromium (Hex)</t>
  </si>
  <si>
    <t>Condition Description</t>
  </si>
  <si>
    <t>Combustor Class</t>
  </si>
  <si>
    <t>Combustor Type</t>
  </si>
  <si>
    <t>Rotary kiln</t>
  </si>
  <si>
    <t>Stack Gas Emissions 1</t>
  </si>
  <si>
    <t>Stack Gas Emissions 2</t>
  </si>
  <si>
    <t>Feedsteam 2</t>
  </si>
  <si>
    <t>Feestream 2</t>
  </si>
  <si>
    <t>Number of Sister Facilities</t>
  </si>
  <si>
    <t>APCS Detailed Acronym</t>
  </si>
  <si>
    <t>APCS General Class</t>
  </si>
  <si>
    <t>WHB,ESP,WQ,LEWS</t>
  </si>
  <si>
    <t>Cond Dates</t>
  </si>
  <si>
    <t>Trial Burn, Slagging Kiln With Maximum Solids Loading</t>
  </si>
  <si>
    <t>Trial Burn, Non-Slagging Kiln With Maximum Solid Loading</t>
  </si>
  <si>
    <t>Trial burn, Liquid Feeds only</t>
  </si>
  <si>
    <t>7%O2</t>
  </si>
  <si>
    <t>E1</t>
  </si>
  <si>
    <t>E2</t>
  </si>
  <si>
    <t>(No As)</t>
  </si>
  <si>
    <t>(No Cd)</t>
  </si>
  <si>
    <t>No As</t>
  </si>
  <si>
    <t>No Cd</t>
  </si>
  <si>
    <t>E3</t>
  </si>
  <si>
    <t>E4</t>
  </si>
  <si>
    <t>Chromium(Hex)</t>
  </si>
  <si>
    <t>Cr+6 (Method 0061)</t>
  </si>
  <si>
    <t>Metals (Method 0060)</t>
  </si>
  <si>
    <t>E5</t>
  </si>
  <si>
    <t>source</t>
  </si>
  <si>
    <t>cond</t>
  </si>
  <si>
    <t>emiss 1</t>
  </si>
  <si>
    <t>emiss 2</t>
  </si>
  <si>
    <t>feed 1</t>
  </si>
  <si>
    <t>feed 2</t>
  </si>
  <si>
    <t>process</t>
  </si>
  <si>
    <t>df c10</t>
  </si>
  <si>
    <t>df c11</t>
  </si>
  <si>
    <t>solid, liq, sludge</t>
  </si>
  <si>
    <t>Onsite incinerator</t>
  </si>
  <si>
    <t>HC (RA)</t>
  </si>
  <si>
    <t>Thermal Feedrate</t>
  </si>
  <si>
    <t>Feedstream Number</t>
  </si>
  <si>
    <t>Feed Class</t>
  </si>
  <si>
    <t>F1</t>
  </si>
  <si>
    <t>Liq HW</t>
  </si>
  <si>
    <t>F2</t>
  </si>
  <si>
    <t>Solid HW</t>
  </si>
  <si>
    <t>F4</t>
  </si>
  <si>
    <t>F3</t>
  </si>
  <si>
    <t>Sludge HW</t>
  </si>
  <si>
    <t>F5</t>
  </si>
  <si>
    <t>F6</t>
  </si>
  <si>
    <t>F7</t>
  </si>
  <si>
    <t>Feed Class 2</t>
  </si>
  <si>
    <t>Feedrate MTECs</t>
  </si>
  <si>
    <t>(As, Cr only)</t>
  </si>
  <si>
    <t>(Pb only)</t>
  </si>
  <si>
    <t>(Cr only)</t>
  </si>
  <si>
    <t>(Be, Cr only)</t>
  </si>
  <si>
    <t>Estimated Firing Rate</t>
  </si>
  <si>
    <t>Full ND</t>
  </si>
  <si>
    <t>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</si>
</sst>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000000"/>
    <numFmt numFmtId="180" formatCode="0.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0"/>
    <numFmt numFmtId="185" formatCode="mm/dd/yy"/>
  </numFmts>
  <fonts count="1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7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E33" sqref="E33"/>
    </sheetView>
  </sheetViews>
  <sheetFormatPr defaultColWidth="9.140625" defaultRowHeight="12.75"/>
  <sheetData>
    <row r="1" ht="12.75">
      <c r="A1" t="s">
        <v>309</v>
      </c>
    </row>
    <row r="2" ht="12.75">
      <c r="A2" t="s">
        <v>310</v>
      </c>
    </row>
    <row r="3" ht="12.75">
      <c r="A3" t="s">
        <v>311</v>
      </c>
    </row>
    <row r="4" ht="12.75">
      <c r="A4" t="s">
        <v>312</v>
      </c>
    </row>
    <row r="5" ht="12.75">
      <c r="A5" t="s">
        <v>313</v>
      </c>
    </row>
    <row r="6" ht="12.75">
      <c r="A6" t="s">
        <v>314</v>
      </c>
    </row>
    <row r="7" ht="12.75">
      <c r="A7" t="s">
        <v>315</v>
      </c>
    </row>
    <row r="8" ht="12.75">
      <c r="A8" t="s">
        <v>316</v>
      </c>
    </row>
    <row r="9" ht="12.75">
      <c r="A9" t="s">
        <v>317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C16" sqref="C1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1.28125" style="0" customWidth="1"/>
    <col min="4" max="4" width="6.7109375" style="0" customWidth="1"/>
    <col min="5" max="5" width="9.421875" style="0" customWidth="1"/>
    <col min="6" max="6" width="9.8515625" style="0" customWidth="1"/>
    <col min="7" max="7" width="10.8515625" style="0" customWidth="1"/>
    <col min="8" max="8" width="9.8515625" style="0" customWidth="1"/>
    <col min="9" max="9" width="3.421875" style="49" customWidth="1"/>
    <col min="11" max="11" width="9.28125" style="0" customWidth="1"/>
    <col min="13" max="13" width="9.28125" style="0" customWidth="1"/>
    <col min="14" max="14" width="9.710937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40" t="s">
        <v>71</v>
      </c>
      <c r="B1" s="25"/>
      <c r="C1" s="25"/>
      <c r="D1" s="25"/>
      <c r="E1" s="33"/>
      <c r="F1" s="34"/>
      <c r="G1" s="33"/>
      <c r="H1" s="34"/>
      <c r="I1" s="37"/>
      <c r="J1" s="33"/>
      <c r="K1" s="33"/>
      <c r="L1" s="33"/>
      <c r="M1" s="33"/>
      <c r="N1" s="33"/>
      <c r="O1" s="33"/>
      <c r="P1" s="33"/>
      <c r="Q1" s="33"/>
      <c r="R1" s="33"/>
    </row>
    <row r="2" spans="1:18" ht="12.75">
      <c r="A2" s="25" t="s">
        <v>342</v>
      </c>
      <c r="B2" s="25"/>
      <c r="C2" s="25"/>
      <c r="D2" s="25"/>
      <c r="E2" s="33"/>
      <c r="F2" s="34"/>
      <c r="G2" s="33"/>
      <c r="H2" s="34"/>
      <c r="I2" s="37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25" t="s">
        <v>20</v>
      </c>
      <c r="B3" s="25"/>
      <c r="C3" s="7" t="s">
        <v>210</v>
      </c>
      <c r="D3" s="7"/>
      <c r="E3" s="33"/>
      <c r="F3" s="34"/>
      <c r="G3" s="33"/>
      <c r="H3" s="34"/>
      <c r="I3" s="37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25" t="s">
        <v>21</v>
      </c>
      <c r="B4" s="25"/>
      <c r="C4" s="7" t="s">
        <v>223</v>
      </c>
      <c r="D4" s="7"/>
      <c r="E4" s="35"/>
      <c r="F4" s="36"/>
      <c r="G4" s="35"/>
      <c r="H4" s="36"/>
      <c r="I4" s="37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25" t="s">
        <v>22</v>
      </c>
      <c r="B5" s="25"/>
      <c r="C5" s="10" t="s">
        <v>212</v>
      </c>
      <c r="D5" s="10"/>
      <c r="E5" s="10"/>
      <c r="F5" s="10"/>
      <c r="G5" s="10"/>
      <c r="H5" s="10"/>
      <c r="I5" s="44"/>
      <c r="J5" s="10"/>
      <c r="K5" s="33"/>
      <c r="L5" s="10"/>
      <c r="M5" s="33"/>
      <c r="N5" s="33"/>
      <c r="O5" s="33"/>
      <c r="P5" s="33"/>
      <c r="Q5" s="33"/>
      <c r="R5" s="33"/>
    </row>
    <row r="6" spans="1:18" ht="12.75">
      <c r="A6" s="25"/>
      <c r="B6" s="25"/>
      <c r="C6" s="27"/>
      <c r="D6" s="27"/>
      <c r="E6" s="37"/>
      <c r="F6" s="34"/>
      <c r="G6" s="37"/>
      <c r="H6" s="34"/>
      <c r="I6" s="37"/>
      <c r="J6" s="37"/>
      <c r="K6" s="33"/>
      <c r="L6" s="37"/>
      <c r="M6" s="33"/>
      <c r="N6" s="33"/>
      <c r="O6" s="37"/>
      <c r="P6" s="33"/>
      <c r="Q6" s="37"/>
      <c r="R6" s="33"/>
    </row>
    <row r="7" spans="1:18" s="82" customFormat="1" ht="12.75">
      <c r="A7" s="25"/>
      <c r="B7" s="25"/>
      <c r="C7" s="27" t="s">
        <v>23</v>
      </c>
      <c r="D7" s="27"/>
      <c r="E7" s="38" t="s">
        <v>54</v>
      </c>
      <c r="F7" s="38"/>
      <c r="G7" s="38"/>
      <c r="H7" s="38"/>
      <c r="I7" s="9"/>
      <c r="J7" s="38" t="s">
        <v>117</v>
      </c>
      <c r="K7" s="38"/>
      <c r="L7" s="38"/>
      <c r="M7" s="38"/>
      <c r="N7" s="9"/>
      <c r="O7" s="38" t="s">
        <v>55</v>
      </c>
      <c r="P7" s="38"/>
      <c r="Q7" s="38"/>
      <c r="R7" s="38"/>
    </row>
    <row r="8" spans="1:18" s="82" customFormat="1" ht="12.75">
      <c r="A8" s="25"/>
      <c r="B8" s="25"/>
      <c r="C8" s="27" t="s">
        <v>24</v>
      </c>
      <c r="D8" s="25"/>
      <c r="E8" s="37" t="s">
        <v>25</v>
      </c>
      <c r="F8" s="36" t="s">
        <v>26</v>
      </c>
      <c r="G8" s="37" t="s">
        <v>25</v>
      </c>
      <c r="H8" s="36" t="s">
        <v>26</v>
      </c>
      <c r="I8" s="37"/>
      <c r="J8" s="37" t="s">
        <v>25</v>
      </c>
      <c r="K8" s="37" t="s">
        <v>27</v>
      </c>
      <c r="L8" s="37" t="s">
        <v>25</v>
      </c>
      <c r="M8" s="37" t="s">
        <v>27</v>
      </c>
      <c r="N8" s="33"/>
      <c r="O8" s="37" t="s">
        <v>25</v>
      </c>
      <c r="P8" s="37" t="s">
        <v>27</v>
      </c>
      <c r="Q8" s="37" t="s">
        <v>25</v>
      </c>
      <c r="R8" s="37" t="s">
        <v>27</v>
      </c>
    </row>
    <row r="9" spans="1:18" s="82" customFormat="1" ht="12.75">
      <c r="A9" s="25"/>
      <c r="B9" s="25"/>
      <c r="C9" s="27"/>
      <c r="D9" s="25"/>
      <c r="E9" s="37" t="s">
        <v>341</v>
      </c>
      <c r="F9" s="37" t="s">
        <v>341</v>
      </c>
      <c r="G9" s="37" t="s">
        <v>70</v>
      </c>
      <c r="H9" s="36" t="s">
        <v>70</v>
      </c>
      <c r="I9" s="37"/>
      <c r="J9" s="37" t="s">
        <v>341</v>
      </c>
      <c r="K9" s="37" t="s">
        <v>341</v>
      </c>
      <c r="L9" s="37" t="s">
        <v>70</v>
      </c>
      <c r="M9" s="36" t="s">
        <v>70</v>
      </c>
      <c r="N9" s="33"/>
      <c r="O9" s="37" t="s">
        <v>341</v>
      </c>
      <c r="P9" s="37" t="s">
        <v>341</v>
      </c>
      <c r="Q9" s="37" t="s">
        <v>70</v>
      </c>
      <c r="R9" s="36" t="s">
        <v>70</v>
      </c>
    </row>
    <row r="10" spans="1:18" ht="12.75">
      <c r="A10" s="25" t="s">
        <v>102</v>
      </c>
      <c r="B10" s="25"/>
      <c r="C10" s="25"/>
      <c r="D10" s="25"/>
      <c r="E10" s="33"/>
      <c r="F10" s="34"/>
      <c r="G10" s="33"/>
      <c r="H10" s="34"/>
      <c r="I10" s="37"/>
      <c r="J10" s="33"/>
      <c r="K10" s="33"/>
      <c r="L10" s="33"/>
      <c r="M10" s="33"/>
      <c r="N10" s="33"/>
      <c r="O10" s="28"/>
      <c r="P10" s="33"/>
      <c r="Q10" s="33"/>
      <c r="R10" s="33"/>
    </row>
    <row r="11" spans="1:18" ht="12.75">
      <c r="A11" s="25"/>
      <c r="B11" s="25" t="s">
        <v>28</v>
      </c>
      <c r="C11" s="27">
        <v>1</v>
      </c>
      <c r="E11">
        <v>1300</v>
      </c>
      <c r="F11" s="30">
        <f aca="true" t="shared" si="0" ref="F11:H35">IF(E11="","",E11*$C11)</f>
        <v>1300</v>
      </c>
      <c r="G11" s="30">
        <f aca="true" t="shared" si="1" ref="G11:G35">IF(E11=0,"",IF(D11="nd",E11/2,E11))</f>
        <v>1300</v>
      </c>
      <c r="H11" s="30">
        <f t="shared" si="0"/>
        <v>1300</v>
      </c>
      <c r="I11"/>
      <c r="J11">
        <v>480</v>
      </c>
      <c r="K11" s="30">
        <f aca="true" t="shared" si="2" ref="K11:M35">IF(J11="","",J11*$C11)</f>
        <v>480</v>
      </c>
      <c r="L11" s="30">
        <f aca="true" t="shared" si="3" ref="L11:L35">IF(J11=0,"",IF(I11="nd",J11/2,J11))</f>
        <v>480</v>
      </c>
      <c r="M11" s="30">
        <f t="shared" si="2"/>
        <v>480</v>
      </c>
      <c r="O11" s="67">
        <v>530</v>
      </c>
      <c r="P11" s="39">
        <f aca="true" t="shared" si="4" ref="P11:R35">IF(O11="","",O11*$C11)</f>
        <v>530</v>
      </c>
      <c r="Q11" s="39">
        <f aca="true" t="shared" si="5" ref="Q11:Q35">IF(O11=0,"",IF(N11="nd",O11/2,O11))</f>
        <v>530</v>
      </c>
      <c r="R11" s="39">
        <f t="shared" si="4"/>
        <v>530</v>
      </c>
    </row>
    <row r="12" spans="1:18" ht="12.75">
      <c r="A12" s="25"/>
      <c r="B12" s="25" t="s">
        <v>92</v>
      </c>
      <c r="C12" s="27">
        <v>0</v>
      </c>
      <c r="E12">
        <v>36000</v>
      </c>
      <c r="F12" s="39">
        <f t="shared" si="0"/>
        <v>0</v>
      </c>
      <c r="G12" s="39">
        <f t="shared" si="1"/>
        <v>36000</v>
      </c>
      <c r="H12" s="39">
        <f t="shared" si="0"/>
        <v>0</v>
      </c>
      <c r="I12"/>
      <c r="J12">
        <v>13000</v>
      </c>
      <c r="K12" s="30">
        <f t="shared" si="2"/>
        <v>0</v>
      </c>
      <c r="L12" s="39">
        <f t="shared" si="3"/>
        <v>13000</v>
      </c>
      <c r="M12" s="30">
        <f t="shared" si="2"/>
        <v>0</v>
      </c>
      <c r="O12" s="67">
        <v>14000</v>
      </c>
      <c r="P12" s="39">
        <f t="shared" si="4"/>
        <v>0</v>
      </c>
      <c r="Q12" s="39">
        <f t="shared" si="5"/>
        <v>14000</v>
      </c>
      <c r="R12" s="39">
        <f t="shared" si="4"/>
        <v>0</v>
      </c>
    </row>
    <row r="13" spans="1:18" ht="12.75">
      <c r="A13" s="25"/>
      <c r="B13" s="25" t="s">
        <v>29</v>
      </c>
      <c r="C13" s="27">
        <v>0.5</v>
      </c>
      <c r="E13">
        <v>13000</v>
      </c>
      <c r="F13" s="30">
        <f t="shared" si="0"/>
        <v>6500</v>
      </c>
      <c r="G13" s="30">
        <f t="shared" si="1"/>
        <v>13000</v>
      </c>
      <c r="H13" s="30">
        <f t="shared" si="0"/>
        <v>6500</v>
      </c>
      <c r="I13"/>
      <c r="J13">
        <v>3900</v>
      </c>
      <c r="K13" s="30">
        <f t="shared" si="2"/>
        <v>1950</v>
      </c>
      <c r="L13" s="30">
        <f t="shared" si="3"/>
        <v>3900</v>
      </c>
      <c r="M13" s="30">
        <f t="shared" si="2"/>
        <v>1950</v>
      </c>
      <c r="O13" s="67">
        <v>4600</v>
      </c>
      <c r="P13" s="39">
        <f t="shared" si="4"/>
        <v>2300</v>
      </c>
      <c r="Q13" s="39">
        <f t="shared" si="5"/>
        <v>4600</v>
      </c>
      <c r="R13" s="39">
        <f t="shared" si="4"/>
        <v>2300</v>
      </c>
    </row>
    <row r="14" spans="1:18" ht="12.75">
      <c r="A14" s="25"/>
      <c r="B14" s="25" t="s">
        <v>93</v>
      </c>
      <c r="C14" s="27">
        <v>0</v>
      </c>
      <c r="E14">
        <v>110000</v>
      </c>
      <c r="F14" s="39">
        <f t="shared" si="0"/>
        <v>0</v>
      </c>
      <c r="G14" s="39">
        <f t="shared" si="1"/>
        <v>110000</v>
      </c>
      <c r="H14" s="39">
        <f t="shared" si="0"/>
        <v>0</v>
      </c>
      <c r="I14"/>
      <c r="J14">
        <v>33000</v>
      </c>
      <c r="K14" s="30">
        <f t="shared" si="2"/>
        <v>0</v>
      </c>
      <c r="L14" s="39">
        <f t="shared" si="3"/>
        <v>33000</v>
      </c>
      <c r="M14" s="30">
        <f t="shared" si="2"/>
        <v>0</v>
      </c>
      <c r="O14" s="67">
        <v>39000</v>
      </c>
      <c r="P14" s="39">
        <f t="shared" si="4"/>
        <v>0</v>
      </c>
      <c r="Q14" s="39">
        <f t="shared" si="5"/>
        <v>39000</v>
      </c>
      <c r="R14" s="39">
        <f t="shared" si="4"/>
        <v>0</v>
      </c>
    </row>
    <row r="15" spans="1:18" ht="12.75">
      <c r="A15" s="25"/>
      <c r="B15" s="25" t="s">
        <v>30</v>
      </c>
      <c r="C15" s="27">
        <v>0.1</v>
      </c>
      <c r="E15">
        <v>32000</v>
      </c>
      <c r="F15" s="30">
        <f t="shared" si="0"/>
        <v>3200</v>
      </c>
      <c r="G15" s="30">
        <f t="shared" si="1"/>
        <v>32000</v>
      </c>
      <c r="H15" s="30">
        <f t="shared" si="0"/>
        <v>3200</v>
      </c>
      <c r="I15"/>
      <c r="J15">
        <v>9300</v>
      </c>
      <c r="K15" s="30">
        <f t="shared" si="2"/>
        <v>930</v>
      </c>
      <c r="L15" s="30">
        <f t="shared" si="3"/>
        <v>9300</v>
      </c>
      <c r="M15" s="30">
        <f t="shared" si="2"/>
        <v>930</v>
      </c>
      <c r="O15" s="67">
        <v>10000</v>
      </c>
      <c r="P15" s="39">
        <f t="shared" si="4"/>
        <v>1000</v>
      </c>
      <c r="Q15" s="39">
        <f t="shared" si="5"/>
        <v>10000</v>
      </c>
      <c r="R15" s="39">
        <f t="shared" si="4"/>
        <v>1000</v>
      </c>
    </row>
    <row r="16" spans="1:18" ht="12.75">
      <c r="A16" s="25"/>
      <c r="B16" s="25" t="s">
        <v>31</v>
      </c>
      <c r="C16" s="27">
        <v>0.1</v>
      </c>
      <c r="E16">
        <v>27000</v>
      </c>
      <c r="F16" s="30">
        <f t="shared" si="0"/>
        <v>2700</v>
      </c>
      <c r="G16" s="30">
        <f t="shared" si="1"/>
        <v>27000</v>
      </c>
      <c r="H16" s="30">
        <f t="shared" si="0"/>
        <v>2700</v>
      </c>
      <c r="I16"/>
      <c r="J16">
        <v>7600</v>
      </c>
      <c r="K16" s="30">
        <f t="shared" si="2"/>
        <v>760</v>
      </c>
      <c r="L16" s="30">
        <f t="shared" si="3"/>
        <v>7600</v>
      </c>
      <c r="M16" s="30">
        <f t="shared" si="2"/>
        <v>760</v>
      </c>
      <c r="O16" s="67">
        <v>9600</v>
      </c>
      <c r="P16" s="39">
        <f t="shared" si="4"/>
        <v>960</v>
      </c>
      <c r="Q16" s="39">
        <f t="shared" si="5"/>
        <v>9600</v>
      </c>
      <c r="R16" s="39">
        <f t="shared" si="4"/>
        <v>960</v>
      </c>
    </row>
    <row r="17" spans="1:18" ht="12.75">
      <c r="A17" s="25"/>
      <c r="B17" s="25" t="s">
        <v>32</v>
      </c>
      <c r="C17" s="27">
        <v>0.1</v>
      </c>
      <c r="E17">
        <v>17000</v>
      </c>
      <c r="F17" s="30">
        <f t="shared" si="0"/>
        <v>1700</v>
      </c>
      <c r="G17" s="30">
        <f t="shared" si="1"/>
        <v>17000</v>
      </c>
      <c r="H17" s="30">
        <f t="shared" si="0"/>
        <v>1700</v>
      </c>
      <c r="I17"/>
      <c r="J17">
        <v>5000</v>
      </c>
      <c r="K17" s="30">
        <f t="shared" si="2"/>
        <v>500</v>
      </c>
      <c r="L17" s="30">
        <f t="shared" si="3"/>
        <v>5000</v>
      </c>
      <c r="M17" s="30">
        <f t="shared" si="2"/>
        <v>500</v>
      </c>
      <c r="O17" s="67">
        <v>6100</v>
      </c>
      <c r="P17" s="39">
        <f t="shared" si="4"/>
        <v>610</v>
      </c>
      <c r="Q17" s="39">
        <f t="shared" si="5"/>
        <v>6100</v>
      </c>
      <c r="R17" s="39">
        <f t="shared" si="4"/>
        <v>610</v>
      </c>
    </row>
    <row r="18" spans="1:18" ht="12.75">
      <c r="A18" s="25"/>
      <c r="B18" s="25" t="s">
        <v>94</v>
      </c>
      <c r="C18" s="27">
        <v>0</v>
      </c>
      <c r="E18">
        <v>280000</v>
      </c>
      <c r="F18" s="39">
        <f t="shared" si="0"/>
        <v>0</v>
      </c>
      <c r="G18" s="39">
        <f t="shared" si="1"/>
        <v>280000</v>
      </c>
      <c r="H18" s="39">
        <f t="shared" si="0"/>
        <v>0</v>
      </c>
      <c r="I18"/>
      <c r="J18">
        <v>84000</v>
      </c>
      <c r="K18" s="30">
        <f t="shared" si="2"/>
        <v>0</v>
      </c>
      <c r="L18" s="39">
        <f t="shared" si="3"/>
        <v>84000</v>
      </c>
      <c r="M18" s="30">
        <f t="shared" si="2"/>
        <v>0</v>
      </c>
      <c r="O18" s="67">
        <v>97000</v>
      </c>
      <c r="P18" s="39">
        <f t="shared" si="4"/>
        <v>0</v>
      </c>
      <c r="Q18" s="39">
        <f t="shared" si="5"/>
        <v>97000</v>
      </c>
      <c r="R18" s="39">
        <f t="shared" si="4"/>
        <v>0</v>
      </c>
    </row>
    <row r="19" spans="1:18" ht="12.75">
      <c r="A19" s="25"/>
      <c r="B19" s="25" t="s">
        <v>33</v>
      </c>
      <c r="C19" s="27">
        <v>0.01</v>
      </c>
      <c r="E19">
        <v>190000</v>
      </c>
      <c r="F19" s="30">
        <f t="shared" si="0"/>
        <v>1900</v>
      </c>
      <c r="G19" s="30">
        <f t="shared" si="1"/>
        <v>190000</v>
      </c>
      <c r="H19" s="30">
        <f t="shared" si="0"/>
        <v>1900</v>
      </c>
      <c r="I19"/>
      <c r="J19">
        <v>60000</v>
      </c>
      <c r="K19" s="30">
        <f t="shared" si="2"/>
        <v>600</v>
      </c>
      <c r="L19" s="30">
        <f t="shared" si="3"/>
        <v>60000</v>
      </c>
      <c r="M19" s="30">
        <f t="shared" si="2"/>
        <v>600</v>
      </c>
      <c r="O19" s="67">
        <v>78000</v>
      </c>
      <c r="P19" s="39">
        <f t="shared" si="4"/>
        <v>780</v>
      </c>
      <c r="Q19" s="39">
        <f t="shared" si="5"/>
        <v>78000</v>
      </c>
      <c r="R19" s="39">
        <f t="shared" si="4"/>
        <v>780</v>
      </c>
    </row>
    <row r="20" spans="1:18" ht="12.75">
      <c r="A20" s="25"/>
      <c r="B20" s="25" t="s">
        <v>95</v>
      </c>
      <c r="C20" s="27">
        <v>0</v>
      </c>
      <c r="E20">
        <v>360000</v>
      </c>
      <c r="F20" s="39">
        <f t="shared" si="0"/>
        <v>0</v>
      </c>
      <c r="G20" s="39">
        <f t="shared" si="1"/>
        <v>360000</v>
      </c>
      <c r="H20" s="39">
        <f t="shared" si="0"/>
        <v>0</v>
      </c>
      <c r="I20"/>
      <c r="J20">
        <v>130000</v>
      </c>
      <c r="K20" s="30">
        <f t="shared" si="2"/>
        <v>0</v>
      </c>
      <c r="L20" s="39">
        <f t="shared" si="3"/>
        <v>130000</v>
      </c>
      <c r="M20" s="30">
        <f t="shared" si="2"/>
        <v>0</v>
      </c>
      <c r="O20" s="67">
        <v>160000</v>
      </c>
      <c r="P20" s="39">
        <f t="shared" si="4"/>
        <v>0</v>
      </c>
      <c r="Q20" s="39">
        <f t="shared" si="5"/>
        <v>160000</v>
      </c>
      <c r="R20" s="39">
        <f t="shared" si="4"/>
        <v>0</v>
      </c>
    </row>
    <row r="21" spans="1:18" ht="12.75">
      <c r="A21" s="25"/>
      <c r="B21" s="25" t="s">
        <v>34</v>
      </c>
      <c r="C21" s="27">
        <v>0.001</v>
      </c>
      <c r="E21">
        <v>280000</v>
      </c>
      <c r="F21" s="30">
        <f t="shared" si="0"/>
        <v>280</v>
      </c>
      <c r="G21" s="30">
        <f t="shared" si="1"/>
        <v>280000</v>
      </c>
      <c r="H21" s="30">
        <f t="shared" si="0"/>
        <v>280</v>
      </c>
      <c r="I21"/>
      <c r="J21">
        <v>150000</v>
      </c>
      <c r="K21" s="30">
        <f t="shared" si="2"/>
        <v>150</v>
      </c>
      <c r="L21" s="39">
        <f t="shared" si="3"/>
        <v>150000</v>
      </c>
      <c r="M21" s="30">
        <f t="shared" si="2"/>
        <v>150</v>
      </c>
      <c r="O21" s="67">
        <v>250000</v>
      </c>
      <c r="P21" s="39">
        <f t="shared" si="4"/>
        <v>250</v>
      </c>
      <c r="Q21" s="39">
        <f t="shared" si="5"/>
        <v>250000</v>
      </c>
      <c r="R21" s="39">
        <f t="shared" si="4"/>
        <v>250</v>
      </c>
    </row>
    <row r="22" spans="1:18" ht="12.75">
      <c r="A22" s="25"/>
      <c r="B22" s="25" t="s">
        <v>35</v>
      </c>
      <c r="C22" s="27">
        <v>0.1</v>
      </c>
      <c r="E22">
        <v>17000</v>
      </c>
      <c r="F22" s="30">
        <f t="shared" si="0"/>
        <v>1700</v>
      </c>
      <c r="G22" s="30">
        <f t="shared" si="1"/>
        <v>17000</v>
      </c>
      <c r="H22" s="30">
        <f t="shared" si="0"/>
        <v>1700</v>
      </c>
      <c r="I22"/>
      <c r="J22">
        <v>6800</v>
      </c>
      <c r="K22" s="30">
        <f t="shared" si="2"/>
        <v>680</v>
      </c>
      <c r="L22" s="39">
        <f t="shared" si="3"/>
        <v>6800</v>
      </c>
      <c r="M22" s="30">
        <f t="shared" si="2"/>
        <v>680</v>
      </c>
      <c r="O22" s="67">
        <v>7300</v>
      </c>
      <c r="P22" s="39">
        <f t="shared" si="4"/>
        <v>730</v>
      </c>
      <c r="Q22" s="39">
        <f t="shared" si="5"/>
        <v>7300</v>
      </c>
      <c r="R22" s="39">
        <f t="shared" si="4"/>
        <v>730</v>
      </c>
    </row>
    <row r="23" spans="1:18" ht="12.75">
      <c r="A23" s="25"/>
      <c r="B23" s="25" t="s">
        <v>96</v>
      </c>
      <c r="C23" s="27">
        <v>0</v>
      </c>
      <c r="E23">
        <v>620000</v>
      </c>
      <c r="F23" s="39">
        <f t="shared" si="0"/>
        <v>0</v>
      </c>
      <c r="G23" s="39">
        <f t="shared" si="1"/>
        <v>620000</v>
      </c>
      <c r="H23" s="39">
        <f t="shared" si="0"/>
        <v>0</v>
      </c>
      <c r="I23"/>
      <c r="J23">
        <v>280000</v>
      </c>
      <c r="K23" s="30">
        <f t="shared" si="2"/>
        <v>0</v>
      </c>
      <c r="L23" s="39">
        <f t="shared" si="3"/>
        <v>280000</v>
      </c>
      <c r="M23" s="30">
        <f t="shared" si="2"/>
        <v>0</v>
      </c>
      <c r="O23" s="67">
        <v>310000</v>
      </c>
      <c r="P23" s="39">
        <f t="shared" si="4"/>
        <v>0</v>
      </c>
      <c r="Q23" s="39">
        <f t="shared" si="5"/>
        <v>310000</v>
      </c>
      <c r="R23" s="39">
        <f t="shared" si="4"/>
        <v>0</v>
      </c>
    </row>
    <row r="24" spans="1:18" ht="12.75">
      <c r="A24" s="25"/>
      <c r="B24" s="25" t="s">
        <v>36</v>
      </c>
      <c r="C24" s="27">
        <v>0.05</v>
      </c>
      <c r="E24">
        <v>35000</v>
      </c>
      <c r="F24" s="39">
        <f t="shared" si="0"/>
        <v>1750</v>
      </c>
      <c r="G24" s="39">
        <f t="shared" si="1"/>
        <v>35000</v>
      </c>
      <c r="H24" s="39">
        <f t="shared" si="0"/>
        <v>1750</v>
      </c>
      <c r="I24"/>
      <c r="J24">
        <v>15000</v>
      </c>
      <c r="K24" s="30">
        <f t="shared" si="2"/>
        <v>750</v>
      </c>
      <c r="L24" s="39">
        <f t="shared" si="3"/>
        <v>15000</v>
      </c>
      <c r="M24" s="30">
        <f t="shared" si="2"/>
        <v>750</v>
      </c>
      <c r="O24" s="67">
        <v>18000</v>
      </c>
      <c r="P24" s="39">
        <f t="shared" si="4"/>
        <v>900</v>
      </c>
      <c r="Q24" s="39">
        <f t="shared" si="5"/>
        <v>18000</v>
      </c>
      <c r="R24" s="39">
        <f t="shared" si="4"/>
        <v>900</v>
      </c>
    </row>
    <row r="25" spans="1:18" ht="12.75">
      <c r="A25" s="25"/>
      <c r="B25" s="25" t="s">
        <v>37</v>
      </c>
      <c r="C25" s="27">
        <v>0.5</v>
      </c>
      <c r="E25">
        <v>100000</v>
      </c>
      <c r="F25" s="39">
        <f t="shared" si="0"/>
        <v>50000</v>
      </c>
      <c r="G25" s="39">
        <f t="shared" si="1"/>
        <v>100000</v>
      </c>
      <c r="H25" s="39">
        <f t="shared" si="0"/>
        <v>50000</v>
      </c>
      <c r="I25"/>
      <c r="J25">
        <v>43000</v>
      </c>
      <c r="K25" s="30">
        <f t="shared" si="2"/>
        <v>21500</v>
      </c>
      <c r="L25" s="39">
        <f t="shared" si="3"/>
        <v>43000</v>
      </c>
      <c r="M25" s="30">
        <f t="shared" si="2"/>
        <v>21500</v>
      </c>
      <c r="O25" s="67">
        <v>54000</v>
      </c>
      <c r="P25" s="39">
        <f t="shared" si="4"/>
        <v>27000</v>
      </c>
      <c r="Q25" s="39">
        <f t="shared" si="5"/>
        <v>54000</v>
      </c>
      <c r="R25" s="39">
        <f t="shared" si="4"/>
        <v>27000</v>
      </c>
    </row>
    <row r="26" spans="1:18" ht="12.75">
      <c r="A26" s="25"/>
      <c r="B26" s="25" t="s">
        <v>97</v>
      </c>
      <c r="C26" s="27">
        <v>0</v>
      </c>
      <c r="E26">
        <v>1000000</v>
      </c>
      <c r="F26" s="39">
        <f t="shared" si="0"/>
        <v>0</v>
      </c>
      <c r="G26" s="39">
        <f t="shared" si="1"/>
        <v>1000000</v>
      </c>
      <c r="H26" s="39">
        <f t="shared" si="0"/>
        <v>0</v>
      </c>
      <c r="I26"/>
      <c r="J26">
        <v>440000</v>
      </c>
      <c r="K26" s="30">
        <f t="shared" si="2"/>
        <v>0</v>
      </c>
      <c r="L26" s="39">
        <f t="shared" si="3"/>
        <v>440000</v>
      </c>
      <c r="M26" s="30">
        <f t="shared" si="2"/>
        <v>0</v>
      </c>
      <c r="O26" s="67">
        <v>570000</v>
      </c>
      <c r="P26" s="39">
        <f t="shared" si="4"/>
        <v>0</v>
      </c>
      <c r="Q26" s="39">
        <f t="shared" si="5"/>
        <v>570000</v>
      </c>
      <c r="R26" s="39">
        <f t="shared" si="4"/>
        <v>0</v>
      </c>
    </row>
    <row r="27" spans="1:18" ht="12.75">
      <c r="A27" s="25"/>
      <c r="B27" s="25" t="s">
        <v>38</v>
      </c>
      <c r="C27" s="27">
        <v>0.1</v>
      </c>
      <c r="E27">
        <v>110000</v>
      </c>
      <c r="F27" s="39">
        <f t="shared" si="0"/>
        <v>11000</v>
      </c>
      <c r="G27" s="39">
        <f t="shared" si="1"/>
        <v>110000</v>
      </c>
      <c r="H27" s="39">
        <f t="shared" si="0"/>
        <v>11000</v>
      </c>
      <c r="I27"/>
      <c r="J27">
        <v>46000</v>
      </c>
      <c r="K27" s="30">
        <f t="shared" si="2"/>
        <v>4600</v>
      </c>
      <c r="L27" s="39">
        <f t="shared" si="3"/>
        <v>46000</v>
      </c>
      <c r="M27" s="30">
        <f t="shared" si="2"/>
        <v>4600</v>
      </c>
      <c r="O27" s="67">
        <v>68000</v>
      </c>
      <c r="P27" s="39">
        <f t="shared" si="4"/>
        <v>6800</v>
      </c>
      <c r="Q27" s="39">
        <f t="shared" si="5"/>
        <v>68000</v>
      </c>
      <c r="R27" s="39">
        <f t="shared" si="4"/>
        <v>6800</v>
      </c>
    </row>
    <row r="28" spans="1:18" ht="12.75">
      <c r="A28" s="25"/>
      <c r="B28" s="25" t="s">
        <v>39</v>
      </c>
      <c r="C28" s="27">
        <v>0.1</v>
      </c>
      <c r="E28">
        <v>130000</v>
      </c>
      <c r="F28" s="39">
        <f t="shared" si="0"/>
        <v>13000</v>
      </c>
      <c r="G28" s="39">
        <f t="shared" si="1"/>
        <v>130000</v>
      </c>
      <c r="H28" s="39">
        <f t="shared" si="0"/>
        <v>13000</v>
      </c>
      <c r="I28"/>
      <c r="J28">
        <v>56000</v>
      </c>
      <c r="K28" s="30">
        <f t="shared" si="2"/>
        <v>5600</v>
      </c>
      <c r="L28" s="39">
        <f t="shared" si="3"/>
        <v>56000</v>
      </c>
      <c r="M28" s="30">
        <f t="shared" si="2"/>
        <v>5600</v>
      </c>
      <c r="O28" s="67">
        <v>79000</v>
      </c>
      <c r="P28" s="39">
        <f t="shared" si="4"/>
        <v>7900</v>
      </c>
      <c r="Q28" s="39">
        <f t="shared" si="5"/>
        <v>79000</v>
      </c>
      <c r="R28" s="39">
        <f t="shared" si="4"/>
        <v>7900</v>
      </c>
    </row>
    <row r="29" spans="1:18" ht="12.75">
      <c r="A29" s="25"/>
      <c r="B29" s="25" t="s">
        <v>40</v>
      </c>
      <c r="C29" s="27">
        <v>0.1</v>
      </c>
      <c r="E29">
        <v>270000</v>
      </c>
      <c r="F29" s="39">
        <f t="shared" si="0"/>
        <v>27000</v>
      </c>
      <c r="G29" s="39">
        <f t="shared" si="1"/>
        <v>270000</v>
      </c>
      <c r="H29" s="39">
        <f t="shared" si="0"/>
        <v>27000</v>
      </c>
      <c r="I29"/>
      <c r="J29">
        <v>140000</v>
      </c>
      <c r="K29" s="30">
        <f t="shared" si="2"/>
        <v>14000</v>
      </c>
      <c r="L29" s="39">
        <f t="shared" si="3"/>
        <v>140000</v>
      </c>
      <c r="M29" s="30">
        <f t="shared" si="2"/>
        <v>14000</v>
      </c>
      <c r="O29" s="67">
        <v>210000</v>
      </c>
      <c r="P29" s="39">
        <f t="shared" si="4"/>
        <v>21000</v>
      </c>
      <c r="Q29" s="39">
        <f t="shared" si="5"/>
        <v>210000</v>
      </c>
      <c r="R29" s="39">
        <f t="shared" si="4"/>
        <v>21000</v>
      </c>
    </row>
    <row r="30" spans="1:18" ht="12.75">
      <c r="A30" s="25"/>
      <c r="B30" s="25" t="s">
        <v>41</v>
      </c>
      <c r="C30" s="27">
        <v>0.1</v>
      </c>
      <c r="E30">
        <v>37000</v>
      </c>
      <c r="F30" s="39">
        <f t="shared" si="0"/>
        <v>3700</v>
      </c>
      <c r="G30" s="39">
        <f t="shared" si="1"/>
        <v>37000</v>
      </c>
      <c r="H30" s="39">
        <f t="shared" si="0"/>
        <v>3700</v>
      </c>
      <c r="I30"/>
      <c r="J30">
        <v>16000</v>
      </c>
      <c r="K30" s="30">
        <f t="shared" si="2"/>
        <v>1600</v>
      </c>
      <c r="L30" s="39">
        <f t="shared" si="3"/>
        <v>16000</v>
      </c>
      <c r="M30" s="30">
        <f t="shared" si="2"/>
        <v>1600</v>
      </c>
      <c r="O30" s="67">
        <v>24000</v>
      </c>
      <c r="P30" s="39">
        <f t="shared" si="4"/>
        <v>2400</v>
      </c>
      <c r="Q30" s="39">
        <f t="shared" si="5"/>
        <v>24000</v>
      </c>
      <c r="R30" s="39">
        <f t="shared" si="4"/>
        <v>2400</v>
      </c>
    </row>
    <row r="31" spans="1:18" ht="12.75">
      <c r="A31" s="25"/>
      <c r="B31" s="25" t="s">
        <v>98</v>
      </c>
      <c r="C31" s="27">
        <v>0</v>
      </c>
      <c r="E31">
        <v>1300000</v>
      </c>
      <c r="F31" s="39">
        <f t="shared" si="0"/>
        <v>0</v>
      </c>
      <c r="G31" s="39">
        <f t="shared" si="1"/>
        <v>1300000</v>
      </c>
      <c r="H31" s="39">
        <f t="shared" si="0"/>
        <v>0</v>
      </c>
      <c r="I31"/>
      <c r="J31">
        <v>610000</v>
      </c>
      <c r="K31" s="30">
        <f t="shared" si="2"/>
        <v>0</v>
      </c>
      <c r="L31" s="39">
        <f t="shared" si="3"/>
        <v>610000</v>
      </c>
      <c r="M31" s="30">
        <f t="shared" si="2"/>
        <v>0</v>
      </c>
      <c r="O31" s="67">
        <v>890000</v>
      </c>
      <c r="P31" s="39">
        <f t="shared" si="4"/>
        <v>0</v>
      </c>
      <c r="Q31" s="39">
        <f t="shared" si="5"/>
        <v>890000</v>
      </c>
      <c r="R31" s="39">
        <f t="shared" si="4"/>
        <v>0</v>
      </c>
    </row>
    <row r="32" spans="1:18" ht="12.75">
      <c r="A32" s="25"/>
      <c r="B32" s="25" t="s">
        <v>42</v>
      </c>
      <c r="C32" s="27">
        <v>0.01</v>
      </c>
      <c r="E32">
        <v>690000</v>
      </c>
      <c r="F32" s="39">
        <f t="shared" si="0"/>
        <v>6900</v>
      </c>
      <c r="G32" s="39">
        <f t="shared" si="1"/>
        <v>690000</v>
      </c>
      <c r="H32" s="39">
        <f t="shared" si="0"/>
        <v>6900</v>
      </c>
      <c r="I32"/>
      <c r="J32">
        <v>390000</v>
      </c>
      <c r="K32" s="30">
        <f t="shared" si="2"/>
        <v>3900</v>
      </c>
      <c r="L32" s="39">
        <f t="shared" si="3"/>
        <v>390000</v>
      </c>
      <c r="M32" s="30">
        <f t="shared" si="2"/>
        <v>3900</v>
      </c>
      <c r="O32" s="67">
        <v>620000</v>
      </c>
      <c r="P32" s="39">
        <f t="shared" si="4"/>
        <v>6200</v>
      </c>
      <c r="Q32" s="39">
        <f t="shared" si="5"/>
        <v>620000</v>
      </c>
      <c r="R32" s="39">
        <f t="shared" si="4"/>
        <v>6200</v>
      </c>
    </row>
    <row r="33" spans="1:18" ht="12.75">
      <c r="A33" s="25"/>
      <c r="B33" s="25" t="s">
        <v>43</v>
      </c>
      <c r="C33" s="27">
        <v>0.01</v>
      </c>
      <c r="E33">
        <v>70000</v>
      </c>
      <c r="F33" s="39">
        <f t="shared" si="0"/>
        <v>700</v>
      </c>
      <c r="G33" s="39">
        <f t="shared" si="1"/>
        <v>70000</v>
      </c>
      <c r="H33" s="39">
        <f t="shared" si="0"/>
        <v>700</v>
      </c>
      <c r="I33"/>
      <c r="J33">
        <v>30000</v>
      </c>
      <c r="K33" s="30">
        <f t="shared" si="2"/>
        <v>300</v>
      </c>
      <c r="L33" s="39">
        <f t="shared" si="3"/>
        <v>30000</v>
      </c>
      <c r="M33" s="30">
        <f t="shared" si="2"/>
        <v>300</v>
      </c>
      <c r="O33" s="67">
        <v>50000</v>
      </c>
      <c r="P33" s="39">
        <f t="shared" si="4"/>
        <v>500</v>
      </c>
      <c r="Q33" s="39">
        <f t="shared" si="5"/>
        <v>50000</v>
      </c>
      <c r="R33" s="39">
        <f t="shared" si="4"/>
        <v>500</v>
      </c>
    </row>
    <row r="34" spans="1:18" ht="12.75">
      <c r="A34" s="25"/>
      <c r="B34" s="25" t="s">
        <v>99</v>
      </c>
      <c r="C34" s="27">
        <v>0</v>
      </c>
      <c r="E34">
        <v>1000000</v>
      </c>
      <c r="F34" s="39">
        <f t="shared" si="0"/>
        <v>0</v>
      </c>
      <c r="G34" s="39">
        <f t="shared" si="1"/>
        <v>1000000</v>
      </c>
      <c r="H34" s="39">
        <f t="shared" si="0"/>
        <v>0</v>
      </c>
      <c r="I34"/>
      <c r="J34">
        <v>540000</v>
      </c>
      <c r="K34" s="30">
        <f t="shared" si="2"/>
        <v>0</v>
      </c>
      <c r="L34" s="39">
        <f t="shared" si="3"/>
        <v>540000</v>
      </c>
      <c r="M34" s="30">
        <f t="shared" si="2"/>
        <v>0</v>
      </c>
      <c r="O34" s="67">
        <v>860000</v>
      </c>
      <c r="P34" s="39">
        <f t="shared" si="4"/>
        <v>0</v>
      </c>
      <c r="Q34" s="39">
        <f t="shared" si="5"/>
        <v>860000</v>
      </c>
      <c r="R34" s="39">
        <f t="shared" si="4"/>
        <v>0</v>
      </c>
    </row>
    <row r="35" spans="1:18" ht="12.75">
      <c r="A35" s="25"/>
      <c r="B35" s="25" t="s">
        <v>44</v>
      </c>
      <c r="C35" s="27">
        <v>0.001</v>
      </c>
      <c r="E35">
        <v>200000</v>
      </c>
      <c r="F35" s="39">
        <f t="shared" si="0"/>
        <v>200</v>
      </c>
      <c r="G35" s="39">
        <f t="shared" si="1"/>
        <v>200000</v>
      </c>
      <c r="H35" s="39">
        <f t="shared" si="0"/>
        <v>200</v>
      </c>
      <c r="I35"/>
      <c r="J35">
        <v>150000</v>
      </c>
      <c r="K35" s="30">
        <f t="shared" si="2"/>
        <v>150</v>
      </c>
      <c r="L35" s="39">
        <f t="shared" si="3"/>
        <v>150000</v>
      </c>
      <c r="M35" s="30">
        <f t="shared" si="2"/>
        <v>150</v>
      </c>
      <c r="O35" s="67">
        <v>240000</v>
      </c>
      <c r="P35" s="39">
        <f t="shared" si="4"/>
        <v>240</v>
      </c>
      <c r="Q35" s="39">
        <f t="shared" si="5"/>
        <v>240000</v>
      </c>
      <c r="R35" s="39">
        <f t="shared" si="4"/>
        <v>240</v>
      </c>
    </row>
    <row r="36" spans="1:18" ht="12.75">
      <c r="A36" s="25"/>
      <c r="B36" s="25"/>
      <c r="C36" s="25"/>
      <c r="D36" s="25"/>
      <c r="E36" s="30"/>
      <c r="F36" s="34"/>
      <c r="G36" s="30"/>
      <c r="H36" s="34"/>
      <c r="I36" s="50"/>
      <c r="J36" s="10"/>
      <c r="K36" s="28"/>
      <c r="L36" s="28"/>
      <c r="M36" s="28"/>
      <c r="N36" s="30"/>
      <c r="O36" s="10"/>
      <c r="P36" s="33"/>
      <c r="Q36" s="30"/>
      <c r="R36" s="33"/>
    </row>
    <row r="37" spans="1:18" ht="12.75">
      <c r="A37" s="25"/>
      <c r="B37" s="25" t="s">
        <v>45</v>
      </c>
      <c r="C37" s="25"/>
      <c r="D37" s="25"/>
      <c r="E37" s="30"/>
      <c r="F37">
        <v>118.788</v>
      </c>
      <c r="G37">
        <v>118.788</v>
      </c>
      <c r="H37">
        <v>118.788</v>
      </c>
      <c r="I37"/>
      <c r="K37">
        <v>116.273</v>
      </c>
      <c r="L37">
        <v>116.273</v>
      </c>
      <c r="M37">
        <v>116.273</v>
      </c>
      <c r="P37">
        <v>125.968</v>
      </c>
      <c r="Q37">
        <v>125.968</v>
      </c>
      <c r="R37">
        <v>125.968</v>
      </c>
    </row>
    <row r="38" spans="1:18" ht="12.75">
      <c r="A38" s="25"/>
      <c r="B38" s="25" t="s">
        <v>61</v>
      </c>
      <c r="C38" s="25"/>
      <c r="D38" s="25"/>
      <c r="E38" s="30"/>
      <c r="F38">
        <v>10.1</v>
      </c>
      <c r="G38">
        <v>10.1</v>
      </c>
      <c r="H38">
        <v>10.1</v>
      </c>
      <c r="I38"/>
      <c r="K38">
        <v>10.16</v>
      </c>
      <c r="L38">
        <v>10.16</v>
      </c>
      <c r="M38">
        <v>10.16</v>
      </c>
      <c r="P38">
        <v>10.14</v>
      </c>
      <c r="Q38">
        <v>10.14</v>
      </c>
      <c r="R38">
        <v>10.14</v>
      </c>
    </row>
    <row r="39" spans="1:18" ht="12.75">
      <c r="A39" s="25"/>
      <c r="B39" s="25"/>
      <c r="C39" s="25"/>
      <c r="D39" s="25"/>
      <c r="E39" s="30"/>
      <c r="F39" s="10"/>
      <c r="G39" s="30"/>
      <c r="H39" s="10"/>
      <c r="I39" s="44"/>
      <c r="J39" s="30"/>
      <c r="K39" s="31"/>
      <c r="L39" s="28"/>
      <c r="M39" s="31"/>
      <c r="N39" s="30"/>
      <c r="O39" s="30"/>
      <c r="P39" s="30"/>
      <c r="Q39" s="30"/>
      <c r="R39" s="30"/>
    </row>
    <row r="40" spans="1:18" ht="12.75">
      <c r="A40" s="25"/>
      <c r="B40" s="25" t="s">
        <v>100</v>
      </c>
      <c r="C40" s="34"/>
      <c r="D40" s="34"/>
      <c r="E40" s="28"/>
      <c r="F40" s="29">
        <f>SUM(F11:F35)/1000</f>
        <v>133.53</v>
      </c>
      <c r="G40" s="28">
        <f>SUM(G35,G34,G31,G26,G23,G21,G20,G18,G14,G12)/1000</f>
        <v>5186</v>
      </c>
      <c r="H40" s="29">
        <f>SUM(H11:H35)/1000</f>
        <v>133.53</v>
      </c>
      <c r="I40" s="36"/>
      <c r="J40" s="28"/>
      <c r="K40" s="29">
        <f>SUM(K11:K35)/1000</f>
        <v>58.45</v>
      </c>
      <c r="L40" s="28">
        <f>SUM(L35,L34,L31,L26,L23,L21,L20,L18,L14,L12)/1000</f>
        <v>2430</v>
      </c>
      <c r="M40" s="29">
        <f>SUM(M11:M35)/1000</f>
        <v>58.45</v>
      </c>
      <c r="N40" s="34"/>
      <c r="O40" s="30"/>
      <c r="P40" s="30">
        <f>SUM(P11:P35)/1000</f>
        <v>80.1</v>
      </c>
      <c r="Q40" s="28">
        <f>SUM(Q35,Q34,Q31,Q26,Q23,Q21,Q20,Q18,Q14,Q12)/1000</f>
        <v>3430</v>
      </c>
      <c r="R40" s="30">
        <f>SUM(R11:R35)/1000</f>
        <v>80.1</v>
      </c>
    </row>
    <row r="41" spans="1:18" ht="12.75">
      <c r="A41" s="25"/>
      <c r="B41" s="25" t="s">
        <v>46</v>
      </c>
      <c r="C41" s="34"/>
      <c r="D41" s="28">
        <f>(F41-H41)*2/F41*100</f>
        <v>0</v>
      </c>
      <c r="E41" s="30"/>
      <c r="F41" s="29">
        <f>(F40/F37/0.0283*(21-7)/(21-F38))</f>
        <v>51.01775935129395</v>
      </c>
      <c r="G41" s="29">
        <f>(G40/G37/0.0283*(21-7)/(21-G38))</f>
        <v>1981.4131655493927</v>
      </c>
      <c r="H41" s="29">
        <f>(H40/H37/0.0283*(21-7)/(21-H38))</f>
        <v>51.01775935129395</v>
      </c>
      <c r="I41" s="28">
        <f>(K41-M41)*2/K41*100</f>
        <v>0</v>
      </c>
      <c r="J41" s="30"/>
      <c r="K41" s="30">
        <f>K40/K37/0.0283*(21-7)/(21-K38)</f>
        <v>22.941296371287915</v>
      </c>
      <c r="L41" s="30">
        <f>(L40/L37/0.0283*(21-7)/(21-L38))</f>
        <v>953.7613375916105</v>
      </c>
      <c r="M41" s="30">
        <f>M40/M37/0.0283*(21-7)/(21-M38)</f>
        <v>22.941296371287915</v>
      </c>
      <c r="N41" s="28">
        <f>(P41-R41)*2/P41*100</f>
        <v>0</v>
      </c>
      <c r="O41" s="30"/>
      <c r="P41" s="30">
        <f>P40/P37/0.0283*(21-7)/(21-P38)</f>
        <v>28.96570190362085</v>
      </c>
      <c r="Q41" s="30">
        <f>(Q40/Q37/0.0283*(21-7)/(21-Q38))</f>
        <v>1240.3540265845131</v>
      </c>
      <c r="R41" s="30">
        <f>R40/R37/0.0283*(21-7)/(21-R38)</f>
        <v>28.96570190362085</v>
      </c>
    </row>
    <row r="42" spans="1:18" ht="12.75">
      <c r="A42" s="25"/>
      <c r="B42" s="25"/>
      <c r="C42" s="25"/>
      <c r="D42" s="25"/>
      <c r="E42" s="29"/>
      <c r="F42" s="34"/>
      <c r="G42" s="29"/>
      <c r="H42" s="34"/>
      <c r="I42" s="51"/>
      <c r="J42" s="29"/>
      <c r="K42" s="29"/>
      <c r="L42" s="29"/>
      <c r="M42" s="29"/>
      <c r="N42" s="29"/>
      <c r="O42" s="29"/>
      <c r="P42" s="33"/>
      <c r="Q42" s="29"/>
      <c r="R42" s="33"/>
    </row>
    <row r="43" spans="1:18" ht="12.75">
      <c r="A43" s="30"/>
      <c r="B43" s="25" t="s">
        <v>62</v>
      </c>
      <c r="C43" s="34">
        <f>AVERAGE(H41,M41,R41)</f>
        <v>34.30825254206757</v>
      </c>
      <c r="D43" s="30"/>
      <c r="E43" s="30"/>
      <c r="F43" s="34"/>
      <c r="G43" s="30"/>
      <c r="H43" s="34"/>
      <c r="I43" s="50"/>
      <c r="J43" s="30"/>
      <c r="K43" s="30"/>
      <c r="L43" s="30"/>
      <c r="M43" s="30"/>
      <c r="N43" s="30"/>
      <c r="O43" s="30"/>
      <c r="P43" s="33"/>
      <c r="Q43" s="30"/>
      <c r="R43" s="33"/>
    </row>
    <row r="44" spans="1:18" ht="12.75">
      <c r="A44" s="25"/>
      <c r="B44" s="25" t="s">
        <v>63</v>
      </c>
      <c r="C44" s="34">
        <f>AVERAGE(G41,L41,Q41)</f>
        <v>1391.8428432418386</v>
      </c>
      <c r="D44" s="25"/>
      <c r="E44" s="33"/>
      <c r="F44" s="34"/>
      <c r="G44" s="33"/>
      <c r="H44" s="34"/>
      <c r="I44" s="37"/>
      <c r="J44" s="33"/>
      <c r="K44" s="33"/>
      <c r="L44" s="33"/>
      <c r="M44" s="33"/>
      <c r="N44" s="33"/>
      <c r="O44" s="33"/>
      <c r="P44" s="33"/>
      <c r="Q44" s="33"/>
      <c r="R44" s="33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9"/>
  <sheetViews>
    <sheetView workbookViewId="0" topLeftCell="B1">
      <selection activeCell="C16" sqref="C16"/>
    </sheetView>
  </sheetViews>
  <sheetFormatPr defaultColWidth="9.140625" defaultRowHeight="12.75"/>
  <cols>
    <col min="1" max="1" width="1.57421875" style="10" hidden="1" customWidth="1"/>
    <col min="2" max="2" width="25.57421875" style="10" customWidth="1"/>
    <col min="3" max="3" width="63.28125" style="10" customWidth="1"/>
    <col min="4" max="4" width="11.00390625" style="10" hidden="1" customWidth="1"/>
    <col min="5" max="16384" width="8.8515625" style="10" customWidth="1"/>
  </cols>
  <sheetData>
    <row r="1" spans="2:4" ht="12.75">
      <c r="B1" s="3" t="s">
        <v>77</v>
      </c>
      <c r="D1" s="10" t="s">
        <v>128</v>
      </c>
    </row>
    <row r="3" spans="2:3" ht="12.75">
      <c r="B3" s="10" t="s">
        <v>104</v>
      </c>
      <c r="C3" s="11">
        <v>495</v>
      </c>
    </row>
    <row r="4" spans="2:4" ht="12.75">
      <c r="B4" s="10" t="s">
        <v>0</v>
      </c>
      <c r="C4" s="10" t="s">
        <v>124</v>
      </c>
      <c r="D4" s="60" t="s">
        <v>129</v>
      </c>
    </row>
    <row r="5" spans="2:4" ht="12.75">
      <c r="B5" s="10" t="s">
        <v>1</v>
      </c>
      <c r="C5" s="10" t="s">
        <v>215</v>
      </c>
      <c r="D5" s="60" t="s">
        <v>129</v>
      </c>
    </row>
    <row r="6" ht="12.75">
      <c r="B6" s="10" t="s">
        <v>2</v>
      </c>
    </row>
    <row r="7" spans="2:4" ht="12.75">
      <c r="B7" s="10" t="s">
        <v>3</v>
      </c>
      <c r="C7" s="10" t="s">
        <v>125</v>
      </c>
      <c r="D7" s="10" t="s">
        <v>129</v>
      </c>
    </row>
    <row r="8" spans="2:4" ht="12.75">
      <c r="B8" s="10" t="s">
        <v>4</v>
      </c>
      <c r="C8" s="10" t="s">
        <v>126</v>
      </c>
      <c r="D8" s="10" t="s">
        <v>129</v>
      </c>
    </row>
    <row r="9" spans="2:3" ht="12.75">
      <c r="B9" s="10" t="s">
        <v>5</v>
      </c>
      <c r="C9" s="10" t="s">
        <v>216</v>
      </c>
    </row>
    <row r="10" ht="12.75">
      <c r="B10" s="10" t="s">
        <v>6</v>
      </c>
    </row>
    <row r="11" spans="2:3" ht="12.75">
      <c r="B11" s="10" t="s">
        <v>288</v>
      </c>
      <c r="C11" s="11">
        <v>0</v>
      </c>
    </row>
    <row r="12" spans="2:3" ht="12.75">
      <c r="B12" s="10" t="s">
        <v>281</v>
      </c>
      <c r="C12" s="10" t="s">
        <v>319</v>
      </c>
    </row>
    <row r="13" spans="2:4" s="41" customFormat="1" ht="12.75">
      <c r="B13" s="41" t="s">
        <v>282</v>
      </c>
      <c r="C13" s="41" t="s">
        <v>283</v>
      </c>
      <c r="D13" s="41" t="s">
        <v>130</v>
      </c>
    </row>
    <row r="14" spans="2:3" s="41" customFormat="1" ht="12.75">
      <c r="B14" s="41" t="s">
        <v>67</v>
      </c>
      <c r="C14" s="41" t="s">
        <v>127</v>
      </c>
    </row>
    <row r="15" spans="2:4" s="41" customFormat="1" ht="12.75">
      <c r="B15" s="41" t="s">
        <v>74</v>
      </c>
      <c r="C15" s="42">
        <v>100</v>
      </c>
      <c r="D15" s="41" t="s">
        <v>131</v>
      </c>
    </row>
    <row r="16" s="41" customFormat="1" ht="12.75">
      <c r="B16" s="10" t="s">
        <v>78</v>
      </c>
    </row>
    <row r="17" spans="2:4" s="41" customFormat="1" ht="12.75">
      <c r="B17" s="41" t="s">
        <v>289</v>
      </c>
      <c r="C17" s="41" t="s">
        <v>217</v>
      </c>
      <c r="D17" s="41" t="s">
        <v>134</v>
      </c>
    </row>
    <row r="18" spans="2:3" s="41" customFormat="1" ht="12.75">
      <c r="B18" s="41" t="s">
        <v>290</v>
      </c>
      <c r="C18" s="41" t="s">
        <v>291</v>
      </c>
    </row>
    <row r="19" spans="2:4" ht="25.5">
      <c r="B19" s="41" t="s">
        <v>7</v>
      </c>
      <c r="C19" s="41" t="s">
        <v>133</v>
      </c>
      <c r="D19" s="41" t="s">
        <v>135</v>
      </c>
    </row>
    <row r="20" spans="2:4" ht="12.75">
      <c r="B20" s="10" t="s">
        <v>72</v>
      </c>
      <c r="C20" s="10" t="s">
        <v>318</v>
      </c>
      <c r="D20" s="10" t="s">
        <v>130</v>
      </c>
    </row>
    <row r="21" spans="2:4" ht="25.5">
      <c r="B21" s="10" t="s">
        <v>79</v>
      </c>
      <c r="C21" s="46" t="s">
        <v>132</v>
      </c>
      <c r="D21" s="10" t="s">
        <v>129</v>
      </c>
    </row>
    <row r="22" spans="2:4" ht="12.75">
      <c r="B22" s="10" t="s">
        <v>73</v>
      </c>
      <c r="D22" s="10" t="s">
        <v>137</v>
      </c>
    </row>
    <row r="23" ht="12.75" customHeight="1">
      <c r="C23" s="10" t="s">
        <v>136</v>
      </c>
    </row>
    <row r="24" spans="2:3" ht="12.75">
      <c r="B24" s="10" t="s">
        <v>8</v>
      </c>
      <c r="C24" s="11"/>
    </row>
    <row r="25" spans="2:4" ht="12.75">
      <c r="B25" s="10" t="s">
        <v>9</v>
      </c>
      <c r="C25" s="45">
        <f>54/12</f>
        <v>4.5</v>
      </c>
      <c r="D25" s="10" t="s">
        <v>138</v>
      </c>
    </row>
    <row r="26" spans="2:4" ht="12.75">
      <c r="B26" s="10" t="s">
        <v>10</v>
      </c>
      <c r="C26" s="11">
        <f>(214+236.5+540)/12</f>
        <v>82.54166666666667</v>
      </c>
      <c r="D26" s="10" t="s">
        <v>138</v>
      </c>
    </row>
    <row r="27" spans="2:4" ht="12.75">
      <c r="B27" s="10" t="s">
        <v>75</v>
      </c>
      <c r="C27" s="12">
        <f>(29897/60/(1-0.243)*((C28+460)/(70+460)))/(C25*C25*3.14159/4)</f>
        <v>47.47813479813463</v>
      </c>
      <c r="D27" s="10" t="s">
        <v>139</v>
      </c>
    </row>
    <row r="28" spans="2:4" ht="14.25" customHeight="1">
      <c r="B28" s="10" t="s">
        <v>76</v>
      </c>
      <c r="C28" s="11">
        <v>148</v>
      </c>
      <c r="D28" s="10" t="s">
        <v>139</v>
      </c>
    </row>
    <row r="29" ht="12" customHeight="1"/>
    <row r="30" ht="12.75">
      <c r="B30" s="10" t="s">
        <v>11</v>
      </c>
    </row>
    <row r="31" ht="12.75">
      <c r="B31" s="10" t="s">
        <v>91</v>
      </c>
    </row>
    <row r="54" ht="12.75" hidden="1">
      <c r="B54" s="10" t="s">
        <v>221</v>
      </c>
    </row>
    <row r="55" ht="15">
      <c r="B55" s="89"/>
    </row>
    <row r="56" s="78" customFormat="1" ht="11.25" hidden="1">
      <c r="B56" s="90" t="s">
        <v>229</v>
      </c>
    </row>
    <row r="57" s="78" customFormat="1" ht="11.25" hidden="1">
      <c r="B57" s="90" t="s">
        <v>241</v>
      </c>
    </row>
    <row r="58" s="78" customFormat="1" ht="11.25" hidden="1">
      <c r="B58" s="90" t="s">
        <v>230</v>
      </c>
    </row>
    <row r="59" s="78" customFormat="1" ht="11.25" hidden="1">
      <c r="B59" s="90" t="s">
        <v>231</v>
      </c>
    </row>
    <row r="60" s="78" customFormat="1" ht="11.25" hidden="1">
      <c r="B60" s="90" t="s">
        <v>232</v>
      </c>
    </row>
    <row r="61" s="78" customFormat="1" ht="11.25" hidden="1">
      <c r="B61" s="90" t="s">
        <v>233</v>
      </c>
    </row>
    <row r="62" s="78" customFormat="1" ht="11.25" hidden="1">
      <c r="B62" s="90" t="s">
        <v>234</v>
      </c>
    </row>
    <row r="63" s="78" customFormat="1" ht="11.25" hidden="1">
      <c r="B63" s="90" t="s">
        <v>235</v>
      </c>
    </row>
    <row r="64" s="78" customFormat="1" ht="11.25" hidden="1">
      <c r="B64" s="90" t="s">
        <v>236</v>
      </c>
    </row>
    <row r="65" s="78" customFormat="1" ht="11.25" hidden="1">
      <c r="B65" s="90" t="s">
        <v>237</v>
      </c>
    </row>
    <row r="66" s="78" customFormat="1" ht="11.25" hidden="1">
      <c r="B66" s="90" t="s">
        <v>238</v>
      </c>
    </row>
    <row r="67" s="78" customFormat="1" ht="11.25" hidden="1">
      <c r="B67" s="90" t="s">
        <v>239</v>
      </c>
    </row>
    <row r="68" s="78" customFormat="1" ht="11.25" hidden="1">
      <c r="B68" s="90" t="s">
        <v>240</v>
      </c>
    </row>
    <row r="69" ht="15">
      <c r="B69" s="8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1">
      <selection activeCell="C16" sqref="C16"/>
    </sheetView>
  </sheetViews>
  <sheetFormatPr defaultColWidth="9.140625" defaultRowHeight="12.75"/>
  <cols>
    <col min="1" max="1" width="2.140625" style="0" hidden="1" customWidth="1"/>
    <col min="2" max="2" width="22.7109375" style="0" customWidth="1"/>
    <col min="3" max="3" width="59.421875" style="79" customWidth="1"/>
  </cols>
  <sheetData>
    <row r="1" ht="12.75">
      <c r="B1" s="3" t="s">
        <v>280</v>
      </c>
    </row>
    <row r="3" spans="2:12" s="1" customFormat="1" ht="12.75">
      <c r="B3" s="3" t="s">
        <v>222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1" customFormat="1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s="1" customFormat="1" ht="12.75">
      <c r="B5" s="52" t="s">
        <v>242</v>
      </c>
      <c r="C5" s="46" t="s">
        <v>218</v>
      </c>
      <c r="D5" s="10"/>
      <c r="E5" s="10"/>
      <c r="F5" s="10"/>
      <c r="G5" s="10"/>
      <c r="H5" s="10"/>
      <c r="I5" s="10"/>
      <c r="J5" s="10"/>
      <c r="K5" s="10"/>
      <c r="L5" s="10"/>
    </row>
    <row r="6" spans="2:12" s="1" customFormat="1" ht="12.75">
      <c r="B6" s="10" t="s">
        <v>243</v>
      </c>
      <c r="C6" s="10" t="s">
        <v>208</v>
      </c>
      <c r="D6" s="10"/>
      <c r="E6" s="10"/>
      <c r="F6" s="10"/>
      <c r="G6" s="10"/>
      <c r="H6" s="10"/>
      <c r="I6" s="10"/>
      <c r="J6" s="10"/>
      <c r="K6" s="10"/>
      <c r="L6" s="10"/>
    </row>
    <row r="7" spans="2:12" s="1" customFormat="1" ht="12.75">
      <c r="B7" s="10" t="s">
        <v>244</v>
      </c>
      <c r="C7" s="10" t="s">
        <v>209</v>
      </c>
      <c r="D7" s="10"/>
      <c r="E7" s="10"/>
      <c r="F7" s="10"/>
      <c r="G7" s="10"/>
      <c r="H7" s="10"/>
      <c r="I7" s="10"/>
      <c r="J7" s="10"/>
      <c r="K7" s="10"/>
      <c r="L7" s="10"/>
    </row>
    <row r="8" spans="2:12" s="1" customFormat="1" ht="12.75">
      <c r="B8" s="10" t="s">
        <v>245</v>
      </c>
      <c r="C8" s="13" t="s">
        <v>227</v>
      </c>
      <c r="D8" s="10"/>
      <c r="E8" s="10"/>
      <c r="F8" s="10"/>
      <c r="G8" s="10"/>
      <c r="H8" s="10"/>
      <c r="I8" s="10"/>
      <c r="J8" s="10"/>
      <c r="K8" s="10"/>
      <c r="L8" s="10"/>
    </row>
    <row r="9" spans="2:12" s="1" customFormat="1" ht="12.75">
      <c r="B9" s="10" t="s">
        <v>292</v>
      </c>
      <c r="C9" s="93">
        <v>35753</v>
      </c>
      <c r="D9" s="10"/>
      <c r="E9" s="10"/>
      <c r="F9" s="10"/>
      <c r="G9" s="10"/>
      <c r="H9" s="10"/>
      <c r="I9" s="10"/>
      <c r="J9" s="10"/>
      <c r="K9" s="10"/>
      <c r="L9" s="10"/>
    </row>
    <row r="10" spans="2:12" s="1" customFormat="1" ht="12.75">
      <c r="B10" s="10" t="s">
        <v>246</v>
      </c>
      <c r="C10" s="10" t="s">
        <v>219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2:12" s="1" customFormat="1" ht="25.5">
      <c r="B11" s="52" t="s">
        <v>247</v>
      </c>
      <c r="C11" s="47" t="s">
        <v>213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2:12" s="1" customFormat="1" ht="12.75">
      <c r="B12" s="52"/>
      <c r="C12" s="47"/>
      <c r="D12" s="10"/>
      <c r="E12" s="10"/>
      <c r="F12" s="10"/>
      <c r="G12" s="10"/>
      <c r="H12" s="10"/>
      <c r="I12" s="10"/>
      <c r="J12" s="10"/>
      <c r="K12" s="10"/>
      <c r="L12" s="10"/>
    </row>
    <row r="13" spans="2:12" s="1" customFormat="1" ht="12.75">
      <c r="B13" s="3" t="s">
        <v>223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s="1" customFormat="1" ht="12.75"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s="1" customFormat="1" ht="12.75">
      <c r="B15" s="52" t="s">
        <v>242</v>
      </c>
      <c r="C15" s="46" t="s">
        <v>218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2:12" s="1" customFormat="1" ht="12.75">
      <c r="B16" s="10" t="s">
        <v>243</v>
      </c>
      <c r="C16" s="10" t="s">
        <v>208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2:12" s="1" customFormat="1" ht="12.75">
      <c r="B17" s="10" t="s">
        <v>244</v>
      </c>
      <c r="C17" s="10" t="s">
        <v>209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2:12" s="1" customFormat="1" ht="12.75">
      <c r="B18" s="10" t="s">
        <v>245</v>
      </c>
      <c r="C18" s="13" t="s">
        <v>228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2:12" s="1" customFormat="1" ht="12.75">
      <c r="B19" s="10" t="s">
        <v>292</v>
      </c>
      <c r="C19" s="93">
        <v>35754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2:12" s="1" customFormat="1" ht="12.75">
      <c r="B20" s="10" t="s">
        <v>246</v>
      </c>
      <c r="C20" s="10" t="s">
        <v>220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2:12" s="1" customFormat="1" ht="12.75">
      <c r="B21" s="52" t="s">
        <v>247</v>
      </c>
      <c r="C21" s="47" t="s">
        <v>214</v>
      </c>
      <c r="D21" s="10"/>
      <c r="E21" s="10"/>
      <c r="F21" s="10"/>
      <c r="G21" s="10"/>
      <c r="H21" s="10"/>
      <c r="I21" s="10"/>
      <c r="J21" s="10"/>
      <c r="K21" s="10"/>
      <c r="L21" s="10"/>
    </row>
    <row r="23" ht="12.75">
      <c r="B23" s="3" t="s">
        <v>248</v>
      </c>
    </row>
    <row r="25" spans="2:3" s="80" customFormat="1" ht="25.5">
      <c r="B25" s="80" t="s">
        <v>242</v>
      </c>
      <c r="C25" s="81" t="s">
        <v>249</v>
      </c>
    </row>
    <row r="26" spans="2:3" ht="12.75">
      <c r="B26" t="s">
        <v>243</v>
      </c>
      <c r="C26" s="79" t="s">
        <v>250</v>
      </c>
    </row>
    <row r="27" spans="2:3" ht="12.75">
      <c r="B27" t="s">
        <v>244</v>
      </c>
      <c r="C27" s="79" t="s">
        <v>250</v>
      </c>
    </row>
    <row r="28" spans="1:3" ht="12.75">
      <c r="A28" t="s">
        <v>248</v>
      </c>
      <c r="B28" t="s">
        <v>251</v>
      </c>
      <c r="C28" s="79" t="s">
        <v>293</v>
      </c>
    </row>
    <row r="29" spans="1:3" ht="12.75">
      <c r="A29" t="s">
        <v>248</v>
      </c>
      <c r="B29" t="s">
        <v>245</v>
      </c>
      <c r="C29" s="79" t="s">
        <v>252</v>
      </c>
    </row>
    <row r="30" spans="2:3" ht="12.75">
      <c r="B30" t="s">
        <v>292</v>
      </c>
      <c r="C30" s="94">
        <v>32153</v>
      </c>
    </row>
    <row r="32" ht="12.75">
      <c r="B32" s="3" t="s">
        <v>253</v>
      </c>
    </row>
    <row r="34" spans="2:3" s="80" customFormat="1" ht="25.5">
      <c r="B34" s="80" t="s">
        <v>242</v>
      </c>
      <c r="C34" s="81" t="s">
        <v>249</v>
      </c>
    </row>
    <row r="35" spans="2:3" ht="12.75">
      <c r="B35" t="s">
        <v>243</v>
      </c>
      <c r="C35" s="79" t="s">
        <v>250</v>
      </c>
    </row>
    <row r="36" spans="2:3" ht="12.75">
      <c r="B36" t="s">
        <v>244</v>
      </c>
      <c r="C36" s="79" t="s">
        <v>250</v>
      </c>
    </row>
    <row r="37" spans="1:3" ht="12.75">
      <c r="A37" t="s">
        <v>253</v>
      </c>
      <c r="B37" t="s">
        <v>251</v>
      </c>
      <c r="C37" s="79" t="s">
        <v>294</v>
      </c>
    </row>
    <row r="38" spans="1:3" ht="12.75">
      <c r="A38" t="s">
        <v>253</v>
      </c>
      <c r="B38" t="s">
        <v>245</v>
      </c>
      <c r="C38" s="79" t="s">
        <v>254</v>
      </c>
    </row>
    <row r="39" spans="2:3" ht="12.75">
      <c r="B39" t="s">
        <v>292</v>
      </c>
      <c r="C39" s="94">
        <v>32153</v>
      </c>
    </row>
    <row r="41" ht="12.75">
      <c r="B41" s="3" t="s">
        <v>255</v>
      </c>
    </row>
    <row r="43" spans="2:3" s="80" customFormat="1" ht="25.5">
      <c r="B43" s="80" t="s">
        <v>242</v>
      </c>
      <c r="C43" s="81" t="s">
        <v>249</v>
      </c>
    </row>
    <row r="44" spans="2:3" ht="12.75">
      <c r="B44" t="s">
        <v>243</v>
      </c>
      <c r="C44" s="79" t="s">
        <v>250</v>
      </c>
    </row>
    <row r="45" spans="2:3" ht="12.75">
      <c r="B45" t="s">
        <v>244</v>
      </c>
      <c r="C45" s="79" t="s">
        <v>250</v>
      </c>
    </row>
    <row r="46" spans="1:3" ht="12.75">
      <c r="A46" t="s">
        <v>255</v>
      </c>
      <c r="B46" t="s">
        <v>251</v>
      </c>
      <c r="C46" s="79" t="s">
        <v>295</v>
      </c>
    </row>
    <row r="47" spans="1:3" ht="12.75">
      <c r="A47" t="s">
        <v>255</v>
      </c>
      <c r="B47" t="s">
        <v>245</v>
      </c>
      <c r="C47" s="79" t="s">
        <v>256</v>
      </c>
    </row>
    <row r="48" spans="2:3" ht="12.75">
      <c r="B48" t="s">
        <v>292</v>
      </c>
      <c r="C48" s="94">
        <v>32157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B93">
      <selection activeCell="C16" sqref="C16"/>
    </sheetView>
  </sheetViews>
  <sheetFormatPr defaultColWidth="9.140625" defaultRowHeight="12.75"/>
  <cols>
    <col min="1" max="1" width="1.421875" style="15" hidden="1" customWidth="1"/>
    <col min="2" max="2" width="19.421875" style="15" customWidth="1"/>
    <col min="3" max="3" width="19.28125" style="15" bestFit="1" customWidth="1"/>
    <col min="4" max="4" width="8.8515625" style="5" customWidth="1"/>
    <col min="5" max="5" width="6.140625" style="5" customWidth="1"/>
    <col min="6" max="6" width="4.421875" style="5" customWidth="1"/>
    <col min="7" max="7" width="9.28125" style="15" customWidth="1"/>
    <col min="8" max="8" width="4.00390625" style="15" customWidth="1"/>
    <col min="9" max="9" width="11.00390625" style="16" customWidth="1"/>
    <col min="10" max="10" width="4.140625" style="15" customWidth="1"/>
    <col min="11" max="11" width="10.8515625" style="15" customWidth="1"/>
    <col min="12" max="12" width="4.140625" style="15" customWidth="1"/>
    <col min="13" max="13" width="8.421875" style="15" customWidth="1"/>
    <col min="14" max="14" width="2.140625" style="15" customWidth="1"/>
    <col min="15" max="16384" width="8.8515625" style="15" customWidth="1"/>
  </cols>
  <sheetData>
    <row r="1" spans="2:3" ht="12.75">
      <c r="B1" s="14" t="s">
        <v>284</v>
      </c>
      <c r="C1" s="14"/>
    </row>
    <row r="2" spans="2:12" ht="12.75">
      <c r="B2" s="17"/>
      <c r="C2" s="17"/>
      <c r="G2" s="17"/>
      <c r="H2" s="17"/>
      <c r="I2" s="18"/>
      <c r="J2" s="17"/>
      <c r="K2" s="17"/>
      <c r="L2" s="17"/>
    </row>
    <row r="3" spans="2:5" ht="12.75">
      <c r="B3" s="10"/>
      <c r="C3" s="10" t="s">
        <v>85</v>
      </c>
      <c r="D3" s="5" t="s">
        <v>12</v>
      </c>
      <c r="E3" s="5" t="s">
        <v>68</v>
      </c>
    </row>
    <row r="4" spans="2:12" ht="12.75">
      <c r="B4" s="10"/>
      <c r="C4" s="10"/>
      <c r="G4" s="17"/>
      <c r="H4" s="17"/>
      <c r="I4" s="18"/>
      <c r="J4" s="17"/>
      <c r="K4" s="17"/>
      <c r="L4" s="17"/>
    </row>
    <row r="5" spans="2:12" ht="12.75">
      <c r="B5" s="10"/>
      <c r="C5" s="10"/>
      <c r="G5" s="17"/>
      <c r="H5" s="17"/>
      <c r="I5" s="18"/>
      <c r="J5" s="17"/>
      <c r="K5" s="17"/>
      <c r="L5" s="17"/>
    </row>
    <row r="6" spans="1:13" ht="12.75">
      <c r="A6" s="15">
        <v>1</v>
      </c>
      <c r="B6" s="19" t="s">
        <v>222</v>
      </c>
      <c r="C6" s="19" t="s">
        <v>140</v>
      </c>
      <c r="G6" s="17" t="s">
        <v>257</v>
      </c>
      <c r="H6" s="17"/>
      <c r="I6" s="18" t="s">
        <v>258</v>
      </c>
      <c r="J6" s="17"/>
      <c r="K6" s="17" t="s">
        <v>259</v>
      </c>
      <c r="L6" s="17"/>
      <c r="M6" s="15" t="s">
        <v>47</v>
      </c>
    </row>
    <row r="7" spans="2:12" ht="12.75">
      <c r="B7" s="5"/>
      <c r="C7" s="5"/>
      <c r="D7" s="10"/>
      <c r="E7" s="10"/>
      <c r="F7" s="10"/>
      <c r="G7" s="10"/>
      <c r="H7" s="10"/>
      <c r="I7" s="20"/>
      <c r="J7" s="10"/>
      <c r="K7" s="10"/>
      <c r="L7" s="10"/>
    </row>
    <row r="8" spans="2:13" ht="12.75">
      <c r="B8" s="5" t="s">
        <v>116</v>
      </c>
      <c r="C8" s="5" t="s">
        <v>297</v>
      </c>
      <c r="D8" s="10" t="s">
        <v>16</v>
      </c>
      <c r="E8" s="10" t="s">
        <v>15</v>
      </c>
      <c r="F8"/>
      <c r="G8">
        <v>75.1</v>
      </c>
      <c r="H8"/>
      <c r="I8">
        <v>92.8</v>
      </c>
      <c r="J8"/>
      <c r="K8">
        <v>99.8</v>
      </c>
      <c r="L8"/>
      <c r="M8" s="55">
        <f>AVERAGE(K8,I8,G8)</f>
        <v>89.23333333333333</v>
      </c>
    </row>
    <row r="9" spans="2:13" ht="12.75">
      <c r="B9" s="5" t="s">
        <v>142</v>
      </c>
      <c r="C9" s="5"/>
      <c r="D9" s="10" t="s">
        <v>16</v>
      </c>
      <c r="E9" s="10"/>
      <c r="F9"/>
      <c r="G9">
        <v>76.6</v>
      </c>
      <c r="H9"/>
      <c r="I9">
        <v>79.3</v>
      </c>
      <c r="J9"/>
      <c r="K9">
        <v>79</v>
      </c>
      <c r="L9"/>
      <c r="M9" s="55">
        <f>AVERAGE(K9,I9,G9)</f>
        <v>78.3</v>
      </c>
    </row>
    <row r="10" spans="2:13" ht="12.75">
      <c r="B10" s="5" t="s">
        <v>143</v>
      </c>
      <c r="C10" s="5"/>
      <c r="D10" s="10" t="s">
        <v>16</v>
      </c>
      <c r="E10" s="10"/>
      <c r="F10"/>
      <c r="G10">
        <v>0.2</v>
      </c>
      <c r="H10"/>
      <c r="I10">
        <v>0</v>
      </c>
      <c r="J10"/>
      <c r="K10">
        <v>0</v>
      </c>
      <c r="L10"/>
      <c r="M10" s="54">
        <f>AVERAGE(K10,I10,G10)</f>
        <v>0.06666666666666667</v>
      </c>
    </row>
    <row r="11" spans="2:13" ht="12.75">
      <c r="B11" s="5" t="s">
        <v>66</v>
      </c>
      <c r="C11" s="5"/>
      <c r="D11" s="10" t="s">
        <v>18</v>
      </c>
      <c r="E11" s="10"/>
      <c r="F11"/>
      <c r="G11" s="61">
        <v>0.1397</v>
      </c>
      <c r="H11"/>
      <c r="I11" s="61">
        <v>0.139</v>
      </c>
      <c r="J11"/>
      <c r="K11" s="61">
        <v>0.1378</v>
      </c>
      <c r="L11"/>
      <c r="M11" s="62">
        <f>AVERAGE(K11,I11,G11)</f>
        <v>0.13883333333333334</v>
      </c>
    </row>
    <row r="12" spans="2:13" ht="12.75">
      <c r="B12" s="5" t="s">
        <v>144</v>
      </c>
      <c r="C12" s="5"/>
      <c r="D12" s="10" t="s">
        <v>18</v>
      </c>
      <c r="E12" s="10"/>
      <c r="F12"/>
      <c r="G12" s="61">
        <v>0.0573</v>
      </c>
      <c r="H12"/>
      <c r="I12" s="61">
        <v>0.0579</v>
      </c>
      <c r="J12"/>
      <c r="K12" s="61">
        <v>0.0574</v>
      </c>
      <c r="L12"/>
      <c r="M12" s="62">
        <f>AVERAGE(K12,I12,G12)</f>
        <v>0.05753333333333333</v>
      </c>
    </row>
    <row r="13" spans="2:13" ht="12.75">
      <c r="B13" s="5"/>
      <c r="C13" s="5"/>
      <c r="D13" s="10"/>
      <c r="E13" s="10"/>
      <c r="F13"/>
      <c r="G13"/>
      <c r="H13"/>
      <c r="I13"/>
      <c r="J13"/>
      <c r="K13"/>
      <c r="L13"/>
      <c r="M13" s="55"/>
    </row>
    <row r="14" spans="2:12" ht="12.75">
      <c r="B14" s="5"/>
      <c r="C14" s="5"/>
      <c r="D14" s="10"/>
      <c r="E14" s="10"/>
      <c r="F14"/>
      <c r="G14"/>
      <c r="H14"/>
      <c r="I14"/>
      <c r="J14"/>
      <c r="K14"/>
      <c r="L14"/>
    </row>
    <row r="15" spans="2:13" ht="12.75">
      <c r="B15" s="5" t="s">
        <v>13</v>
      </c>
      <c r="C15" s="5" t="s">
        <v>297</v>
      </c>
      <c r="D15" s="5" t="s">
        <v>14</v>
      </c>
      <c r="E15" s="5" t="s">
        <v>15</v>
      </c>
      <c r="F15"/>
      <c r="G15" s="70">
        <v>0.0044</v>
      </c>
      <c r="H15" s="70"/>
      <c r="I15" s="70">
        <v>0.0028</v>
      </c>
      <c r="J15" s="70"/>
      <c r="K15" s="70">
        <v>0.0023</v>
      </c>
      <c r="L15" s="70"/>
      <c r="M15" s="70">
        <f>AVERAGE(K15,I15,G15)</f>
        <v>0.003166666666666667</v>
      </c>
    </row>
    <row r="16" spans="2:13" ht="12.75">
      <c r="B16" s="5"/>
      <c r="C16" s="5"/>
      <c r="F16"/>
      <c r="G16"/>
      <c r="H16"/>
      <c r="I16"/>
      <c r="J16"/>
      <c r="K16"/>
      <c r="L16"/>
      <c r="M16" s="53"/>
    </row>
    <row r="17" spans="2:13" ht="12.75">
      <c r="B17" s="5" t="s">
        <v>50</v>
      </c>
      <c r="C17" s="5"/>
      <c r="D17" s="5" t="s">
        <v>53</v>
      </c>
      <c r="F17" t="s">
        <v>101</v>
      </c>
      <c r="G17" s="70">
        <v>0.0031</v>
      </c>
      <c r="H17"/>
      <c r="I17" s="59">
        <v>0.134</v>
      </c>
      <c r="J17" t="s">
        <v>101</v>
      </c>
      <c r="K17" s="68">
        <v>0.0036</v>
      </c>
      <c r="L17"/>
      <c r="M17" s="59">
        <f>AVERAGE(G17,I17,K17)</f>
        <v>0.0469</v>
      </c>
    </row>
    <row r="18" spans="2:13" ht="12.75">
      <c r="B18" s="5" t="s">
        <v>51</v>
      </c>
      <c r="C18" s="5"/>
      <c r="D18" s="5" t="s">
        <v>53</v>
      </c>
      <c r="F18" t="s">
        <v>101</v>
      </c>
      <c r="G18" s="70">
        <v>0.0017</v>
      </c>
      <c r="H18" s="70" t="s">
        <v>101</v>
      </c>
      <c r="I18" s="70">
        <v>0.0022</v>
      </c>
      <c r="J18" s="70" t="s">
        <v>101</v>
      </c>
      <c r="K18" s="70">
        <v>0.0018</v>
      </c>
      <c r="L18" s="70"/>
      <c r="M18" s="70">
        <f>AVERAGE(G18,I18,K18)</f>
        <v>0.0019</v>
      </c>
    </row>
    <row r="19" spans="2:13" ht="12.75">
      <c r="B19" s="5"/>
      <c r="C19" s="5"/>
      <c r="F19"/>
      <c r="G19"/>
      <c r="H19"/>
      <c r="I19"/>
      <c r="J19"/>
      <c r="K19"/>
      <c r="L19"/>
      <c r="M19" s="53"/>
    </row>
    <row r="20" spans="2:13" ht="12.75">
      <c r="B20" s="5" t="s">
        <v>50</v>
      </c>
      <c r="C20" s="5" t="s">
        <v>297</v>
      </c>
      <c r="D20" s="5" t="s">
        <v>16</v>
      </c>
      <c r="E20" s="5" t="s">
        <v>15</v>
      </c>
      <c r="F20" t="s">
        <v>101</v>
      </c>
      <c r="G20" s="59">
        <f>G17/36.5*386.7/60/G$36*1000000*(21-7)/(21-G$37)</f>
        <v>0.03179974580939871</v>
      </c>
      <c r="H20" s="59"/>
      <c r="I20" s="59">
        <f>I17/36.5*386.7/60/I$36*1000000*(21-7)/(21-I$37)</f>
        <v>1.3522602178838925</v>
      </c>
      <c r="J20" s="59" t="s">
        <v>101</v>
      </c>
      <c r="K20" s="59">
        <f>K17/36.5*386.7/60/K$36*1000000*(21-7)/(21-K$37)</f>
        <v>0.03700178610269286</v>
      </c>
      <c r="L20">
        <v>100</v>
      </c>
      <c r="M20" s="59">
        <f>AVERAGE(G20,I20,K20)</f>
        <v>0.4736872499319947</v>
      </c>
    </row>
    <row r="21" spans="2:13" ht="12.75">
      <c r="B21" s="5" t="s">
        <v>51</v>
      </c>
      <c r="C21" s="5" t="s">
        <v>297</v>
      </c>
      <c r="D21" s="5" t="s">
        <v>16</v>
      </c>
      <c r="E21" s="5" t="s">
        <v>15</v>
      </c>
      <c r="F21" t="s">
        <v>101</v>
      </c>
      <c r="G21" s="59">
        <f>G18/71*386.7/60/G$36*1000000*(21-7)/(21-G$37)</f>
        <v>0.00896489880723848</v>
      </c>
      <c r="H21" s="59" t="s">
        <v>101</v>
      </c>
      <c r="I21" s="59">
        <f>I18/71*386.7/60/I$36*1000000*(21-7)/(21-I$37)</f>
        <v>0.011413337764985976</v>
      </c>
      <c r="J21" s="59" t="s">
        <v>101</v>
      </c>
      <c r="K21" s="59">
        <f>K18/71*386.7/60/K$36*1000000*(21-7)/(21-K$37)</f>
        <v>0.009511022484142883</v>
      </c>
      <c r="L21">
        <v>100</v>
      </c>
      <c r="M21" s="59">
        <f>AVERAGE(G21,I21,K21)</f>
        <v>0.009963086352122447</v>
      </c>
    </row>
    <row r="22" spans="2:13" ht="12.75">
      <c r="B22" s="5" t="s">
        <v>103</v>
      </c>
      <c r="C22" s="5" t="s">
        <v>297</v>
      </c>
      <c r="D22" s="5" t="s">
        <v>16</v>
      </c>
      <c r="E22" s="5" t="s">
        <v>15</v>
      </c>
      <c r="F22">
        <v>100</v>
      </c>
      <c r="G22" s="59">
        <f>G20+2*G21</f>
        <v>0.04972954342387567</v>
      </c>
      <c r="H22">
        <v>100</v>
      </c>
      <c r="I22" s="59">
        <f>I20+2*I21</f>
        <v>1.3750868934138645</v>
      </c>
      <c r="J22">
        <v>100</v>
      </c>
      <c r="K22" s="59">
        <f>K20+2*K21</f>
        <v>0.05602383107097863</v>
      </c>
      <c r="L22">
        <v>100</v>
      </c>
      <c r="M22" s="59">
        <f>AVERAGE(G22,I22,K22)</f>
        <v>0.4936134226362396</v>
      </c>
    </row>
    <row r="23" spans="2:13" ht="12.75">
      <c r="B23" s="5"/>
      <c r="C23" s="5"/>
      <c r="F23"/>
      <c r="G23"/>
      <c r="H23"/>
      <c r="I23"/>
      <c r="J23"/>
      <c r="K23"/>
      <c r="L23"/>
      <c r="M23" s="2"/>
    </row>
    <row r="24" spans="2:13" ht="12.75">
      <c r="B24" s="5" t="s">
        <v>118</v>
      </c>
      <c r="C24" s="5" t="s">
        <v>145</v>
      </c>
      <c r="G24" s="21"/>
      <c r="H24" s="21"/>
      <c r="I24" s="22"/>
      <c r="J24" s="21"/>
      <c r="K24" s="21"/>
      <c r="M24" s="54"/>
    </row>
    <row r="25" spans="2:13" ht="12.75">
      <c r="B25" s="5" t="s">
        <v>119</v>
      </c>
      <c r="C25" s="5"/>
      <c r="D25" s="5" t="s">
        <v>53</v>
      </c>
      <c r="G25" s="71">
        <f>AVERAGE(29.43,29.48,29.13)</f>
        <v>29.346666666666664</v>
      </c>
      <c r="H25" s="71"/>
      <c r="I25" s="71">
        <f>AVERAGE(29.15,29.17,29.14)</f>
        <v>29.153333333333336</v>
      </c>
      <c r="J25" s="71"/>
      <c r="K25" s="71">
        <f>AVERAGE(29.11,29.13,29.08)</f>
        <v>29.106666666666666</v>
      </c>
      <c r="M25" s="54"/>
    </row>
    <row r="26" spans="2:13" ht="12.75">
      <c r="B26" s="5" t="s">
        <v>120</v>
      </c>
      <c r="C26" s="5" t="s">
        <v>303</v>
      </c>
      <c r="D26" s="5" t="s">
        <v>53</v>
      </c>
      <c r="F26" s="5" t="s">
        <v>101</v>
      </c>
      <c r="G26" s="56">
        <f>AVERAGE(0.00015,0.00015,0.00015)</f>
        <v>0.00015</v>
      </c>
      <c r="H26" s="5" t="s">
        <v>101</v>
      </c>
      <c r="I26" s="56">
        <f>AVERAGE(0.00015,0.00015,0.00015)</f>
        <v>0.00015</v>
      </c>
      <c r="J26" s="5"/>
      <c r="K26" s="56">
        <f>AVERAGE(0.00029,0.00015,0.00018)</f>
        <v>0.00020666666666666666</v>
      </c>
      <c r="L26" s="5"/>
      <c r="M26" s="23"/>
    </row>
    <row r="27" spans="2:13" ht="12.75">
      <c r="B27" s="5" t="s">
        <v>52</v>
      </c>
      <c r="C27" s="5" t="s">
        <v>303</v>
      </c>
      <c r="D27" s="5" t="s">
        <v>18</v>
      </c>
      <c r="F27" s="5" t="s">
        <v>121</v>
      </c>
      <c r="G27" s="63">
        <f>(G25-G26)/G25*100</f>
        <v>99.99948886869603</v>
      </c>
      <c r="H27" s="64" t="s">
        <v>121</v>
      </c>
      <c r="I27" s="63">
        <f>(I25-I26)/I25*100</f>
        <v>99.99948547907614</v>
      </c>
      <c r="J27" s="64"/>
      <c r="K27" s="63">
        <f>(K25-K26)/K25*100</f>
        <v>99.99928996793403</v>
      </c>
      <c r="L27" s="5"/>
      <c r="M27" s="21"/>
    </row>
    <row r="28" spans="2:13" ht="12.75">
      <c r="B28" s="5"/>
      <c r="C28" s="5"/>
      <c r="G28" s="63"/>
      <c r="H28" s="64"/>
      <c r="I28" s="63"/>
      <c r="J28" s="64"/>
      <c r="K28" s="63"/>
      <c r="L28" s="5"/>
      <c r="M28" s="21"/>
    </row>
    <row r="29" spans="2:13" ht="12.75">
      <c r="B29" s="5" t="s">
        <v>118</v>
      </c>
      <c r="C29" s="5" t="s">
        <v>146</v>
      </c>
      <c r="G29" s="21"/>
      <c r="H29" s="21"/>
      <c r="I29" s="22"/>
      <c r="J29" s="21"/>
      <c r="K29" s="21"/>
      <c r="M29" s="54"/>
    </row>
    <row r="30" spans="2:13" ht="12.75">
      <c r="B30" s="5" t="s">
        <v>119</v>
      </c>
      <c r="C30" s="5"/>
      <c r="D30" s="5" t="s">
        <v>53</v>
      </c>
      <c r="G30" s="72">
        <f>AVERAGE(29.92,30.03,29.99)</f>
        <v>29.98</v>
      </c>
      <c r="H30" s="72"/>
      <c r="I30" s="72">
        <f>AVERAGE(30.01,30,29.98)</f>
        <v>29.99666666666667</v>
      </c>
      <c r="J30" s="72"/>
      <c r="K30" s="72">
        <f>AVERAGE(30.16,30.01,30.01)</f>
        <v>30.060000000000002</v>
      </c>
      <c r="M30" s="54"/>
    </row>
    <row r="31" spans="2:13" ht="12.75">
      <c r="B31" s="5" t="s">
        <v>120</v>
      </c>
      <c r="C31" s="5" t="s">
        <v>303</v>
      </c>
      <c r="D31" s="5" t="s">
        <v>53</v>
      </c>
      <c r="F31" s="5" t="s">
        <v>101</v>
      </c>
      <c r="G31" s="56">
        <f>AVERAGE(0.00034,0.00015,0.00015)</f>
        <v>0.0002133333333333333</v>
      </c>
      <c r="H31" s="5"/>
      <c r="I31" s="56">
        <f>AVERAGE(0.00039,0.00026,0.0003)</f>
        <v>0.00031666666666666665</v>
      </c>
      <c r="J31" s="5"/>
      <c r="K31" s="56">
        <f>AVERAGE(0.00084,0.00039,0.00036)</f>
        <v>0.00053</v>
      </c>
      <c r="L31" s="5"/>
      <c r="M31" s="23"/>
    </row>
    <row r="32" spans="2:13" ht="12.75">
      <c r="B32" s="5" t="s">
        <v>52</v>
      </c>
      <c r="C32" s="5" t="s">
        <v>303</v>
      </c>
      <c r="D32" s="5" t="s">
        <v>18</v>
      </c>
      <c r="F32" s="5" t="s">
        <v>121</v>
      </c>
      <c r="G32" s="63">
        <f>(G30-G31)/G30*100</f>
        <v>99.99928841449855</v>
      </c>
      <c r="H32" s="64"/>
      <c r="I32" s="63">
        <f>(I30-I31)/I30*100</f>
        <v>99.99894432714747</v>
      </c>
      <c r="J32" s="64"/>
      <c r="K32" s="63">
        <f>(K30-K31)/K30*100</f>
        <v>99.9982368596141</v>
      </c>
      <c r="L32" s="5"/>
      <c r="M32" s="21"/>
    </row>
    <row r="33" spans="2:13" ht="12.75">
      <c r="B33" s="5"/>
      <c r="C33" s="5"/>
      <c r="F33"/>
      <c r="G33"/>
      <c r="H33"/>
      <c r="I33"/>
      <c r="J33"/>
      <c r="K33"/>
      <c r="L33"/>
      <c r="M33" s="2"/>
    </row>
    <row r="34" spans="2:13" ht="12.75">
      <c r="B34" s="5"/>
      <c r="C34" s="5"/>
      <c r="F34"/>
      <c r="G34"/>
      <c r="H34"/>
      <c r="I34"/>
      <c r="J34"/>
      <c r="K34"/>
      <c r="L34"/>
      <c r="M34"/>
    </row>
    <row r="35" spans="2:13" ht="12.75">
      <c r="B35" s="5" t="s">
        <v>88</v>
      </c>
      <c r="C35" s="5" t="s">
        <v>147</v>
      </c>
      <c r="D35" s="5" t="s">
        <v>297</v>
      </c>
      <c r="F35"/>
      <c r="G35"/>
      <c r="H35"/>
      <c r="I35"/>
      <c r="J35"/>
      <c r="K35"/>
      <c r="L35"/>
      <c r="M35"/>
    </row>
    <row r="36" spans="2:13" ht="12.75">
      <c r="B36" s="5" t="s">
        <v>81</v>
      </c>
      <c r="C36" s="5"/>
      <c r="D36" s="5" t="s">
        <v>17</v>
      </c>
      <c r="F36"/>
      <c r="G36">
        <v>34280</v>
      </c>
      <c r="H36"/>
      <c r="I36">
        <v>34502</v>
      </c>
      <c r="J36"/>
      <c r="K36">
        <v>33312</v>
      </c>
      <c r="L36"/>
      <c r="M36" s="65">
        <f>AVERAGE(K36,I36,G36)</f>
        <v>34031.333333333336</v>
      </c>
    </row>
    <row r="37" spans="2:13" ht="12.75">
      <c r="B37" s="5" t="s">
        <v>86</v>
      </c>
      <c r="C37" s="5"/>
      <c r="D37" s="5" t="s">
        <v>18</v>
      </c>
      <c r="F37"/>
      <c r="G37" s="73">
        <v>13.97</v>
      </c>
      <c r="H37" s="73"/>
      <c r="I37" s="73">
        <v>13.9</v>
      </c>
      <c r="J37" s="73"/>
      <c r="K37" s="73">
        <v>13.78</v>
      </c>
      <c r="L37" s="73"/>
      <c r="M37" s="73">
        <f>AVERAGE(K37,I37,G37)</f>
        <v>13.883333333333333</v>
      </c>
    </row>
    <row r="38" spans="2:13" ht="12.75">
      <c r="B38" s="5" t="s">
        <v>87</v>
      </c>
      <c r="C38" s="5"/>
      <c r="D38" s="5" t="s">
        <v>18</v>
      </c>
      <c r="F38"/>
      <c r="G38">
        <v>18.4</v>
      </c>
      <c r="H38"/>
      <c r="I38">
        <v>18.4</v>
      </c>
      <c r="J38"/>
      <c r="K38">
        <v>19</v>
      </c>
      <c r="L38"/>
      <c r="M38" s="2">
        <f>AVERAGE(K38,I38,G38)</f>
        <v>18.599999999999998</v>
      </c>
    </row>
    <row r="39" spans="2:13" ht="12.75">
      <c r="B39" s="5" t="s">
        <v>80</v>
      </c>
      <c r="C39" s="5"/>
      <c r="D39" s="5" t="s">
        <v>19</v>
      </c>
      <c r="F39"/>
      <c r="G39">
        <v>137</v>
      </c>
      <c r="H39"/>
      <c r="I39">
        <v>138</v>
      </c>
      <c r="J39"/>
      <c r="K39">
        <v>139</v>
      </c>
      <c r="L39"/>
      <c r="M39" s="65">
        <f>AVERAGE(K39,I39,G39)</f>
        <v>138</v>
      </c>
    </row>
    <row r="40" spans="2:13" ht="12.75">
      <c r="B40" s="5"/>
      <c r="C40" s="5"/>
      <c r="F40"/>
      <c r="G40"/>
      <c r="H40"/>
      <c r="I40"/>
      <c r="J40"/>
      <c r="K40"/>
      <c r="L40"/>
      <c r="M40" s="2"/>
    </row>
    <row r="41" spans="2:13" ht="12.75">
      <c r="B41" s="5" t="s">
        <v>88</v>
      </c>
      <c r="C41" s="5" t="s">
        <v>71</v>
      </c>
      <c r="D41" s="5" t="s">
        <v>298</v>
      </c>
      <c r="F41"/>
      <c r="G41"/>
      <c r="H41"/>
      <c r="I41"/>
      <c r="J41"/>
      <c r="K41"/>
      <c r="L41"/>
      <c r="M41"/>
    </row>
    <row r="42" spans="2:13" ht="12.75">
      <c r="B42" s="5" t="s">
        <v>81</v>
      </c>
      <c r="C42" s="5"/>
      <c r="D42" s="5" t="s">
        <v>17</v>
      </c>
      <c r="F42"/>
      <c r="G42">
        <v>32535</v>
      </c>
      <c r="H42"/>
      <c r="I42">
        <v>32488</v>
      </c>
      <c r="J42"/>
      <c r="K42">
        <v>31790</v>
      </c>
      <c r="L42"/>
      <c r="M42" s="65">
        <f>AVERAGE(K42,I42,G42)</f>
        <v>32271</v>
      </c>
    </row>
    <row r="43" spans="2:13" ht="12.75">
      <c r="B43" s="5" t="s">
        <v>86</v>
      </c>
      <c r="C43" s="5"/>
      <c r="D43" s="5" t="s">
        <v>18</v>
      </c>
      <c r="F43"/>
      <c r="G43" s="59">
        <v>13.97</v>
      </c>
      <c r="H43" s="59"/>
      <c r="I43" s="59">
        <v>13.9</v>
      </c>
      <c r="J43" s="59"/>
      <c r="K43" s="59">
        <v>13.78</v>
      </c>
      <c r="L43" s="59"/>
      <c r="M43" s="59">
        <f>AVERAGE(K43,I43,G43)</f>
        <v>13.883333333333333</v>
      </c>
    </row>
    <row r="44" spans="2:13" ht="12.75">
      <c r="B44" s="5" t="s">
        <v>87</v>
      </c>
      <c r="C44" s="5"/>
      <c r="D44" s="5" t="s">
        <v>18</v>
      </c>
      <c r="F44"/>
      <c r="G44" s="73">
        <v>20</v>
      </c>
      <c r="H44" s="73"/>
      <c r="I44" s="73">
        <v>20.9</v>
      </c>
      <c r="J44" s="73"/>
      <c r="K44" s="73">
        <v>21.1</v>
      </c>
      <c r="L44" s="73"/>
      <c r="M44" s="73">
        <f>AVERAGE(K44,I44,G44)</f>
        <v>20.666666666666668</v>
      </c>
    </row>
    <row r="45" spans="2:13" ht="12.75">
      <c r="B45" s="5" t="s">
        <v>80</v>
      </c>
      <c r="C45" s="5"/>
      <c r="D45" s="5" t="s">
        <v>19</v>
      </c>
      <c r="F45"/>
      <c r="G45"/>
      <c r="H45"/>
      <c r="I45"/>
      <c r="J45"/>
      <c r="K45"/>
      <c r="L45"/>
      <c r="M45" s="2"/>
    </row>
    <row r="46" spans="2:13" ht="12.75">
      <c r="B46" s="5"/>
      <c r="C46" s="5"/>
      <c r="F46"/>
      <c r="G46"/>
      <c r="H46"/>
      <c r="I46"/>
      <c r="J46"/>
      <c r="K46"/>
      <c r="L46"/>
      <c r="M46" s="2"/>
    </row>
    <row r="47" spans="2:13" ht="12.75">
      <c r="B47" s="5" t="s">
        <v>88</v>
      </c>
      <c r="C47" s="5" t="s">
        <v>149</v>
      </c>
      <c r="D47" s="5" t="s">
        <v>303</v>
      </c>
      <c r="F47"/>
      <c r="G47"/>
      <c r="H47"/>
      <c r="I47"/>
      <c r="J47"/>
      <c r="K47"/>
      <c r="L47"/>
      <c r="M47"/>
    </row>
    <row r="48" spans="2:13" ht="12.75">
      <c r="B48" s="5" t="s">
        <v>81</v>
      </c>
      <c r="C48" s="5"/>
      <c r="D48" s="5" t="s">
        <v>17</v>
      </c>
      <c r="F48"/>
      <c r="G48">
        <v>32535</v>
      </c>
      <c r="H48"/>
      <c r="I48">
        <v>32488</v>
      </c>
      <c r="J48"/>
      <c r="K48">
        <v>31790</v>
      </c>
      <c r="L48"/>
      <c r="M48" s="65">
        <f>AVERAGE(K48,I48,G48)</f>
        <v>32271</v>
      </c>
    </row>
    <row r="49" spans="2:13" ht="12.75">
      <c r="B49" s="5" t="s">
        <v>86</v>
      </c>
      <c r="C49" s="5"/>
      <c r="D49" s="5" t="s">
        <v>18</v>
      </c>
      <c r="F49"/>
      <c r="G49" s="59">
        <v>13.97</v>
      </c>
      <c r="H49" s="59"/>
      <c r="I49" s="59">
        <v>13.9</v>
      </c>
      <c r="J49" s="59"/>
      <c r="K49" s="59">
        <v>13.78</v>
      </c>
      <c r="L49" s="59"/>
      <c r="M49" s="59">
        <f>AVERAGE(K49,I49,G49)</f>
        <v>13.883333333333333</v>
      </c>
    </row>
    <row r="50" spans="2:13" ht="12.75">
      <c r="B50" s="5" t="s">
        <v>87</v>
      </c>
      <c r="C50" s="5"/>
      <c r="D50" s="5" t="s">
        <v>18</v>
      </c>
      <c r="F50"/>
      <c r="G50" s="2">
        <v>20</v>
      </c>
      <c r="H50" s="2"/>
      <c r="I50" s="2">
        <v>20.9</v>
      </c>
      <c r="J50" s="2"/>
      <c r="K50" s="2">
        <v>21.1</v>
      </c>
      <c r="L50" s="2"/>
      <c r="M50" s="2">
        <f>AVERAGE(K50,I50,G50)</f>
        <v>20.666666666666668</v>
      </c>
    </row>
    <row r="51" spans="2:13" ht="12.75">
      <c r="B51" s="5" t="s">
        <v>80</v>
      </c>
      <c r="C51" s="5"/>
      <c r="D51" s="5" t="s">
        <v>19</v>
      </c>
      <c r="F51"/>
      <c r="G51"/>
      <c r="H51"/>
      <c r="I51"/>
      <c r="J51"/>
      <c r="K51"/>
      <c r="L51"/>
      <c r="M51" s="2"/>
    </row>
    <row r="52" spans="2:13" ht="12.75">
      <c r="B52" s="5"/>
      <c r="C52" s="5"/>
      <c r="F52"/>
      <c r="G52"/>
      <c r="H52"/>
      <c r="I52"/>
      <c r="J52"/>
      <c r="K52"/>
      <c r="L52"/>
      <c r="M52" s="2"/>
    </row>
    <row r="53" spans="1:13" ht="12.75">
      <c r="A53" s="15">
        <v>2</v>
      </c>
      <c r="B53" s="19" t="s">
        <v>223</v>
      </c>
      <c r="C53" s="19" t="s">
        <v>148</v>
      </c>
      <c r="G53" s="17" t="s">
        <v>257</v>
      </c>
      <c r="H53" s="17"/>
      <c r="I53" s="18" t="s">
        <v>258</v>
      </c>
      <c r="J53" s="17"/>
      <c r="K53" s="17" t="s">
        <v>259</v>
      </c>
      <c r="L53" s="17"/>
      <c r="M53" s="15" t="s">
        <v>47</v>
      </c>
    </row>
    <row r="54" spans="2:3" ht="12.75">
      <c r="B54" s="19"/>
      <c r="C54" s="19"/>
    </row>
    <row r="55" spans="2:13" ht="12.75">
      <c r="B55" s="5" t="s">
        <v>116</v>
      </c>
      <c r="C55" s="5" t="s">
        <v>297</v>
      </c>
      <c r="D55" s="10" t="s">
        <v>16</v>
      </c>
      <c r="E55" s="10" t="s">
        <v>15</v>
      </c>
      <c r="F55"/>
      <c r="G55" s="2">
        <v>9</v>
      </c>
      <c r="H55" s="2"/>
      <c r="I55" s="2">
        <v>13.5</v>
      </c>
      <c r="J55" s="2"/>
      <c r="K55" s="2">
        <v>15</v>
      </c>
      <c r="L55" s="2"/>
      <c r="M55" s="2">
        <f>AVERAGE(K55,I55,G55)</f>
        <v>12.5</v>
      </c>
    </row>
    <row r="56" spans="2:13" ht="12.75">
      <c r="B56" s="5" t="s">
        <v>142</v>
      </c>
      <c r="C56" s="5"/>
      <c r="D56" s="10" t="s">
        <v>16</v>
      </c>
      <c r="E56" s="10"/>
      <c r="F56"/>
      <c r="G56" s="2">
        <v>115.9</v>
      </c>
      <c r="H56" s="2"/>
      <c r="I56" s="2">
        <v>115.8</v>
      </c>
      <c r="J56" s="2"/>
      <c r="K56" s="2">
        <v>109.2</v>
      </c>
      <c r="L56" s="2"/>
      <c r="M56" s="2">
        <f>AVERAGE(K56,I56,G56)</f>
        <v>113.63333333333333</v>
      </c>
    </row>
    <row r="57" spans="2:13" ht="12.75">
      <c r="B57" s="5" t="s">
        <v>143</v>
      </c>
      <c r="C57" s="5"/>
      <c r="D57" s="10" t="s">
        <v>16</v>
      </c>
      <c r="E57" s="10"/>
      <c r="F57"/>
      <c r="G57" s="2">
        <v>1.1</v>
      </c>
      <c r="H57" s="2"/>
      <c r="I57" s="2">
        <v>0.3</v>
      </c>
      <c r="J57" s="2"/>
      <c r="K57" s="2">
        <v>0</v>
      </c>
      <c r="L57" s="2"/>
      <c r="M57" s="2">
        <f>AVERAGE(K57,I57,G57)</f>
        <v>0.46666666666666673</v>
      </c>
    </row>
    <row r="58" spans="2:13" ht="12.75">
      <c r="B58" s="5" t="s">
        <v>66</v>
      </c>
      <c r="C58" s="5"/>
      <c r="D58" s="10" t="s">
        <v>18</v>
      </c>
      <c r="E58" s="10"/>
      <c r="F58"/>
      <c r="G58" s="59">
        <v>10.1</v>
      </c>
      <c r="H58" s="59"/>
      <c r="I58" s="59">
        <v>10.16</v>
      </c>
      <c r="J58" s="59"/>
      <c r="K58" s="59">
        <v>10.14</v>
      </c>
      <c r="L58" s="59"/>
      <c r="M58" s="59">
        <f>AVERAGE(K58,I58,G58)</f>
        <v>10.133333333333333</v>
      </c>
    </row>
    <row r="59" spans="2:13" ht="12.75">
      <c r="B59" s="5" t="s">
        <v>144</v>
      </c>
      <c r="C59" s="5"/>
      <c r="D59" s="10" t="s">
        <v>18</v>
      </c>
      <c r="E59" s="10"/>
      <c r="F59"/>
      <c r="G59" s="2">
        <v>8.72</v>
      </c>
      <c r="H59" s="2"/>
      <c r="I59" s="2">
        <v>8.77</v>
      </c>
      <c r="J59" s="2"/>
      <c r="K59" s="2">
        <v>8.6</v>
      </c>
      <c r="L59" s="2"/>
      <c r="M59" s="2">
        <f>AVERAGE(K59,I59,G59)</f>
        <v>8.696666666666665</v>
      </c>
    </row>
    <row r="60" ht="12.75"/>
    <row r="61" spans="2:13" ht="12.75">
      <c r="B61" s="5" t="s">
        <v>13</v>
      </c>
      <c r="C61" s="5" t="s">
        <v>297</v>
      </c>
      <c r="D61" s="5" t="s">
        <v>14</v>
      </c>
      <c r="E61" s="5" t="s">
        <v>15</v>
      </c>
      <c r="F61"/>
      <c r="G61" s="70">
        <v>0.0035</v>
      </c>
      <c r="H61" s="70"/>
      <c r="I61" s="70">
        <v>0.0033</v>
      </c>
      <c r="J61" s="70"/>
      <c r="K61" s="70">
        <v>0.003</v>
      </c>
      <c r="L61" s="70"/>
      <c r="M61" s="70">
        <f>AVERAGE(K61,I61,G61)</f>
        <v>0.0032666666666666664</v>
      </c>
    </row>
    <row r="62" spans="2:13" ht="12.75">
      <c r="B62" s="5"/>
      <c r="C62" s="5"/>
      <c r="F62"/>
      <c r="G62" s="70"/>
      <c r="H62" s="70"/>
      <c r="I62" s="70"/>
      <c r="J62" s="70"/>
      <c r="K62" s="70"/>
      <c r="L62" s="70"/>
      <c r="M62" s="70"/>
    </row>
    <row r="63" spans="2:13" ht="12.75">
      <c r="B63" s="5" t="s">
        <v>50</v>
      </c>
      <c r="C63" s="5"/>
      <c r="D63" s="5" t="s">
        <v>53</v>
      </c>
      <c r="F63" t="s">
        <v>101</v>
      </c>
      <c r="G63" s="70">
        <v>0.0038</v>
      </c>
      <c r="H63" s="70" t="s">
        <v>101</v>
      </c>
      <c r="I63" s="70">
        <v>0.0036</v>
      </c>
      <c r="J63" s="70" t="s">
        <v>101</v>
      </c>
      <c r="K63" s="70">
        <v>0.0038</v>
      </c>
      <c r="L63" s="70"/>
      <c r="M63" s="70">
        <f>AVERAGE(G63,I63,K63)</f>
        <v>0.0037333333333333333</v>
      </c>
    </row>
    <row r="64" spans="2:13" ht="12.75">
      <c r="B64" s="5" t="s">
        <v>51</v>
      </c>
      <c r="C64" s="5"/>
      <c r="D64" s="5" t="s">
        <v>53</v>
      </c>
      <c r="F64" t="s">
        <v>101</v>
      </c>
      <c r="G64" s="70">
        <v>0.0019</v>
      </c>
      <c r="H64" s="70" t="s">
        <v>101</v>
      </c>
      <c r="I64" s="70">
        <v>0.0022</v>
      </c>
      <c r="J64" s="70" t="s">
        <v>101</v>
      </c>
      <c r="K64" s="70">
        <v>0.0017</v>
      </c>
      <c r="L64" s="70"/>
      <c r="M64" s="70">
        <f>AVERAGE(G64,I64,K64)</f>
        <v>0.0019333333333333336</v>
      </c>
    </row>
    <row r="65" spans="2:13" ht="12.75">
      <c r="B65" s="5"/>
      <c r="C65" s="5"/>
      <c r="F65"/>
      <c r="G65"/>
      <c r="H65"/>
      <c r="I65"/>
      <c r="J65"/>
      <c r="K65"/>
      <c r="L65"/>
      <c r="M65" s="53"/>
    </row>
    <row r="66" spans="2:13" ht="12.75">
      <c r="B66" s="5"/>
      <c r="C66" s="5"/>
      <c r="F66"/>
      <c r="G66"/>
      <c r="H66"/>
      <c r="I66"/>
      <c r="J66"/>
      <c r="K66"/>
      <c r="L66"/>
      <c r="M66" s="53"/>
    </row>
    <row r="67" spans="2:13" ht="12.75">
      <c r="B67" s="5" t="s">
        <v>50</v>
      </c>
      <c r="C67" s="5" t="s">
        <v>297</v>
      </c>
      <c r="D67" s="5" t="s">
        <v>16</v>
      </c>
      <c r="E67" s="5" t="s">
        <v>15</v>
      </c>
      <c r="F67" t="s">
        <v>101</v>
      </c>
      <c r="G67" s="70">
        <f>G63/36.5*386.7/60/G$109*1000000*(21-7)/(21-G$110)</f>
        <v>0.030742955367406375</v>
      </c>
      <c r="H67" s="74" t="s">
        <v>101</v>
      </c>
      <c r="I67" s="70">
        <f>I63/36.5*386.7/60/I$36*1000000*(21-7)/(21-I$37)</f>
        <v>0.03632937898792547</v>
      </c>
      <c r="J67" s="70" t="s">
        <v>101</v>
      </c>
      <c r="K67" s="70">
        <f>K63/36.5*386.7/60/K$36*1000000*(21-7)/(21-K$37)</f>
        <v>0.0390574408861758</v>
      </c>
      <c r="L67">
        <v>100</v>
      </c>
      <c r="M67" s="70">
        <f>AVERAGE(G67,I67,K67)</f>
        <v>0.035376591747169214</v>
      </c>
    </row>
    <row r="68" spans="2:13" ht="12.75">
      <c r="B68" s="5" t="s">
        <v>51</v>
      </c>
      <c r="C68" s="5" t="s">
        <v>297</v>
      </c>
      <c r="D68" s="5" t="s">
        <v>16</v>
      </c>
      <c r="E68" s="5" t="s">
        <v>15</v>
      </c>
      <c r="F68" t="s">
        <v>101</v>
      </c>
      <c r="G68" s="70">
        <f>G64/71*386.7/60/G$109*1000000*(21-7)/(21-G$110)</f>
        <v>0.007902238527537554</v>
      </c>
      <c r="H68" s="70" t="s">
        <v>101</v>
      </c>
      <c r="I68" s="70">
        <f>I64/71*386.7/60/I$36*1000000*(21-7)/(21-I$37)</f>
        <v>0.011413337764985976</v>
      </c>
      <c r="J68" s="70" t="s">
        <v>101</v>
      </c>
      <c r="K68" s="70">
        <f>K64/71*386.7/60/K$36*1000000*(21-7)/(21-K$37)</f>
        <v>0.008982632346134944</v>
      </c>
      <c r="L68">
        <v>100</v>
      </c>
      <c r="M68" s="70">
        <f>AVERAGE(G68,I68,K68)</f>
        <v>0.009432736212886159</v>
      </c>
    </row>
    <row r="69" spans="2:13" ht="12.75">
      <c r="B69" s="5" t="s">
        <v>103</v>
      </c>
      <c r="C69" s="5" t="s">
        <v>297</v>
      </c>
      <c r="D69" s="5" t="s">
        <v>16</v>
      </c>
      <c r="E69" s="5" t="s">
        <v>15</v>
      </c>
      <c r="F69">
        <v>100</v>
      </c>
      <c r="G69" s="70">
        <f>G67+2*G68</f>
        <v>0.04654743242248148</v>
      </c>
      <c r="H69">
        <v>100</v>
      </c>
      <c r="I69" s="70">
        <f>I67+2*I68</f>
        <v>0.059156054517897426</v>
      </c>
      <c r="J69">
        <v>100</v>
      </c>
      <c r="K69" s="70">
        <f>K67+2*K68</f>
        <v>0.05702270557844569</v>
      </c>
      <c r="L69">
        <v>100</v>
      </c>
      <c r="M69" s="70">
        <f>AVERAGE(G69,I69,K69)</f>
        <v>0.05424206417294153</v>
      </c>
    </row>
    <row r="70" spans="2:13" ht="12.75">
      <c r="B70" s="5"/>
      <c r="C70" s="5"/>
      <c r="F70"/>
      <c r="G70"/>
      <c r="H70"/>
      <c r="I70"/>
      <c r="J70"/>
      <c r="K70"/>
      <c r="L70"/>
      <c r="M70" s="2"/>
    </row>
    <row r="71" spans="2:13" ht="12.75">
      <c r="B71" s="5" t="s">
        <v>106</v>
      </c>
      <c r="C71" s="5"/>
      <c r="D71" s="5" t="s">
        <v>53</v>
      </c>
      <c r="F71"/>
      <c r="G71" s="66">
        <v>0.00545</v>
      </c>
      <c r="H71"/>
      <c r="I71" s="66">
        <v>0.0078</v>
      </c>
      <c r="J71"/>
      <c r="K71" s="66">
        <v>0.00489</v>
      </c>
      <c r="L71"/>
      <c r="M71" s="66">
        <f aca="true" t="shared" si="0" ref="M71:M86">AVERAGE(G71,I71,K71)</f>
        <v>0.006046666666666666</v>
      </c>
    </row>
    <row r="72" spans="2:13" ht="12.75">
      <c r="B72" s="5" t="s">
        <v>112</v>
      </c>
      <c r="C72" s="5"/>
      <c r="D72" s="5" t="s">
        <v>53</v>
      </c>
      <c r="F72"/>
      <c r="G72" s="66">
        <v>0.000124</v>
      </c>
      <c r="H72" s="66"/>
      <c r="I72" s="66">
        <v>7.8E-05</v>
      </c>
      <c r="J72"/>
      <c r="K72" s="66">
        <v>9.3E-05</v>
      </c>
      <c r="L72"/>
      <c r="M72" s="66">
        <f t="shared" si="0"/>
        <v>9.833333333333334E-05</v>
      </c>
    </row>
    <row r="73" spans="2:13" ht="12.75">
      <c r="B73" s="5" t="s">
        <v>107</v>
      </c>
      <c r="C73" s="5"/>
      <c r="D73" s="5" t="s">
        <v>53</v>
      </c>
      <c r="F73"/>
      <c r="G73" s="66">
        <v>0.00129</v>
      </c>
      <c r="H73"/>
      <c r="I73" s="66">
        <v>0.00102</v>
      </c>
      <c r="J73"/>
      <c r="K73" s="66">
        <v>0.00103</v>
      </c>
      <c r="L73"/>
      <c r="M73" s="66">
        <f t="shared" si="0"/>
        <v>0.0011133333333333334</v>
      </c>
    </row>
    <row r="74" spans="2:13" ht="12.75">
      <c r="B74" s="5" t="s">
        <v>108</v>
      </c>
      <c r="C74" s="5"/>
      <c r="D74" s="5" t="s">
        <v>53</v>
      </c>
      <c r="F74"/>
      <c r="G74" s="66">
        <v>0.00137</v>
      </c>
      <c r="H74"/>
      <c r="I74" s="66">
        <v>0.000956</v>
      </c>
      <c r="J74"/>
      <c r="K74" s="66">
        <v>0.00111</v>
      </c>
      <c r="L74"/>
      <c r="M74" s="66">
        <f t="shared" si="0"/>
        <v>0.0011453333333333333</v>
      </c>
    </row>
    <row r="75" spans="2:13" ht="12.75">
      <c r="B75" s="5" t="s">
        <v>83</v>
      </c>
      <c r="C75" s="5"/>
      <c r="D75" s="5" t="s">
        <v>53</v>
      </c>
      <c r="F75" t="s">
        <v>101</v>
      </c>
      <c r="G75" s="66">
        <v>4.96E-06</v>
      </c>
      <c r="H75" t="s">
        <v>101</v>
      </c>
      <c r="I75" s="66">
        <v>4.88E-06</v>
      </c>
      <c r="J75" t="s">
        <v>101</v>
      </c>
      <c r="K75" s="66">
        <v>4.89E-06</v>
      </c>
      <c r="L75"/>
      <c r="M75" s="66">
        <f t="shared" si="0"/>
        <v>4.91E-06</v>
      </c>
    </row>
    <row r="76" spans="2:13" ht="12.75">
      <c r="B76" s="5" t="s">
        <v>109</v>
      </c>
      <c r="C76" s="5"/>
      <c r="D76" s="5" t="s">
        <v>53</v>
      </c>
      <c r="F76"/>
      <c r="G76" s="66">
        <v>1.98E-05</v>
      </c>
      <c r="H76"/>
      <c r="I76" s="66">
        <v>4.88E-05</v>
      </c>
      <c r="J76"/>
      <c r="K76" s="66">
        <v>0.000117</v>
      </c>
      <c r="L76"/>
      <c r="M76" s="66">
        <f t="shared" si="0"/>
        <v>6.186666666666668E-05</v>
      </c>
    </row>
    <row r="77" spans="2:13" ht="12.75">
      <c r="B77" s="5" t="s">
        <v>305</v>
      </c>
      <c r="C77" s="5"/>
      <c r="D77" s="5" t="s">
        <v>53</v>
      </c>
      <c r="F77"/>
      <c r="G77" s="66">
        <v>5.3E-05</v>
      </c>
      <c r="H77" t="s">
        <v>101</v>
      </c>
      <c r="I77" s="66">
        <v>2.1E-05</v>
      </c>
      <c r="J77"/>
      <c r="K77" s="66">
        <v>4E-05</v>
      </c>
      <c r="L77"/>
      <c r="M77" s="66">
        <f t="shared" si="0"/>
        <v>3.8E-05</v>
      </c>
    </row>
    <row r="78" spans="2:13" ht="12.75">
      <c r="B78" s="5" t="s">
        <v>262</v>
      </c>
      <c r="C78" s="5"/>
      <c r="D78" s="5" t="s">
        <v>53</v>
      </c>
      <c r="F78"/>
      <c r="G78" s="66">
        <v>0.000322</v>
      </c>
      <c r="H78"/>
      <c r="I78" s="66">
        <v>0.000414</v>
      </c>
      <c r="J78"/>
      <c r="K78" s="66">
        <v>0.000347</v>
      </c>
      <c r="L78"/>
      <c r="M78" s="66">
        <f t="shared" si="0"/>
        <v>0.000361</v>
      </c>
    </row>
    <row r="79" spans="2:13" ht="12.75">
      <c r="B79" s="5" t="s">
        <v>82</v>
      </c>
      <c r="C79" s="5"/>
      <c r="D79" s="5" t="s">
        <v>53</v>
      </c>
      <c r="F79"/>
      <c r="G79" s="66">
        <v>0.00838</v>
      </c>
      <c r="H79"/>
      <c r="I79" s="66">
        <v>0.00726</v>
      </c>
      <c r="J79"/>
      <c r="K79" s="66">
        <v>0.00631</v>
      </c>
      <c r="L79"/>
      <c r="M79" s="66">
        <f t="shared" si="0"/>
        <v>0.007316666666666667</v>
      </c>
    </row>
    <row r="80" spans="2:13" ht="12.75">
      <c r="B80" s="5" t="s">
        <v>84</v>
      </c>
      <c r="C80" s="5"/>
      <c r="D80" s="5" t="s">
        <v>53</v>
      </c>
      <c r="F80"/>
      <c r="G80" s="66">
        <v>0.000685</v>
      </c>
      <c r="H80"/>
      <c r="I80" s="66">
        <v>0.000224</v>
      </c>
      <c r="J80"/>
      <c r="K80" s="66">
        <v>0.000149</v>
      </c>
      <c r="L80"/>
      <c r="M80" s="66">
        <f t="shared" si="0"/>
        <v>0.00035266666666666666</v>
      </c>
    </row>
    <row r="81" spans="2:13" ht="12.75">
      <c r="B81" s="5" t="s">
        <v>111</v>
      </c>
      <c r="C81" s="5"/>
      <c r="D81" s="5" t="s">
        <v>53</v>
      </c>
      <c r="F81"/>
      <c r="G81" s="66">
        <v>0.000198</v>
      </c>
      <c r="H81"/>
      <c r="I81" s="66">
        <v>0.000132</v>
      </c>
      <c r="J81"/>
      <c r="K81" s="66">
        <v>9.3E-05</v>
      </c>
      <c r="L81"/>
      <c r="M81" s="66">
        <f t="shared" si="0"/>
        <v>0.00014099999999999998</v>
      </c>
    </row>
    <row r="82" spans="2:13" ht="12.75">
      <c r="B82" s="5" t="s">
        <v>113</v>
      </c>
      <c r="C82" s="5"/>
      <c r="D82" s="5" t="s">
        <v>53</v>
      </c>
      <c r="F82"/>
      <c r="G82" s="66">
        <v>0.0119</v>
      </c>
      <c r="H82"/>
      <c r="I82" s="66">
        <v>0.0078</v>
      </c>
      <c r="J82"/>
      <c r="K82" s="66">
        <v>0.00734</v>
      </c>
      <c r="L82"/>
      <c r="M82" s="66">
        <f t="shared" si="0"/>
        <v>0.009013333333333333</v>
      </c>
    </row>
    <row r="83" spans="2:13" ht="12.75">
      <c r="B83" s="5" t="s">
        <v>105</v>
      </c>
      <c r="C83" s="5"/>
      <c r="D83" s="5" t="s">
        <v>53</v>
      </c>
      <c r="F83"/>
      <c r="G83" s="66">
        <v>4.07E-05</v>
      </c>
      <c r="H83"/>
      <c r="I83" s="66">
        <v>7.31E-06</v>
      </c>
      <c r="J83" t="s">
        <v>101</v>
      </c>
      <c r="K83" s="66">
        <v>3.67E-05</v>
      </c>
      <c r="L83"/>
      <c r="M83" s="66">
        <f t="shared" si="0"/>
        <v>2.8236666666666663E-05</v>
      </c>
    </row>
    <row r="84" spans="2:13" ht="12.75">
      <c r="B84" s="5" t="s">
        <v>114</v>
      </c>
      <c r="C84" s="5"/>
      <c r="D84" s="5" t="s">
        <v>53</v>
      </c>
      <c r="F84"/>
      <c r="G84" s="66">
        <v>6.44E-05</v>
      </c>
      <c r="H84"/>
      <c r="I84" s="66">
        <v>6.34E-05</v>
      </c>
      <c r="J84"/>
      <c r="K84" s="66">
        <v>6.36E-05</v>
      </c>
      <c r="L84"/>
      <c r="M84" s="66">
        <f t="shared" si="0"/>
        <v>6.379999999999999E-05</v>
      </c>
    </row>
    <row r="85" spans="2:13" ht="12.75">
      <c r="B85" s="5" t="s">
        <v>110</v>
      </c>
      <c r="C85" s="5"/>
      <c r="D85" s="5" t="s">
        <v>53</v>
      </c>
      <c r="F85"/>
      <c r="G85" s="66">
        <v>0.00474</v>
      </c>
      <c r="H85"/>
      <c r="I85" s="66">
        <v>0.00281</v>
      </c>
      <c r="J85"/>
      <c r="K85" s="66">
        <v>0.00331</v>
      </c>
      <c r="L85"/>
      <c r="M85" s="66">
        <f t="shared" si="0"/>
        <v>0.00362</v>
      </c>
    </row>
    <row r="86" spans="2:13" ht="12.75">
      <c r="B86" s="5" t="s">
        <v>115</v>
      </c>
      <c r="C86" s="5"/>
      <c r="D86" s="5" t="s">
        <v>53</v>
      </c>
      <c r="F86"/>
      <c r="G86" s="66">
        <v>0.0062</v>
      </c>
      <c r="H86"/>
      <c r="I86" s="66">
        <v>0.0024</v>
      </c>
      <c r="J86"/>
      <c r="K86" s="66">
        <v>0.00197</v>
      </c>
      <c r="L86"/>
      <c r="M86" s="66">
        <f t="shared" si="0"/>
        <v>0.003523333333333333</v>
      </c>
    </row>
    <row r="87" spans="2:13" ht="12.75">
      <c r="B87" s="5"/>
      <c r="C87" s="5"/>
      <c r="F87"/>
      <c r="G87" s="66"/>
      <c r="H87"/>
      <c r="I87" s="66"/>
      <c r="J87"/>
      <c r="K87" s="66"/>
      <c r="L87"/>
      <c r="M87" s="66"/>
    </row>
    <row r="88" spans="2:13" ht="12.75">
      <c r="B88" s="5" t="s">
        <v>106</v>
      </c>
      <c r="C88" s="5" t="s">
        <v>304</v>
      </c>
      <c r="D88" s="5" t="s">
        <v>58</v>
      </c>
      <c r="E88" s="5" t="s">
        <v>15</v>
      </c>
      <c r="F88"/>
      <c r="G88" s="2">
        <f aca="true" t="shared" si="1" ref="G88:G103">G71*454000000/60/G$127/0.028317*(21-7)/(21-G$128)</f>
        <v>62.774441964079685</v>
      </c>
      <c r="H88" s="2"/>
      <c r="I88" s="2">
        <f aca="true" t="shared" si="2" ref="I88:I103">I71*454000000/60/I$127/0.028317*(21-7)/(21-I$128)</f>
        <v>89.63866618122789</v>
      </c>
      <c r="J88" s="2"/>
      <c r="K88" s="2">
        <f aca="true" t="shared" si="3" ref="K88:K103">K71*454000000/60/K$127/0.028317*(21-7)/(21-K$128)</f>
        <v>56.40673952378851</v>
      </c>
      <c r="L88"/>
      <c r="M88" s="2">
        <f aca="true" t="shared" si="4" ref="M88:M96">AVERAGE(G88,I88,K88)</f>
        <v>69.60661588969869</v>
      </c>
    </row>
    <row r="89" spans="2:13" ht="12.75">
      <c r="B89" s="5" t="s">
        <v>112</v>
      </c>
      <c r="C89" s="5" t="s">
        <v>304</v>
      </c>
      <c r="D89" s="5" t="s">
        <v>58</v>
      </c>
      <c r="E89" s="5" t="s">
        <v>15</v>
      </c>
      <c r="F89"/>
      <c r="G89" s="2">
        <f t="shared" si="1"/>
        <v>1.4282625327607117</v>
      </c>
      <c r="H89" s="2"/>
      <c r="I89" s="2">
        <f t="shared" si="2"/>
        <v>0.8963866618122791</v>
      </c>
      <c r="J89" s="2"/>
      <c r="K89" s="2">
        <f t="shared" si="3"/>
        <v>1.0727662118021126</v>
      </c>
      <c r="L89"/>
      <c r="M89" s="2">
        <f t="shared" si="4"/>
        <v>1.1324718021250344</v>
      </c>
    </row>
    <row r="90" spans="2:13" ht="12.75">
      <c r="B90" s="5" t="s">
        <v>107</v>
      </c>
      <c r="C90" s="5" t="s">
        <v>304</v>
      </c>
      <c r="D90" s="5" t="s">
        <v>58</v>
      </c>
      <c r="E90" s="5" t="s">
        <v>15</v>
      </c>
      <c r="F90"/>
      <c r="G90" s="2">
        <f t="shared" si="1"/>
        <v>14.858537639204181</v>
      </c>
      <c r="H90" s="2"/>
      <c r="I90" s="2">
        <f t="shared" si="2"/>
        <v>11.721979423699032</v>
      </c>
      <c r="J90" s="2"/>
      <c r="K90" s="2">
        <f t="shared" si="3"/>
        <v>11.881174173722323</v>
      </c>
      <c r="L90"/>
      <c r="M90" s="2">
        <f t="shared" si="4"/>
        <v>12.820563745541845</v>
      </c>
    </row>
    <row r="91" spans="2:13" ht="12.75">
      <c r="B91" s="5" t="s">
        <v>108</v>
      </c>
      <c r="C91" s="5" t="s">
        <v>304</v>
      </c>
      <c r="D91" s="5" t="s">
        <v>58</v>
      </c>
      <c r="E91" s="5" t="s">
        <v>15</v>
      </c>
      <c r="F91"/>
      <c r="G91" s="2">
        <f t="shared" si="1"/>
        <v>15.779997337759479</v>
      </c>
      <c r="H91" s="2"/>
      <c r="I91" s="2">
        <f t="shared" si="2"/>
        <v>10.986482675545366</v>
      </c>
      <c r="J91" s="2"/>
      <c r="K91" s="2">
        <f t="shared" si="3"/>
        <v>12.803983818283283</v>
      </c>
      <c r="L91"/>
      <c r="M91" s="2">
        <f t="shared" si="4"/>
        <v>13.190154610529376</v>
      </c>
    </row>
    <row r="92" spans="2:13" ht="12.75">
      <c r="B92" s="5" t="s">
        <v>83</v>
      </c>
      <c r="C92" s="5" t="s">
        <v>304</v>
      </c>
      <c r="D92" s="5" t="s">
        <v>58</v>
      </c>
      <c r="E92" s="5" t="s">
        <v>15</v>
      </c>
      <c r="F92" t="s">
        <v>101</v>
      </c>
      <c r="G92" s="2">
        <f t="shared" si="1"/>
        <v>0.057130501310428475</v>
      </c>
      <c r="H92" s="2" t="s">
        <v>101</v>
      </c>
      <c r="I92" s="2">
        <f t="shared" si="2"/>
        <v>0.05608162704671693</v>
      </c>
      <c r="J92" s="2" t="s">
        <v>101</v>
      </c>
      <c r="K92" s="2">
        <f t="shared" si="3"/>
        <v>0.0564067395237885</v>
      </c>
      <c r="L92">
        <v>100</v>
      </c>
      <c r="M92" s="2">
        <f t="shared" si="4"/>
        <v>0.056539622626977974</v>
      </c>
    </row>
    <row r="93" spans="2:13" ht="12.75">
      <c r="B93" s="5" t="s">
        <v>109</v>
      </c>
      <c r="C93" s="5" t="s">
        <v>304</v>
      </c>
      <c r="D93" s="5" t="s">
        <v>58</v>
      </c>
      <c r="E93" s="5" t="s">
        <v>15</v>
      </c>
      <c r="F93"/>
      <c r="G93" s="2">
        <f t="shared" si="1"/>
        <v>0.22806127539243629</v>
      </c>
      <c r="H93" s="2"/>
      <c r="I93" s="2">
        <f t="shared" si="2"/>
        <v>0.5608162704671694</v>
      </c>
      <c r="J93" s="2"/>
      <c r="K93" s="2">
        <f t="shared" si="3"/>
        <v>1.3496091051704</v>
      </c>
      <c r="L93"/>
      <c r="M93" s="2">
        <f t="shared" si="4"/>
        <v>0.7128288836766686</v>
      </c>
    </row>
    <row r="94" spans="2:13" ht="12.75">
      <c r="B94" s="5" t="s">
        <v>305</v>
      </c>
      <c r="C94" s="5" t="s">
        <v>308</v>
      </c>
      <c r="D94" s="5" t="s">
        <v>58</v>
      </c>
      <c r="E94" s="5" t="s">
        <v>15</v>
      </c>
      <c r="F94"/>
      <c r="G94" s="2">
        <f t="shared" si="1"/>
        <v>0.610467050292885</v>
      </c>
      <c r="H94" s="2" t="s">
        <v>101</v>
      </c>
      <c r="I94" s="2">
        <f t="shared" si="2"/>
        <v>0.2413348704879212</v>
      </c>
      <c r="J94" s="2"/>
      <c r="K94" s="2">
        <f t="shared" si="3"/>
        <v>0.46140482228047863</v>
      </c>
      <c r="L94"/>
      <c r="M94" s="2">
        <f t="shared" si="4"/>
        <v>0.43773558102042825</v>
      </c>
    </row>
    <row r="95" spans="2:13" ht="12.75">
      <c r="B95" s="5" t="s">
        <v>262</v>
      </c>
      <c r="C95" s="5" t="s">
        <v>304</v>
      </c>
      <c r="D95" s="5" t="s">
        <v>58</v>
      </c>
      <c r="E95" s="5" t="s">
        <v>15</v>
      </c>
      <c r="F95"/>
      <c r="G95" s="2">
        <f t="shared" si="1"/>
        <v>3.7088752866850747</v>
      </c>
      <c r="H95" s="2"/>
      <c r="I95" s="2">
        <f t="shared" si="2"/>
        <v>4.757744589619019</v>
      </c>
      <c r="J95" s="2"/>
      <c r="K95" s="2">
        <f t="shared" si="3"/>
        <v>4.002686833283152</v>
      </c>
      <c r="L95"/>
      <c r="M95" s="2">
        <f t="shared" si="4"/>
        <v>4.156435569862415</v>
      </c>
    </row>
    <row r="96" spans="2:13" ht="12.75">
      <c r="B96" s="5" t="s">
        <v>82</v>
      </c>
      <c r="C96" s="5" t="s">
        <v>304</v>
      </c>
      <c r="D96" s="5" t="s">
        <v>58</v>
      </c>
      <c r="E96" s="5" t="s">
        <v>15</v>
      </c>
      <c r="F96"/>
      <c r="G96" s="2">
        <f t="shared" si="1"/>
        <v>96.52290342366747</v>
      </c>
      <c r="H96" s="2"/>
      <c r="I96" s="2">
        <f t="shared" si="2"/>
        <v>83.43291236868134</v>
      </c>
      <c r="J96" s="2"/>
      <c r="K96" s="2">
        <f t="shared" si="3"/>
        <v>72.78661071474549</v>
      </c>
      <c r="L96"/>
      <c r="M96" s="2">
        <f t="shared" si="4"/>
        <v>84.24747550236476</v>
      </c>
    </row>
    <row r="97" spans="2:13" ht="12.75">
      <c r="B97" s="5" t="s">
        <v>84</v>
      </c>
      <c r="C97" s="5" t="s">
        <v>304</v>
      </c>
      <c r="D97" s="5" t="s">
        <v>58</v>
      </c>
      <c r="E97" s="5" t="s">
        <v>15</v>
      </c>
      <c r="F97"/>
      <c r="G97" s="2">
        <f t="shared" si="1"/>
        <v>7.889998668879739</v>
      </c>
      <c r="H97" s="2"/>
      <c r="I97" s="2">
        <f t="shared" si="2"/>
        <v>2.574238618537826</v>
      </c>
      <c r="J97" s="2"/>
      <c r="K97" s="2">
        <f t="shared" si="3"/>
        <v>1.718732962994783</v>
      </c>
      <c r="L97"/>
      <c r="M97" s="2">
        <f>AVERAGE(G97,I97,K97)</f>
        <v>4.0609900834707835</v>
      </c>
    </row>
    <row r="98" spans="2:13" ht="12.75">
      <c r="B98" s="5" t="s">
        <v>111</v>
      </c>
      <c r="C98" s="5" t="s">
        <v>304</v>
      </c>
      <c r="D98" s="5" t="s">
        <v>58</v>
      </c>
      <c r="E98" s="5" t="s">
        <v>15</v>
      </c>
      <c r="F98"/>
      <c r="G98" s="2">
        <f t="shared" si="1"/>
        <v>2.2806127539243626</v>
      </c>
      <c r="H98" s="2"/>
      <c r="I98" s="2">
        <f t="shared" si="2"/>
        <v>1.5169620430669333</v>
      </c>
      <c r="J98" s="2"/>
      <c r="K98" s="2">
        <f t="shared" si="3"/>
        <v>1.0727662118021126</v>
      </c>
      <c r="L98"/>
      <c r="M98" s="2">
        <f aca="true" t="shared" si="5" ref="M98:M103">AVERAGE(G98,I98,K98)</f>
        <v>1.623447002931136</v>
      </c>
    </row>
    <row r="99" spans="2:13" ht="12.75">
      <c r="B99" s="5" t="s">
        <v>113</v>
      </c>
      <c r="C99" s="5" t="s">
        <v>304</v>
      </c>
      <c r="D99" s="5" t="s">
        <v>58</v>
      </c>
      <c r="E99" s="5" t="s">
        <v>15</v>
      </c>
      <c r="F99"/>
      <c r="G99" s="2">
        <f t="shared" si="1"/>
        <v>137.0671301601006</v>
      </c>
      <c r="H99" s="2"/>
      <c r="I99" s="2">
        <f t="shared" si="2"/>
        <v>89.63866618122789</v>
      </c>
      <c r="J99" s="2"/>
      <c r="K99" s="2">
        <f t="shared" si="3"/>
        <v>84.66778488846784</v>
      </c>
      <c r="L99"/>
      <c r="M99" s="2">
        <f t="shared" si="5"/>
        <v>103.79119374326545</v>
      </c>
    </row>
    <row r="100" spans="2:13" ht="12.75">
      <c r="B100" s="5" t="s">
        <v>105</v>
      </c>
      <c r="C100" s="5" t="s">
        <v>304</v>
      </c>
      <c r="D100" s="5" t="s">
        <v>58</v>
      </c>
      <c r="E100" s="5" t="s">
        <v>15</v>
      </c>
      <c r="F100"/>
      <c r="G100" s="2">
        <f t="shared" si="1"/>
        <v>0.46879262164000784</v>
      </c>
      <c r="H100" s="2"/>
      <c r="I100" s="2">
        <f t="shared" si="2"/>
        <v>0.0840075192031764</v>
      </c>
      <c r="J100" s="2" t="s">
        <v>101</v>
      </c>
      <c r="K100" s="2">
        <f t="shared" si="3"/>
        <v>0.42333892444233906</v>
      </c>
      <c r="L100"/>
      <c r="M100" s="2">
        <f t="shared" si="5"/>
        <v>0.3253796884285078</v>
      </c>
    </row>
    <row r="101" spans="2:13" ht="12.75">
      <c r="B101" s="5" t="s">
        <v>114</v>
      </c>
      <c r="C101" s="5" t="s">
        <v>304</v>
      </c>
      <c r="D101" s="5" t="s">
        <v>58</v>
      </c>
      <c r="E101" s="5" t="s">
        <v>15</v>
      </c>
      <c r="F101"/>
      <c r="G101" s="2">
        <f t="shared" si="1"/>
        <v>0.7417750573370149</v>
      </c>
      <c r="H101" s="2"/>
      <c r="I101" s="2">
        <f t="shared" si="2"/>
        <v>0.728601466139724</v>
      </c>
      <c r="J101" s="2"/>
      <c r="K101" s="2">
        <f t="shared" si="3"/>
        <v>0.733633667425961</v>
      </c>
      <c r="L101"/>
      <c r="M101" s="2">
        <f t="shared" si="5"/>
        <v>0.7346700636342333</v>
      </c>
    </row>
    <row r="102" spans="2:13" ht="12.75">
      <c r="B102" s="5" t="s">
        <v>110</v>
      </c>
      <c r="C102" s="5" t="s">
        <v>304</v>
      </c>
      <c r="D102" s="5" t="s">
        <v>58</v>
      </c>
      <c r="E102" s="5" t="s">
        <v>15</v>
      </c>
      <c r="F102"/>
      <c r="G102" s="2">
        <f t="shared" si="1"/>
        <v>54.596487139401404</v>
      </c>
      <c r="H102" s="2"/>
      <c r="I102" s="2">
        <f t="shared" si="2"/>
        <v>32.29290409862183</v>
      </c>
      <c r="J102" s="2"/>
      <c r="K102" s="2">
        <f t="shared" si="3"/>
        <v>38.181249043709606</v>
      </c>
      <c r="L102"/>
      <c r="M102" s="2">
        <f t="shared" si="5"/>
        <v>41.69021342724428</v>
      </c>
    </row>
    <row r="103" spans="2:13" ht="12.75">
      <c r="B103" s="5" t="s">
        <v>115</v>
      </c>
      <c r="C103" s="5" t="s">
        <v>304</v>
      </c>
      <c r="D103" s="5" t="s">
        <v>58</v>
      </c>
      <c r="E103" s="5" t="s">
        <v>15</v>
      </c>
      <c r="F103"/>
      <c r="G103" s="2">
        <f t="shared" si="1"/>
        <v>71.41312663803559</v>
      </c>
      <c r="H103" s="2"/>
      <c r="I103" s="2">
        <f t="shared" si="2"/>
        <v>27.581128055762424</v>
      </c>
      <c r="J103" s="2"/>
      <c r="K103" s="2">
        <f t="shared" si="3"/>
        <v>22.72418749731357</v>
      </c>
      <c r="L103"/>
      <c r="M103" s="2">
        <f t="shared" si="5"/>
        <v>40.57281406370386</v>
      </c>
    </row>
    <row r="104" spans="2:13" ht="12.75">
      <c r="B104" s="5"/>
      <c r="C104" s="5"/>
      <c r="F104"/>
      <c r="G104" s="68"/>
      <c r="H104"/>
      <c r="I104" s="68"/>
      <c r="J104"/>
      <c r="K104" s="68"/>
      <c r="L104"/>
      <c r="M104" s="66"/>
    </row>
    <row r="105" spans="2:13" ht="12.75">
      <c r="B105" s="5" t="s">
        <v>59</v>
      </c>
      <c r="C105" s="5" t="s">
        <v>304</v>
      </c>
      <c r="D105" s="5" t="s">
        <v>58</v>
      </c>
      <c r="E105" s="5" t="s">
        <v>15</v>
      </c>
      <c r="F105"/>
      <c r="G105" s="2">
        <f>G96+G93</f>
        <v>96.7509646990599</v>
      </c>
      <c r="H105" s="2"/>
      <c r="I105" s="2">
        <f>I96+I93</f>
        <v>83.99372863914851</v>
      </c>
      <c r="J105" s="2"/>
      <c r="K105" s="2">
        <f>K96+K93</f>
        <v>74.1362198199159</v>
      </c>
      <c r="L105" s="2"/>
      <c r="M105" s="2">
        <f>AVERAGE(G105,I105,K105)</f>
        <v>84.96030438604144</v>
      </c>
    </row>
    <row r="106" spans="2:13" ht="12.75">
      <c r="B106" s="5" t="s">
        <v>60</v>
      </c>
      <c r="C106" s="5" t="s">
        <v>304</v>
      </c>
      <c r="D106" s="5" t="s">
        <v>58</v>
      </c>
      <c r="E106" s="5" t="s">
        <v>15</v>
      </c>
      <c r="F106">
        <v>0.3</v>
      </c>
      <c r="G106" s="2">
        <f>G90+G92+G95</f>
        <v>18.624543427199683</v>
      </c>
      <c r="H106" s="2">
        <v>0.4</v>
      </c>
      <c r="I106" s="2">
        <f>I90+I92+I95</f>
        <v>16.53580564036477</v>
      </c>
      <c r="J106" s="2">
        <v>0.3</v>
      </c>
      <c r="K106" s="2">
        <f>K90+K92+K95</f>
        <v>15.940267746529264</v>
      </c>
      <c r="L106" s="2">
        <v>0.3</v>
      </c>
      <c r="M106" s="2">
        <f>AVERAGE(G106,I106,K106)</f>
        <v>17.03353893803124</v>
      </c>
    </row>
    <row r="107" ht="12.75"/>
    <row r="108" spans="2:13" ht="12.75">
      <c r="B108" s="5" t="s">
        <v>88</v>
      </c>
      <c r="C108" s="5" t="s">
        <v>147</v>
      </c>
      <c r="D108" s="5" t="s">
        <v>297</v>
      </c>
      <c r="F108"/>
      <c r="G108"/>
      <c r="H108"/>
      <c r="I108"/>
      <c r="J108"/>
      <c r="K108"/>
      <c r="L108"/>
      <c r="M108"/>
    </row>
    <row r="109" spans="2:13" ht="12.75">
      <c r="B109" s="5" t="s">
        <v>81</v>
      </c>
      <c r="C109" s="5"/>
      <c r="D109" s="5" t="s">
        <v>17</v>
      </c>
      <c r="F109"/>
      <c r="G109" s="67">
        <v>28033</v>
      </c>
      <c r="H109" s="67"/>
      <c r="I109" s="67">
        <v>28960</v>
      </c>
      <c r="J109" s="67"/>
      <c r="K109" s="67">
        <v>30852</v>
      </c>
      <c r="L109"/>
      <c r="M109" s="65">
        <f>AVERAGE(K109,I109,G109)</f>
        <v>29281.666666666668</v>
      </c>
    </row>
    <row r="110" spans="2:13" ht="12.75">
      <c r="B110" s="5" t="s">
        <v>86</v>
      </c>
      <c r="C110" s="5"/>
      <c r="D110" s="5" t="s">
        <v>18</v>
      </c>
      <c r="F110"/>
      <c r="G110" s="59">
        <v>10.1</v>
      </c>
      <c r="H110" s="59"/>
      <c r="I110" s="59">
        <v>10.16</v>
      </c>
      <c r="J110" s="59"/>
      <c r="K110" s="59">
        <v>10.14</v>
      </c>
      <c r="L110" s="59"/>
      <c r="M110" s="59">
        <f>AVERAGE(K110,I110,G110)</f>
        <v>10.133333333333333</v>
      </c>
    </row>
    <row r="111" spans="2:13" ht="12.75">
      <c r="B111" s="5" t="s">
        <v>87</v>
      </c>
      <c r="C111" s="5"/>
      <c r="D111" s="5" t="s">
        <v>18</v>
      </c>
      <c r="F111"/>
      <c r="G111">
        <v>24.5</v>
      </c>
      <c r="H111"/>
      <c r="I111">
        <v>24.4</v>
      </c>
      <c r="J111"/>
      <c r="K111">
        <v>23.8</v>
      </c>
      <c r="L111"/>
      <c r="M111" s="2">
        <f>AVERAGE(K111,I111,G111)</f>
        <v>24.233333333333334</v>
      </c>
    </row>
    <row r="112" spans="2:13" ht="12.75">
      <c r="B112" s="5" t="s">
        <v>80</v>
      </c>
      <c r="C112" s="5"/>
      <c r="D112" s="5" t="s">
        <v>19</v>
      </c>
      <c r="F112"/>
      <c r="G112">
        <v>148</v>
      </c>
      <c r="H112"/>
      <c r="I112">
        <v>148</v>
      </c>
      <c r="J112"/>
      <c r="K112">
        <v>148</v>
      </c>
      <c r="L112"/>
      <c r="M112" s="65">
        <f>AVERAGE(K112,I112,G112)</f>
        <v>148</v>
      </c>
    </row>
    <row r="113" spans="2:13" ht="12.75">
      <c r="B113" s="5"/>
      <c r="C113" s="5"/>
      <c r="F113"/>
      <c r="G113"/>
      <c r="H113"/>
      <c r="I113"/>
      <c r="J113"/>
      <c r="K113"/>
      <c r="L113"/>
      <c r="M113"/>
    </row>
    <row r="114" spans="2:13" ht="12.75">
      <c r="B114" s="5" t="s">
        <v>88</v>
      </c>
      <c r="C114" s="5" t="s">
        <v>71</v>
      </c>
      <c r="D114" s="5" t="s">
        <v>298</v>
      </c>
      <c r="F114"/>
      <c r="G114"/>
      <c r="H114"/>
      <c r="I114"/>
      <c r="J114"/>
      <c r="K114"/>
      <c r="L114"/>
      <c r="M114"/>
    </row>
    <row r="115" spans="2:13" ht="12.75">
      <c r="B115" s="5" t="s">
        <v>81</v>
      </c>
      <c r="C115" s="5"/>
      <c r="D115" s="5" t="s">
        <v>17</v>
      </c>
      <c r="F115"/>
      <c r="G115">
        <v>28272</v>
      </c>
      <c r="H115"/>
      <c r="I115">
        <v>27159</v>
      </c>
      <c r="J115"/>
      <c r="K115">
        <v>29697</v>
      </c>
      <c r="L115"/>
      <c r="M115" s="65">
        <f>AVERAGE(K115,I115,G115)</f>
        <v>28376</v>
      </c>
    </row>
    <row r="116" spans="2:13" ht="12.75">
      <c r="B116" s="5" t="s">
        <v>86</v>
      </c>
      <c r="C116" s="5"/>
      <c r="D116" s="5" t="s">
        <v>18</v>
      </c>
      <c r="F116"/>
      <c r="G116" s="59">
        <v>10.1</v>
      </c>
      <c r="H116" s="59"/>
      <c r="I116" s="59">
        <v>10.16</v>
      </c>
      <c r="J116" s="59"/>
      <c r="K116" s="59">
        <v>10.14</v>
      </c>
      <c r="L116" s="59"/>
      <c r="M116" s="59">
        <f>AVERAGE(K116,I116,G116)</f>
        <v>10.133333333333333</v>
      </c>
    </row>
    <row r="117" spans="2:13" ht="12.75">
      <c r="B117" s="5" t="s">
        <v>87</v>
      </c>
      <c r="C117" s="5"/>
      <c r="D117" s="5" t="s">
        <v>18</v>
      </c>
      <c r="F117"/>
      <c r="G117">
        <v>25.7</v>
      </c>
      <c r="H117"/>
      <c r="I117">
        <v>25.6</v>
      </c>
      <c r="J117"/>
      <c r="K117">
        <v>25.6</v>
      </c>
      <c r="L117"/>
      <c r="M117" s="2">
        <f>AVERAGE(K117,I117,G117)</f>
        <v>25.633333333333336</v>
      </c>
    </row>
    <row r="118" spans="2:13" ht="12.75">
      <c r="B118" s="5" t="s">
        <v>80</v>
      </c>
      <c r="C118" s="5"/>
      <c r="D118" s="5" t="s">
        <v>19</v>
      </c>
      <c r="F118"/>
      <c r="G118"/>
      <c r="H118"/>
      <c r="I118"/>
      <c r="J118"/>
      <c r="K118"/>
      <c r="L118"/>
      <c r="M118" s="2"/>
    </row>
    <row r="119" ht="12.75"/>
    <row r="120" spans="2:13" ht="12.75">
      <c r="B120" s="5" t="s">
        <v>88</v>
      </c>
      <c r="C120" s="5" t="s">
        <v>149</v>
      </c>
      <c r="D120" s="5" t="s">
        <v>303</v>
      </c>
      <c r="F120"/>
      <c r="G120"/>
      <c r="H120"/>
      <c r="I120"/>
      <c r="J120"/>
      <c r="K120"/>
      <c r="L120"/>
      <c r="M120"/>
    </row>
    <row r="121" spans="2:13" ht="12.75">
      <c r="B121" s="5" t="s">
        <v>81</v>
      </c>
      <c r="C121" s="5"/>
      <c r="D121" s="5" t="s">
        <v>17</v>
      </c>
      <c r="F121"/>
      <c r="G121">
        <v>28272</v>
      </c>
      <c r="H121"/>
      <c r="I121">
        <v>27159</v>
      </c>
      <c r="J121"/>
      <c r="K121">
        <v>29697</v>
      </c>
      <c r="L121"/>
      <c r="M121" s="65">
        <f>AVERAGE(K121,I121,G121)</f>
        <v>28376</v>
      </c>
    </row>
    <row r="122" spans="2:13" ht="12.75">
      <c r="B122" s="5" t="s">
        <v>86</v>
      </c>
      <c r="C122" s="5"/>
      <c r="D122" s="5" t="s">
        <v>18</v>
      </c>
      <c r="F122"/>
      <c r="G122" s="59">
        <v>10.1</v>
      </c>
      <c r="H122" s="59"/>
      <c r="I122" s="59">
        <v>10.16</v>
      </c>
      <c r="J122" s="59"/>
      <c r="K122" s="59">
        <v>10.14</v>
      </c>
      <c r="L122" s="59"/>
      <c r="M122" s="59">
        <f>AVERAGE(K122,I122,G122)</f>
        <v>10.133333333333333</v>
      </c>
    </row>
    <row r="123" spans="2:13" ht="12.75">
      <c r="B123" s="5" t="s">
        <v>87</v>
      </c>
      <c r="C123" s="5"/>
      <c r="D123" s="5" t="s">
        <v>18</v>
      </c>
      <c r="F123"/>
      <c r="G123">
        <v>25.7</v>
      </c>
      <c r="H123"/>
      <c r="I123">
        <v>25.6</v>
      </c>
      <c r="J123"/>
      <c r="K123">
        <v>25.6</v>
      </c>
      <c r="L123"/>
      <c r="M123" s="2">
        <f>AVERAGE(K123,I123,G123)</f>
        <v>25.633333333333336</v>
      </c>
    </row>
    <row r="124" spans="2:13" ht="12.75">
      <c r="B124" s="5" t="s">
        <v>80</v>
      </c>
      <c r="C124" s="5"/>
      <c r="D124" s="5" t="s">
        <v>19</v>
      </c>
      <c r="F124"/>
      <c r="G124"/>
      <c r="H124"/>
      <c r="I124"/>
      <c r="J124"/>
      <c r="K124"/>
      <c r="L124"/>
      <c r="M124" s="2"/>
    </row>
    <row r="125" ht="12.75"/>
    <row r="126" spans="2:13" ht="12.75">
      <c r="B126" s="5" t="s">
        <v>88</v>
      </c>
      <c r="C126" s="5" t="s">
        <v>307</v>
      </c>
      <c r="D126" s="5" t="s">
        <v>304</v>
      </c>
      <c r="F126"/>
      <c r="G126"/>
      <c r="H126"/>
      <c r="I126"/>
      <c r="J126"/>
      <c r="K126"/>
      <c r="L126"/>
      <c r="M126"/>
    </row>
    <row r="127" spans="2:13" ht="12.75">
      <c r="B127" s="5" t="s">
        <v>81</v>
      </c>
      <c r="C127" s="5"/>
      <c r="D127" s="5" t="s">
        <v>17</v>
      </c>
      <c r="F127"/>
      <c r="G127">
        <v>29797</v>
      </c>
      <c r="H127"/>
      <c r="I127">
        <v>30030</v>
      </c>
      <c r="J127"/>
      <c r="K127">
        <v>29863</v>
      </c>
      <c r="L127"/>
      <c r="M127" s="65">
        <f>AVERAGE(K127,I127,G127)</f>
        <v>29896.666666666668</v>
      </c>
    </row>
    <row r="128" spans="2:13" ht="12.75">
      <c r="B128" s="5" t="s">
        <v>86</v>
      </c>
      <c r="C128" s="5"/>
      <c r="D128" s="5" t="s">
        <v>18</v>
      </c>
      <c r="F128"/>
      <c r="G128" s="2">
        <v>10.1</v>
      </c>
      <c r="H128" s="2"/>
      <c r="I128" s="2">
        <v>10.16</v>
      </c>
      <c r="J128" s="2"/>
      <c r="K128" s="2">
        <v>10.14</v>
      </c>
      <c r="L128" s="2"/>
      <c r="M128" s="2">
        <f>AVERAGE(K128,I128,G128)</f>
        <v>10.133333333333333</v>
      </c>
    </row>
    <row r="129" spans="2:13" ht="12.75">
      <c r="B129" s="5" t="s">
        <v>87</v>
      </c>
      <c r="C129" s="5"/>
      <c r="D129" s="5" t="s">
        <v>18</v>
      </c>
      <c r="F129"/>
      <c r="G129">
        <v>24.5</v>
      </c>
      <c r="H129"/>
      <c r="I129">
        <v>24.4</v>
      </c>
      <c r="J129"/>
      <c r="K129">
        <v>23.9</v>
      </c>
      <c r="L129"/>
      <c r="M129" s="2">
        <f>AVERAGE(K129,I129,G129)</f>
        <v>24.266666666666666</v>
      </c>
    </row>
    <row r="130" spans="2:13" ht="12.75">
      <c r="B130" s="5" t="s">
        <v>80</v>
      </c>
      <c r="C130" s="5"/>
      <c r="D130" s="5" t="s">
        <v>19</v>
      </c>
      <c r="F130"/>
      <c r="G130" s="65">
        <v>148</v>
      </c>
      <c r="H130" s="65"/>
      <c r="I130" s="65">
        <v>148</v>
      </c>
      <c r="J130" s="65"/>
      <c r="K130" s="65">
        <v>148</v>
      </c>
      <c r="L130" s="65"/>
      <c r="M130" s="65">
        <f>AVERAGE(K130,I130,G130)</f>
        <v>148</v>
      </c>
    </row>
    <row r="131" ht="12.75"/>
    <row r="132" spans="2:13" ht="12.75">
      <c r="B132" s="5" t="s">
        <v>88</v>
      </c>
      <c r="C132" s="5" t="s">
        <v>306</v>
      </c>
      <c r="D132" s="5" t="s">
        <v>308</v>
      </c>
      <c r="F132"/>
      <c r="G132"/>
      <c r="H132"/>
      <c r="I132"/>
      <c r="J132"/>
      <c r="K132"/>
      <c r="L132"/>
      <c r="M132"/>
    </row>
    <row r="133" spans="2:13" ht="12.75">
      <c r="B133" s="5" t="s">
        <v>81</v>
      </c>
      <c r="C133" s="5"/>
      <c r="D133" s="5" t="s">
        <v>17</v>
      </c>
      <c r="F133"/>
      <c r="G133">
        <v>27716</v>
      </c>
      <c r="H133"/>
      <c r="I133">
        <v>28262</v>
      </c>
      <c r="J133"/>
      <c r="K133">
        <v>28284</v>
      </c>
      <c r="L133"/>
      <c r="M133" s="65">
        <f>AVERAGE(K133,I133,G133)</f>
        <v>28087.333333333332</v>
      </c>
    </row>
    <row r="134" spans="2:13" ht="12.75">
      <c r="B134" s="5" t="s">
        <v>86</v>
      </c>
      <c r="C134" s="5"/>
      <c r="D134" s="5" t="s">
        <v>18</v>
      </c>
      <c r="F134"/>
      <c r="G134" s="59">
        <v>10.1</v>
      </c>
      <c r="H134" s="59"/>
      <c r="I134" s="59">
        <v>10.16</v>
      </c>
      <c r="J134" s="59"/>
      <c r="K134" s="59">
        <v>10.14</v>
      </c>
      <c r="L134" s="59"/>
      <c r="M134" s="59">
        <f>AVERAGE(K134,I134,G134)</f>
        <v>10.133333333333333</v>
      </c>
    </row>
    <row r="135" spans="2:13" ht="12.75">
      <c r="B135" s="5" t="s">
        <v>87</v>
      </c>
      <c r="C135" s="5"/>
      <c r="D135" s="5" t="s">
        <v>18</v>
      </c>
      <c r="F135"/>
      <c r="G135">
        <v>24.4</v>
      </c>
      <c r="H135"/>
      <c r="I135">
        <v>24.2</v>
      </c>
      <c r="J135"/>
      <c r="K135">
        <v>26</v>
      </c>
      <c r="L135"/>
      <c r="M135" s="2">
        <f>AVERAGE(K135,I135,G135)</f>
        <v>24.866666666666664</v>
      </c>
    </row>
    <row r="136" spans="2:13" ht="12.75">
      <c r="B136" s="5" t="s">
        <v>80</v>
      </c>
      <c r="C136" s="5"/>
      <c r="D136" s="5" t="s">
        <v>19</v>
      </c>
      <c r="F136"/>
      <c r="G136" s="65">
        <v>150</v>
      </c>
      <c r="H136" s="65"/>
      <c r="I136" s="65">
        <v>149</v>
      </c>
      <c r="J136" s="65"/>
      <c r="K136" s="65">
        <v>150</v>
      </c>
      <c r="L136" s="65"/>
      <c r="M136" s="65">
        <f>AVERAGE(K136,I136,G136)</f>
        <v>149.66666666666666</v>
      </c>
    </row>
    <row r="137" ht="12.75"/>
    <row r="138" ht="12.75"/>
    <row r="139" spans="2:12" ht="12.75">
      <c r="B139" s="5"/>
      <c r="C139" s="5"/>
      <c r="G139" s="21"/>
      <c r="H139" s="21"/>
      <c r="I139" s="22"/>
      <c r="J139" s="21"/>
      <c r="K139" s="21"/>
      <c r="L139" s="21"/>
    </row>
    <row r="140" spans="2:12" ht="12.75">
      <c r="B140" s="5"/>
      <c r="C140" s="5"/>
      <c r="G140" s="21"/>
      <c r="H140" s="21"/>
      <c r="I140" s="22"/>
      <c r="J140" s="21"/>
      <c r="K140" s="21"/>
      <c r="L140" s="21"/>
    </row>
    <row r="141" spans="2:3" ht="12.75">
      <c r="B141" s="5"/>
      <c r="C141" s="5"/>
    </row>
    <row r="142" spans="2:12" ht="12.75">
      <c r="B142" s="19"/>
      <c r="C142" s="19"/>
      <c r="G142" s="17"/>
      <c r="H142" s="17"/>
      <c r="I142" s="18"/>
      <c r="J142" s="17"/>
      <c r="K142" s="17"/>
      <c r="L142" s="17"/>
    </row>
    <row r="143" spans="2:12" ht="12.75">
      <c r="B143" s="5"/>
      <c r="C143" s="5"/>
      <c r="D143" s="10"/>
      <c r="E143" s="10"/>
      <c r="F143" s="10"/>
      <c r="G143" s="10"/>
      <c r="H143" s="10"/>
      <c r="I143" s="20"/>
      <c r="J143" s="10"/>
      <c r="K143" s="10"/>
      <c r="L143" s="10"/>
    </row>
    <row r="144" spans="2:12" ht="12.75">
      <c r="B144" s="5"/>
      <c r="C144" s="5"/>
      <c r="G144" s="21"/>
      <c r="H144" s="21"/>
      <c r="I144" s="22"/>
      <c r="J144" s="21"/>
      <c r="K144" s="21"/>
      <c r="L144" s="21"/>
    </row>
    <row r="145" spans="2:12" ht="12.75">
      <c r="B145" s="5"/>
      <c r="C145" s="5"/>
      <c r="G145" s="21"/>
      <c r="H145" s="21"/>
      <c r="I145" s="22"/>
      <c r="J145" s="21"/>
      <c r="K145" s="21"/>
      <c r="L145" s="21"/>
    </row>
    <row r="146" spans="2:12" ht="12.75">
      <c r="B146" s="5"/>
      <c r="C146" s="5"/>
      <c r="G146" s="21"/>
      <c r="H146" s="21"/>
      <c r="I146" s="22"/>
      <c r="J146" s="21"/>
      <c r="K146" s="21"/>
      <c r="L146" s="21"/>
    </row>
    <row r="147" spans="2:12" ht="12.75">
      <c r="B147" s="5"/>
      <c r="C147" s="5"/>
      <c r="G147" s="21"/>
      <c r="H147" s="21"/>
      <c r="I147" s="22"/>
      <c r="J147" s="21"/>
      <c r="K147" s="21"/>
      <c r="L147" s="21"/>
    </row>
    <row r="148" spans="2:12" ht="12.75">
      <c r="B148" s="5"/>
      <c r="C148" s="5"/>
      <c r="G148" s="21"/>
      <c r="H148" s="21"/>
      <c r="I148" s="22"/>
      <c r="J148" s="21"/>
      <c r="K148" s="21"/>
      <c r="L148" s="21"/>
    </row>
    <row r="149" spans="2:12" ht="12.75">
      <c r="B149" s="5"/>
      <c r="C149" s="5"/>
      <c r="G149" s="21"/>
      <c r="H149" s="21"/>
      <c r="I149" s="22"/>
      <c r="J149" s="21"/>
      <c r="K149" s="21"/>
      <c r="L149" s="21"/>
    </row>
    <row r="150" spans="2:12" ht="12.75">
      <c r="B150" s="5"/>
      <c r="C150" s="5"/>
      <c r="G150" s="21"/>
      <c r="H150" s="21"/>
      <c r="I150" s="22"/>
      <c r="J150" s="21"/>
      <c r="K150" s="21"/>
      <c r="L150" s="21"/>
    </row>
    <row r="151" spans="2:12" ht="12.75">
      <c r="B151" s="5"/>
      <c r="C151" s="5"/>
      <c r="G151" s="21"/>
      <c r="H151" s="21"/>
      <c r="I151" s="22"/>
      <c r="J151" s="21"/>
      <c r="K151" s="21"/>
      <c r="L151" s="21"/>
    </row>
    <row r="152" spans="2:12" ht="12.75">
      <c r="B152" s="5"/>
      <c r="C152" s="5"/>
      <c r="G152" s="21"/>
      <c r="H152" s="21"/>
      <c r="I152" s="22"/>
      <c r="J152" s="6"/>
      <c r="K152" s="21"/>
      <c r="L152" s="21"/>
    </row>
    <row r="153" spans="2:12" ht="12.75">
      <c r="B153" s="5"/>
      <c r="C153" s="5"/>
      <c r="G153" s="21"/>
      <c r="H153" s="21"/>
      <c r="I153" s="22"/>
      <c r="J153" s="21"/>
      <c r="K153" s="21"/>
      <c r="L153" s="21"/>
    </row>
    <row r="154" spans="2:12" ht="12.75">
      <c r="B154" s="5"/>
      <c r="C154" s="5"/>
      <c r="G154" s="21"/>
      <c r="H154" s="21"/>
      <c r="I154" s="22"/>
      <c r="J154" s="21"/>
      <c r="K154" s="21"/>
      <c r="L154" s="21"/>
    </row>
    <row r="155" spans="2:12" ht="12.75">
      <c r="B155" s="5"/>
      <c r="C155" s="5"/>
      <c r="G155" s="21"/>
      <c r="H155" s="21"/>
      <c r="I155" s="22"/>
      <c r="J155" s="21"/>
      <c r="K155" s="21"/>
      <c r="L155" s="21"/>
    </row>
    <row r="156" spans="2:3" ht="12.75">
      <c r="B156" s="5"/>
      <c r="C156" s="5"/>
    </row>
    <row r="157" spans="2:12" ht="12.75">
      <c r="B157" s="5"/>
      <c r="C157" s="5"/>
      <c r="G157" s="21"/>
      <c r="H157" s="21"/>
      <c r="I157" s="22"/>
      <c r="J157" s="21"/>
      <c r="K157" s="21"/>
      <c r="L157" s="21"/>
    </row>
    <row r="158" spans="2:12" ht="12.75">
      <c r="B158" s="5"/>
      <c r="C158" s="5"/>
      <c r="G158" s="21"/>
      <c r="H158" s="21"/>
      <c r="I158" s="22"/>
      <c r="J158" s="6"/>
      <c r="K158" s="21"/>
      <c r="L158" s="21"/>
    </row>
    <row r="159" spans="2:12" ht="12.75">
      <c r="B159" s="5"/>
      <c r="C159" s="5"/>
      <c r="G159" s="21"/>
      <c r="H159" s="21"/>
      <c r="I159" s="22"/>
      <c r="J159" s="21"/>
      <c r="K159" s="21"/>
      <c r="L159" s="21"/>
    </row>
    <row r="160" spans="2:12" ht="12.75">
      <c r="B160" s="5"/>
      <c r="C160" s="5"/>
      <c r="G160" s="21"/>
      <c r="H160" s="21"/>
      <c r="I160" s="22"/>
      <c r="J160" s="21"/>
      <c r="K160" s="21"/>
      <c r="L160" s="21"/>
    </row>
    <row r="161" spans="2:12" ht="12.75">
      <c r="B161" s="5"/>
      <c r="C161" s="5"/>
      <c r="G161" s="21"/>
      <c r="H161" s="21"/>
      <c r="I161" s="22"/>
      <c r="J161" s="21"/>
      <c r="K161" s="21"/>
      <c r="L161" s="21"/>
    </row>
    <row r="162" spans="7:12" ht="12.75">
      <c r="G162" s="23"/>
      <c r="K162" s="23"/>
      <c r="L162" s="23"/>
    </row>
    <row r="164" spans="2:3" ht="12.75">
      <c r="B164" s="14"/>
      <c r="C164" s="14"/>
    </row>
    <row r="165" spans="2:3" ht="12.75">
      <c r="B165" s="5"/>
      <c r="C165" s="5"/>
    </row>
    <row r="166" spans="2:3" ht="12.75">
      <c r="B166" s="19"/>
      <c r="C166" s="19"/>
    </row>
    <row r="167" spans="2:3" ht="12.75">
      <c r="B167" s="5"/>
      <c r="C167" s="5"/>
    </row>
    <row r="168" spans="2:9" ht="12.75">
      <c r="B168" s="5"/>
      <c r="C168" s="5"/>
      <c r="G168" s="21"/>
      <c r="I168" s="22"/>
    </row>
    <row r="169" spans="2:9" ht="12.75">
      <c r="B169" s="5"/>
      <c r="C169" s="5"/>
      <c r="G169" s="21"/>
      <c r="I169" s="22"/>
    </row>
    <row r="170" spans="7:9" ht="12.75">
      <c r="G170" s="21"/>
      <c r="I170" s="22"/>
    </row>
    <row r="171" spans="2:12" ht="12.75">
      <c r="B171" s="5"/>
      <c r="C171" s="5"/>
      <c r="G171" s="21"/>
      <c r="H171" s="17"/>
      <c r="I171" s="22"/>
      <c r="J171" s="17"/>
      <c r="K171" s="21"/>
      <c r="L171" s="21"/>
    </row>
    <row r="172" spans="7:9" ht="12.75">
      <c r="G172" s="21"/>
      <c r="I172" s="22"/>
    </row>
    <row r="173" spans="2:9" ht="12.75">
      <c r="B173" s="5"/>
      <c r="C173" s="5"/>
      <c r="G173" s="21"/>
      <c r="I173" s="22"/>
    </row>
    <row r="174" spans="2:9" ht="12.75">
      <c r="B174" s="5"/>
      <c r="C174" s="5"/>
      <c r="G174" s="21"/>
      <c r="I174" s="22"/>
    </row>
    <row r="175" spans="2:9" ht="12.75">
      <c r="B175" s="5"/>
      <c r="C175" s="5"/>
      <c r="G175" s="21"/>
      <c r="I175" s="22"/>
    </row>
    <row r="176" spans="2:9" ht="12.75">
      <c r="B176" s="5"/>
      <c r="C176" s="5"/>
      <c r="G176" s="21"/>
      <c r="I176" s="22"/>
    </row>
    <row r="177" spans="7:9" ht="12.75">
      <c r="G177" s="21"/>
      <c r="I177" s="22"/>
    </row>
    <row r="178" spans="2:12" ht="12.75">
      <c r="B178" s="14"/>
      <c r="C178" s="14"/>
      <c r="G178" s="17"/>
      <c r="H178" s="17"/>
      <c r="I178" s="18"/>
      <c r="J178" s="17"/>
      <c r="K178" s="17"/>
      <c r="L178" s="17"/>
    </row>
    <row r="181" spans="7:12" ht="12.75">
      <c r="G181" s="23"/>
      <c r="K181" s="23"/>
      <c r="L181" s="23"/>
    </row>
    <row r="182" spans="7:12" ht="12.75">
      <c r="G182" s="23"/>
      <c r="K182" s="23"/>
      <c r="L182" s="23"/>
    </row>
    <row r="183" spans="7:12" ht="12.75">
      <c r="G183" s="23"/>
      <c r="K183" s="23"/>
      <c r="L183" s="23"/>
    </row>
    <row r="184" spans="7:12" ht="12.75">
      <c r="G184" s="23"/>
      <c r="K184" s="23"/>
      <c r="L184" s="23"/>
    </row>
    <row r="185" spans="7:12" ht="12.75">
      <c r="G185" s="23"/>
      <c r="K185" s="23"/>
      <c r="L185" s="23"/>
    </row>
    <row r="186" spans="7:12" ht="12.75">
      <c r="G186" s="23"/>
      <c r="K186" s="23"/>
      <c r="L186" s="23"/>
    </row>
    <row r="187" spans="7:12" ht="12.75">
      <c r="G187" s="23"/>
      <c r="K187" s="23"/>
      <c r="L187" s="23"/>
    </row>
    <row r="188" spans="7:12" ht="12.75">
      <c r="G188" s="23"/>
      <c r="K188" s="23"/>
      <c r="L188" s="23"/>
    </row>
    <row r="189" spans="7:12" ht="12.75">
      <c r="G189" s="23"/>
      <c r="K189" s="23"/>
      <c r="L189" s="23"/>
    </row>
    <row r="190" spans="7:12" ht="12.75">
      <c r="G190" s="23"/>
      <c r="K190" s="23"/>
      <c r="L190" s="23"/>
    </row>
    <row r="191" spans="7:12" ht="12.75">
      <c r="G191" s="23"/>
      <c r="K191" s="23"/>
      <c r="L191" s="23"/>
    </row>
    <row r="192" spans="7:12" ht="12.75">
      <c r="G192" s="23"/>
      <c r="K192" s="23"/>
      <c r="L192" s="23"/>
    </row>
    <row r="194" spans="7:12" ht="12.75">
      <c r="G194" s="23"/>
      <c r="K194" s="23"/>
      <c r="L194" s="2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B1">
      <selection activeCell="C16" sqref="C16"/>
    </sheetView>
  </sheetViews>
  <sheetFormatPr defaultColWidth="9.140625" defaultRowHeight="12.75"/>
  <cols>
    <col min="1" max="1" width="1.28515625" style="0" hidden="1" customWidth="1"/>
    <col min="2" max="2" width="19.00390625" style="0" customWidth="1"/>
    <col min="3" max="3" width="11.28125" style="0" bestFit="1" customWidth="1"/>
    <col min="5" max="5" width="3.8515625" style="0" customWidth="1"/>
    <col min="6" max="6" width="4.421875" style="0" customWidth="1"/>
    <col min="8" max="8" width="4.7109375" style="49" customWidth="1"/>
    <col min="10" max="10" width="4.140625" style="49" customWidth="1"/>
    <col min="12" max="12" width="3.7109375" style="49" customWidth="1"/>
    <col min="13" max="13" width="9.57421875" style="0" bestFit="1" customWidth="1"/>
    <col min="14" max="14" width="3.7109375" style="0" customWidth="1"/>
    <col min="16" max="16" width="8.28125" style="0" customWidth="1"/>
  </cols>
  <sheetData>
    <row r="1" ht="12.75">
      <c r="B1" s="3" t="s">
        <v>285</v>
      </c>
    </row>
    <row r="3" spans="3:5" ht="12.75">
      <c r="C3" t="s">
        <v>85</v>
      </c>
      <c r="D3" t="s">
        <v>12</v>
      </c>
      <c r="E3" t="s">
        <v>296</v>
      </c>
    </row>
    <row r="6" spans="2:15" ht="12.75">
      <c r="B6" s="3" t="s">
        <v>248</v>
      </c>
      <c r="G6" s="49" t="s">
        <v>257</v>
      </c>
      <c r="I6" s="49" t="s">
        <v>258</v>
      </c>
      <c r="K6" s="49" t="s">
        <v>259</v>
      </c>
      <c r="M6" s="49" t="s">
        <v>260</v>
      </c>
      <c r="N6" s="49"/>
      <c r="O6" s="49" t="s">
        <v>47</v>
      </c>
    </row>
    <row r="8" spans="1:16" s="82" customFormat="1" ht="12.75">
      <c r="A8" s="82" t="s">
        <v>248</v>
      </c>
      <c r="B8" s="82" t="s">
        <v>13</v>
      </c>
      <c r="C8" s="82" t="s">
        <v>298</v>
      </c>
      <c r="D8" s="82" t="s">
        <v>14</v>
      </c>
      <c r="E8" s="82" t="s">
        <v>15</v>
      </c>
      <c r="F8" s="83" t="s">
        <v>261</v>
      </c>
      <c r="G8" s="84">
        <v>0.038200378944</v>
      </c>
      <c r="H8" s="105" t="s">
        <v>261</v>
      </c>
      <c r="I8" s="84">
        <v>0.0063100625952</v>
      </c>
      <c r="J8" s="105" t="s">
        <v>261</v>
      </c>
      <c r="K8" s="84">
        <v>0.0028200279744</v>
      </c>
      <c r="L8" s="105" t="s">
        <v>261</v>
      </c>
      <c r="M8" s="84">
        <v>0.0060700602144</v>
      </c>
      <c r="N8" s="84" t="s">
        <v>261</v>
      </c>
      <c r="O8" s="84">
        <f>AVERAGE(G8,I8,K8,M8)</f>
        <v>0.013350132432</v>
      </c>
      <c r="P8" s="84" t="s">
        <v>261</v>
      </c>
    </row>
    <row r="9" spans="1:16" s="82" customFormat="1" ht="12.75">
      <c r="A9" s="82" t="s">
        <v>248</v>
      </c>
      <c r="B9" s="82" t="s">
        <v>116</v>
      </c>
      <c r="C9" s="82" t="s">
        <v>298</v>
      </c>
      <c r="D9" s="82" t="s">
        <v>16</v>
      </c>
      <c r="E9" s="82" t="s">
        <v>15</v>
      </c>
      <c r="F9" s="83" t="s">
        <v>261</v>
      </c>
      <c r="G9" s="85">
        <v>33.93532934131736</v>
      </c>
      <c r="H9" s="106" t="s">
        <v>261</v>
      </c>
      <c r="I9" s="85">
        <v>10.4</v>
      </c>
      <c r="J9" s="106" t="s">
        <v>261</v>
      </c>
      <c r="K9" s="85">
        <v>19.924098671726753</v>
      </c>
      <c r="L9" s="104" t="s">
        <v>261</v>
      </c>
      <c r="M9" s="85">
        <v>15.192697768762677</v>
      </c>
      <c r="N9" s="83" t="s">
        <v>261</v>
      </c>
      <c r="O9" s="85">
        <f aca="true" t="shared" si="0" ref="O9:O15">AVERAGE(G9,I9,K9,M9)</f>
        <v>19.863031445451696</v>
      </c>
      <c r="P9" s="83" t="s">
        <v>261</v>
      </c>
    </row>
    <row r="10" spans="1:16" s="82" customFormat="1" ht="12.75">
      <c r="A10" s="82" t="s">
        <v>248</v>
      </c>
      <c r="B10" s="82" t="s">
        <v>320</v>
      </c>
      <c r="C10" s="86" t="s">
        <v>298</v>
      </c>
      <c r="D10" s="82" t="s">
        <v>16</v>
      </c>
      <c r="E10" s="82" t="s">
        <v>15</v>
      </c>
      <c r="F10" s="83" t="s">
        <v>261</v>
      </c>
      <c r="G10" s="85">
        <v>4.241916167664671</v>
      </c>
      <c r="H10" s="106" t="s">
        <v>261</v>
      </c>
      <c r="I10" s="85">
        <v>4.24</v>
      </c>
      <c r="J10" s="106" t="s">
        <v>261</v>
      </c>
      <c r="K10" s="85">
        <v>4.8349146110057</v>
      </c>
      <c r="L10" s="104" t="s">
        <v>261</v>
      </c>
      <c r="M10" s="85">
        <v>4.671399594320487</v>
      </c>
      <c r="N10" s="83" t="s">
        <v>261</v>
      </c>
      <c r="O10" s="85">
        <f t="shared" si="0"/>
        <v>4.497057593247715</v>
      </c>
      <c r="P10" s="83" t="s">
        <v>261</v>
      </c>
    </row>
    <row r="11" spans="1:16" s="82" customFormat="1" ht="12.75">
      <c r="A11" s="82" t="s">
        <v>248</v>
      </c>
      <c r="B11" s="82" t="s">
        <v>50</v>
      </c>
      <c r="C11" s="86" t="s">
        <v>298</v>
      </c>
      <c r="D11" s="82" t="s">
        <v>16</v>
      </c>
      <c r="E11" s="82" t="s">
        <v>15</v>
      </c>
      <c r="F11" s="83" t="s">
        <v>101</v>
      </c>
      <c r="G11" s="85">
        <v>3.4874251497006</v>
      </c>
      <c r="H11" s="106" t="s">
        <v>101</v>
      </c>
      <c r="I11" s="85">
        <v>2.5733333333333324</v>
      </c>
      <c r="J11" s="106" t="s">
        <v>101</v>
      </c>
      <c r="K11" s="85">
        <v>2.7628083491461104</v>
      </c>
      <c r="L11" s="104" t="s">
        <v>101</v>
      </c>
      <c r="M11" s="85">
        <v>2.8681541582150105</v>
      </c>
      <c r="N11" s="83" t="s">
        <v>261</v>
      </c>
      <c r="O11" s="85">
        <f t="shared" si="0"/>
        <v>2.9229302475987637</v>
      </c>
      <c r="P11" s="83" t="s">
        <v>261</v>
      </c>
    </row>
    <row r="12" spans="2:16" s="82" customFormat="1" ht="12.75">
      <c r="B12" s="82" t="s">
        <v>103</v>
      </c>
      <c r="C12" s="86" t="s">
        <v>298</v>
      </c>
      <c r="D12" s="82" t="s">
        <v>16</v>
      </c>
      <c r="E12" s="82" t="s">
        <v>15</v>
      </c>
      <c r="F12" s="83">
        <v>100</v>
      </c>
      <c r="G12" s="85">
        <f>G11</f>
        <v>3.4874251497006</v>
      </c>
      <c r="H12" s="108">
        <v>100</v>
      </c>
      <c r="I12" s="85">
        <f>I11</f>
        <v>2.5733333333333324</v>
      </c>
      <c r="J12" s="108">
        <v>100</v>
      </c>
      <c r="K12" s="85">
        <f>K11</f>
        <v>2.7628083491461104</v>
      </c>
      <c r="L12" s="104">
        <v>100</v>
      </c>
      <c r="M12" s="85">
        <f>M11</f>
        <v>2.8681541582150105</v>
      </c>
      <c r="N12" s="83">
        <v>100</v>
      </c>
      <c r="O12" s="85">
        <f t="shared" si="0"/>
        <v>2.9229302475987637</v>
      </c>
      <c r="P12" s="83"/>
    </row>
    <row r="13" spans="1:16" s="82" customFormat="1" ht="12.75">
      <c r="A13" s="82" t="s">
        <v>248</v>
      </c>
      <c r="B13" s="82" t="s">
        <v>83</v>
      </c>
      <c r="C13" s="86" t="s">
        <v>297</v>
      </c>
      <c r="D13" s="82" t="s">
        <v>58</v>
      </c>
      <c r="E13" s="82" t="s">
        <v>15</v>
      </c>
      <c r="F13" s="83" t="s">
        <v>101</v>
      </c>
      <c r="G13" s="85">
        <v>3.9536704191616767</v>
      </c>
      <c r="H13" s="106" t="s">
        <v>101</v>
      </c>
      <c r="I13" s="85">
        <v>3.479888</v>
      </c>
      <c r="J13" s="106" t="s">
        <v>101</v>
      </c>
      <c r="K13" s="85">
        <v>3.43627210626186</v>
      </c>
      <c r="L13" s="104" t="s">
        <v>101</v>
      </c>
      <c r="M13" s="85">
        <v>3.5757363083164306</v>
      </c>
      <c r="N13" s="83" t="s">
        <v>261</v>
      </c>
      <c r="O13" s="85">
        <f t="shared" si="0"/>
        <v>3.611391708434992</v>
      </c>
      <c r="P13" s="83" t="s">
        <v>261</v>
      </c>
    </row>
    <row r="14" spans="1:16" s="82" customFormat="1" ht="12.75">
      <c r="A14" s="82" t="s">
        <v>248</v>
      </c>
      <c r="B14" s="82" t="s">
        <v>262</v>
      </c>
      <c r="C14" s="86" t="s">
        <v>297</v>
      </c>
      <c r="D14" s="82" t="s">
        <v>58</v>
      </c>
      <c r="E14" s="82" t="s">
        <v>15</v>
      </c>
      <c r="F14" s="83" t="s">
        <v>261</v>
      </c>
      <c r="G14" s="85">
        <v>52.20380359281438</v>
      </c>
      <c r="H14" s="106" t="s">
        <v>261</v>
      </c>
      <c r="I14" s="85">
        <v>221.91917333333333</v>
      </c>
      <c r="J14" s="106" t="s">
        <v>261</v>
      </c>
      <c r="K14" s="85">
        <v>62.03535483870969</v>
      </c>
      <c r="L14" s="104" t="s">
        <v>261</v>
      </c>
      <c r="M14" s="85">
        <v>265.2546206896552</v>
      </c>
      <c r="N14" s="83" t="s">
        <v>261</v>
      </c>
      <c r="O14" s="85">
        <f t="shared" si="0"/>
        <v>150.35323811362815</v>
      </c>
      <c r="P14" s="83" t="s">
        <v>261</v>
      </c>
    </row>
    <row r="15" spans="1:16" s="82" customFormat="1" ht="12.75">
      <c r="A15" s="82" t="s">
        <v>248</v>
      </c>
      <c r="B15" s="82" t="s">
        <v>82</v>
      </c>
      <c r="C15" s="86" t="s">
        <v>297</v>
      </c>
      <c r="D15" s="82" t="s">
        <v>58</v>
      </c>
      <c r="E15" s="82" t="s">
        <v>15</v>
      </c>
      <c r="F15" s="83" t="s">
        <v>261</v>
      </c>
      <c r="G15" s="85">
        <v>2180.2765029940124</v>
      </c>
      <c r="H15" s="106" t="s">
        <v>261</v>
      </c>
      <c r="I15" s="85">
        <v>943.2328</v>
      </c>
      <c r="J15" s="106" t="s">
        <v>261</v>
      </c>
      <c r="K15" s="85">
        <v>766.31908918406</v>
      </c>
      <c r="L15" s="104" t="s">
        <v>261</v>
      </c>
      <c r="M15" s="85">
        <v>728.1499391480731</v>
      </c>
      <c r="N15" s="83" t="s">
        <v>261</v>
      </c>
      <c r="O15" s="85">
        <f t="shared" si="0"/>
        <v>1154.4945828315365</v>
      </c>
      <c r="P15" s="83" t="s">
        <v>261</v>
      </c>
    </row>
    <row r="16" spans="1:16" s="82" customFormat="1" ht="12.75">
      <c r="A16" s="82" t="s">
        <v>248</v>
      </c>
      <c r="B16" s="82" t="s">
        <v>84</v>
      </c>
      <c r="C16" s="86" t="s">
        <v>297</v>
      </c>
      <c r="D16" s="82" t="s">
        <v>58</v>
      </c>
      <c r="E16" s="82" t="s">
        <v>15</v>
      </c>
      <c r="F16" s="83" t="s">
        <v>261</v>
      </c>
      <c r="G16" s="85">
        <v>28750.477125748504</v>
      </c>
      <c r="H16" s="106" t="s">
        <v>261</v>
      </c>
      <c r="I16" s="85">
        <v>17979.421333333332</v>
      </c>
      <c r="J16" s="106" t="s">
        <v>261</v>
      </c>
      <c r="K16" s="85">
        <v>11829.290702087286</v>
      </c>
      <c r="L16" s="104" t="s">
        <v>261</v>
      </c>
      <c r="M16" s="85">
        <v>11052.275862069</v>
      </c>
      <c r="N16" s="83" t="s">
        <v>261</v>
      </c>
      <c r="O16" s="85">
        <f>AVERAGE(G16,I16,K16,M16)</f>
        <v>17402.86625580953</v>
      </c>
      <c r="P16" s="83" t="s">
        <v>261</v>
      </c>
    </row>
    <row r="17" spans="2:16" s="82" customFormat="1" ht="12.75">
      <c r="B17" s="86" t="s">
        <v>59</v>
      </c>
      <c r="C17" s="86" t="s">
        <v>297</v>
      </c>
      <c r="D17" s="86" t="s">
        <v>58</v>
      </c>
      <c r="E17" s="86" t="s">
        <v>15</v>
      </c>
      <c r="F17" s="83"/>
      <c r="G17" s="85">
        <f>G15</f>
        <v>2180.2765029940124</v>
      </c>
      <c r="H17" s="106"/>
      <c r="I17" s="85">
        <f>I15</f>
        <v>943.2328</v>
      </c>
      <c r="J17" s="106"/>
      <c r="K17" s="85">
        <f>K15</f>
        <v>766.31908918406</v>
      </c>
      <c r="L17" s="104"/>
      <c r="M17" s="85">
        <f>M15</f>
        <v>728.1499391480731</v>
      </c>
      <c r="N17" s="83"/>
      <c r="O17" s="85">
        <f>AVERAGE(G17,I17,K17,M17)</f>
        <v>1154.4945828315365</v>
      </c>
      <c r="P17" s="83" t="s">
        <v>300</v>
      </c>
    </row>
    <row r="18" spans="2:16" s="82" customFormat="1" ht="12.75">
      <c r="B18" s="86" t="s">
        <v>60</v>
      </c>
      <c r="C18" s="86" t="s">
        <v>297</v>
      </c>
      <c r="D18" s="86" t="s">
        <v>58</v>
      </c>
      <c r="E18" s="86" t="s">
        <v>15</v>
      </c>
      <c r="F18" s="83">
        <v>7</v>
      </c>
      <c r="G18" s="85">
        <f>G13+G14</f>
        <v>56.157474011976056</v>
      </c>
      <c r="H18" s="106">
        <v>1.5</v>
      </c>
      <c r="I18" s="85">
        <f>I13+I14</f>
        <v>225.39906133333332</v>
      </c>
      <c r="J18" s="106">
        <v>5.2</v>
      </c>
      <c r="K18" s="85">
        <f>K13+K14</f>
        <v>65.47162694497155</v>
      </c>
      <c r="L18" s="104">
        <v>1.3</v>
      </c>
      <c r="M18" s="85">
        <f>M13+M14</f>
        <v>268.83035699797165</v>
      </c>
      <c r="N18" s="83">
        <v>2.3</v>
      </c>
      <c r="O18" s="85">
        <f>AVERAGE(G18,I18,K18,M18)</f>
        <v>153.96462982206316</v>
      </c>
      <c r="P18" s="83" t="s">
        <v>299</v>
      </c>
    </row>
    <row r="19" spans="6:16" s="82" customFormat="1" ht="12.75">
      <c r="F19" s="83"/>
      <c r="G19" s="85"/>
      <c r="H19" s="106"/>
      <c r="I19" s="85"/>
      <c r="J19" s="106"/>
      <c r="K19" s="85"/>
      <c r="L19" s="104"/>
      <c r="M19" s="85"/>
      <c r="N19" s="83"/>
      <c r="O19" s="85"/>
      <c r="P19" s="83"/>
    </row>
    <row r="20" spans="2:16" s="82" customFormat="1" ht="12.75">
      <c r="B20" s="86" t="s">
        <v>263</v>
      </c>
      <c r="F20" s="83"/>
      <c r="G20" s="85"/>
      <c r="H20" s="106"/>
      <c r="I20" s="85"/>
      <c r="J20" s="106"/>
      <c r="K20" s="85"/>
      <c r="L20" s="104"/>
      <c r="M20" s="85"/>
      <c r="N20" s="83"/>
      <c r="O20" s="85"/>
      <c r="P20" s="83"/>
    </row>
    <row r="21" spans="1:19" s="86" customFormat="1" ht="12.75">
      <c r="A21" s="86" t="s">
        <v>248</v>
      </c>
      <c r="B21" s="86" t="s">
        <v>52</v>
      </c>
      <c r="C21" s="86" t="s">
        <v>297</v>
      </c>
      <c r="D21" s="86" t="s">
        <v>18</v>
      </c>
      <c r="G21" s="87">
        <v>99.998</v>
      </c>
      <c r="H21" s="107"/>
      <c r="I21" s="87">
        <v>99.999</v>
      </c>
      <c r="J21" s="107"/>
      <c r="K21" s="87">
        <v>99.987</v>
      </c>
      <c r="L21" s="107"/>
      <c r="M21" s="87">
        <v>99.996</v>
      </c>
      <c r="N21" s="87"/>
      <c r="O21" s="87"/>
      <c r="P21" s="87"/>
      <c r="Q21" s="87"/>
      <c r="R21" s="87"/>
      <c r="S21" s="87"/>
    </row>
    <row r="22" spans="7:19" s="86" customFormat="1" ht="12.75">
      <c r="G22" s="87"/>
      <c r="H22" s="107"/>
      <c r="I22" s="87"/>
      <c r="J22" s="107"/>
      <c r="K22" s="87"/>
      <c r="L22" s="107"/>
      <c r="M22" s="87"/>
      <c r="N22" s="87"/>
      <c r="O22" s="87"/>
      <c r="P22" s="87"/>
      <c r="Q22" s="87"/>
      <c r="R22" s="87"/>
      <c r="S22" s="87"/>
    </row>
    <row r="23" spans="2:19" s="86" customFormat="1" ht="12.75">
      <c r="B23" s="86" t="s">
        <v>264</v>
      </c>
      <c r="G23" s="87"/>
      <c r="H23" s="107"/>
      <c r="I23" s="87"/>
      <c r="J23" s="107"/>
      <c r="K23" s="87"/>
      <c r="L23" s="107"/>
      <c r="M23" s="87"/>
      <c r="N23" s="87"/>
      <c r="O23" s="87"/>
      <c r="P23" s="87"/>
      <c r="Q23" s="87"/>
      <c r="R23" s="87"/>
      <c r="S23" s="87"/>
    </row>
    <row r="24" spans="1:19" s="86" customFormat="1" ht="12.75">
      <c r="A24" s="86" t="s">
        <v>248</v>
      </c>
      <c r="B24" s="86" t="s">
        <v>52</v>
      </c>
      <c r="C24" s="86" t="s">
        <v>297</v>
      </c>
      <c r="D24" s="86" t="s">
        <v>18</v>
      </c>
      <c r="G24" s="87">
        <v>99.9999</v>
      </c>
      <c r="H24" s="107"/>
      <c r="I24" s="87">
        <v>99.99993</v>
      </c>
      <c r="J24" s="107"/>
      <c r="K24" s="87">
        <v>99.99987</v>
      </c>
      <c r="L24" s="107"/>
      <c r="M24" s="87">
        <v>99.99998</v>
      </c>
      <c r="N24" s="87"/>
      <c r="O24" s="87"/>
      <c r="P24" s="87"/>
      <c r="Q24" s="87"/>
      <c r="R24" s="87"/>
      <c r="S24" s="87"/>
    </row>
    <row r="25" spans="7:19" s="86" customFormat="1" ht="12.75">
      <c r="G25" s="87"/>
      <c r="H25" s="107"/>
      <c r="I25" s="87"/>
      <c r="J25" s="107"/>
      <c r="K25" s="87"/>
      <c r="L25" s="107"/>
      <c r="M25" s="87"/>
      <c r="N25" s="87"/>
      <c r="O25" s="87"/>
      <c r="P25" s="87"/>
      <c r="Q25" s="87"/>
      <c r="R25" s="87"/>
      <c r="S25" s="87"/>
    </row>
    <row r="26" spans="2:19" s="86" customFormat="1" ht="12.75">
      <c r="B26" s="86" t="s">
        <v>265</v>
      </c>
      <c r="G26" s="87"/>
      <c r="H26" s="107"/>
      <c r="I26" s="87"/>
      <c r="J26" s="107"/>
      <c r="K26" s="87"/>
      <c r="L26" s="107"/>
      <c r="M26" s="87"/>
      <c r="N26" s="87"/>
      <c r="O26" s="87"/>
      <c r="P26" s="87"/>
      <c r="Q26" s="87"/>
      <c r="R26" s="87"/>
      <c r="S26" s="87"/>
    </row>
    <row r="27" spans="1:19" s="86" customFormat="1" ht="12.75">
      <c r="A27" s="86" t="s">
        <v>248</v>
      </c>
      <c r="B27" s="86" t="s">
        <v>52</v>
      </c>
      <c r="C27" s="86" t="s">
        <v>297</v>
      </c>
      <c r="D27" s="86" t="s">
        <v>18</v>
      </c>
      <c r="G27" s="87">
        <v>99.9996</v>
      </c>
      <c r="H27" s="107"/>
      <c r="I27" s="87">
        <v>99.9996</v>
      </c>
      <c r="J27" s="107"/>
      <c r="K27" s="87">
        <v>99.9993</v>
      </c>
      <c r="L27" s="107"/>
      <c r="M27" s="87">
        <v>99.9996</v>
      </c>
      <c r="N27" s="87"/>
      <c r="O27" s="87"/>
      <c r="P27" s="87"/>
      <c r="Q27" s="87"/>
      <c r="R27" s="87"/>
      <c r="S27" s="87"/>
    </row>
    <row r="28" spans="6:16" s="82" customFormat="1" ht="12.75">
      <c r="F28" s="83"/>
      <c r="G28" s="85"/>
      <c r="H28" s="106"/>
      <c r="I28" s="85"/>
      <c r="J28" s="106"/>
      <c r="K28" s="85"/>
      <c r="L28" s="104"/>
      <c r="M28" s="83"/>
      <c r="N28" s="83"/>
      <c r="O28" s="83"/>
      <c r="P28" s="83"/>
    </row>
    <row r="29" spans="2:16" s="82" customFormat="1" ht="12.75">
      <c r="B29" s="82" t="s">
        <v>88</v>
      </c>
      <c r="C29" s="82" t="s">
        <v>266</v>
      </c>
      <c r="D29" s="86" t="s">
        <v>297</v>
      </c>
      <c r="F29" s="83"/>
      <c r="G29" s="85"/>
      <c r="H29" s="106"/>
      <c r="I29" s="85"/>
      <c r="J29" s="106"/>
      <c r="K29" s="85"/>
      <c r="L29" s="104"/>
      <c r="M29" s="83"/>
      <c r="N29" s="83"/>
      <c r="O29" s="83"/>
      <c r="P29" s="83"/>
    </row>
    <row r="30" spans="2:25" s="82" customFormat="1" ht="12.75">
      <c r="B30" s="10" t="s">
        <v>81</v>
      </c>
      <c r="C30" s="10"/>
      <c r="D30" s="10" t="s">
        <v>17</v>
      </c>
      <c r="G30" s="85">
        <v>19205</v>
      </c>
      <c r="H30" s="106"/>
      <c r="I30" s="85">
        <v>20652</v>
      </c>
      <c r="J30" s="106"/>
      <c r="K30" s="85">
        <v>21018</v>
      </c>
      <c r="L30" s="106"/>
      <c r="M30" s="85">
        <v>21654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2:25" s="82" customFormat="1" ht="12.75">
      <c r="B31" s="10" t="s">
        <v>86</v>
      </c>
      <c r="C31" s="10"/>
      <c r="D31" s="10" t="s">
        <v>18</v>
      </c>
      <c r="G31" s="85">
        <v>12.65</v>
      </c>
      <c r="H31" s="106"/>
      <c r="I31" s="85">
        <v>10.5</v>
      </c>
      <c r="J31" s="106"/>
      <c r="K31" s="85">
        <v>10.46</v>
      </c>
      <c r="L31" s="106"/>
      <c r="M31" s="85">
        <v>11.14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s="82" customFormat="1" ht="12.75">
      <c r="A32" s="82" t="s">
        <v>248</v>
      </c>
      <c r="B32" s="10" t="s">
        <v>87</v>
      </c>
      <c r="C32" s="10"/>
      <c r="D32" s="10" t="s">
        <v>18</v>
      </c>
      <c r="G32" s="85"/>
      <c r="H32" s="106"/>
      <c r="I32" s="85"/>
      <c r="J32" s="106"/>
      <c r="K32" s="85"/>
      <c r="L32" s="106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2:25" s="82" customFormat="1" ht="12.75">
      <c r="B33" s="10" t="s">
        <v>80</v>
      </c>
      <c r="C33" s="10"/>
      <c r="D33" s="10" t="s">
        <v>19</v>
      </c>
      <c r="G33" s="85">
        <v>156</v>
      </c>
      <c r="H33" s="106"/>
      <c r="I33" s="85">
        <v>144</v>
      </c>
      <c r="J33" s="106"/>
      <c r="K33" s="85">
        <v>149</v>
      </c>
      <c r="L33" s="106"/>
      <c r="M33" s="85">
        <v>148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7:25" s="82" customFormat="1" ht="12.75">
      <c r="G34" s="85"/>
      <c r="H34" s="106"/>
      <c r="I34" s="85"/>
      <c r="J34" s="106"/>
      <c r="K34" s="85"/>
      <c r="L34" s="106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2:25" s="82" customFormat="1" ht="12.75">
      <c r="B35" s="82" t="s">
        <v>88</v>
      </c>
      <c r="C35" s="82" t="s">
        <v>267</v>
      </c>
      <c r="D35" s="86" t="s">
        <v>298</v>
      </c>
      <c r="G35" s="85"/>
      <c r="H35" s="106"/>
      <c r="I35" s="85"/>
      <c r="J35" s="106"/>
      <c r="K35" s="85"/>
      <c r="L35" s="106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2:25" s="82" customFormat="1" ht="12.75">
      <c r="B36" s="10" t="s">
        <v>81</v>
      </c>
      <c r="C36" s="10"/>
      <c r="D36" s="10" t="s">
        <v>17</v>
      </c>
      <c r="G36" s="85">
        <v>19710</v>
      </c>
      <c r="H36" s="106"/>
      <c r="I36" s="85">
        <v>19606</v>
      </c>
      <c r="J36" s="106"/>
      <c r="K36" s="85">
        <v>21613</v>
      </c>
      <c r="L36" s="106"/>
      <c r="M36" s="85">
        <v>21165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2:25" s="82" customFormat="1" ht="12.75">
      <c r="B37" s="10" t="s">
        <v>86</v>
      </c>
      <c r="C37" s="10"/>
      <c r="D37" s="10" t="s">
        <v>18</v>
      </c>
      <c r="G37" s="85">
        <v>12.65</v>
      </c>
      <c r="H37" s="106"/>
      <c r="I37" s="85">
        <v>10.5</v>
      </c>
      <c r="J37" s="106"/>
      <c r="K37" s="85">
        <v>10.46</v>
      </c>
      <c r="L37" s="106"/>
      <c r="M37" s="85">
        <v>11.14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2:25" s="82" customFormat="1" ht="12.75">
      <c r="B38" s="10" t="s">
        <v>87</v>
      </c>
      <c r="C38" s="10"/>
      <c r="D38" s="10" t="s">
        <v>18</v>
      </c>
      <c r="G38" s="85"/>
      <c r="H38" s="106"/>
      <c r="I38" s="85"/>
      <c r="J38" s="106"/>
      <c r="K38" s="85"/>
      <c r="L38" s="106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2:25" s="82" customFormat="1" ht="12.75">
      <c r="B39" s="10" t="s">
        <v>80</v>
      </c>
      <c r="C39" s="10"/>
      <c r="D39" s="10" t="s">
        <v>19</v>
      </c>
      <c r="G39" s="85">
        <v>149</v>
      </c>
      <c r="H39" s="106"/>
      <c r="I39" s="85">
        <v>149</v>
      </c>
      <c r="J39" s="106"/>
      <c r="K39" s="85">
        <v>149</v>
      </c>
      <c r="L39" s="106"/>
      <c r="M39" s="85">
        <v>149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6:16" s="82" customFormat="1" ht="12.75">
      <c r="F40" s="83"/>
      <c r="G40" s="85"/>
      <c r="H40" s="106"/>
      <c r="I40" s="85"/>
      <c r="J40" s="106"/>
      <c r="K40" s="85"/>
      <c r="L40" s="104"/>
      <c r="M40" s="83"/>
      <c r="N40" s="83"/>
      <c r="O40" s="83"/>
      <c r="P40" s="83"/>
    </row>
    <row r="41" spans="2:16" s="82" customFormat="1" ht="12.75">
      <c r="B41" s="40" t="s">
        <v>253</v>
      </c>
      <c r="F41" s="83"/>
      <c r="G41" s="49" t="s">
        <v>257</v>
      </c>
      <c r="H41" s="49"/>
      <c r="I41" s="49" t="s">
        <v>258</v>
      </c>
      <c r="J41" s="49"/>
      <c r="K41" s="49" t="s">
        <v>259</v>
      </c>
      <c r="L41" s="49"/>
      <c r="M41" s="49" t="s">
        <v>260</v>
      </c>
      <c r="N41" s="49"/>
      <c r="O41" s="49" t="s">
        <v>47</v>
      </c>
      <c r="P41" s="83"/>
    </row>
    <row r="42" spans="6:16" s="82" customFormat="1" ht="12.75">
      <c r="F42" s="83"/>
      <c r="G42" s="85"/>
      <c r="H42" s="106"/>
      <c r="I42" s="85"/>
      <c r="J42" s="106"/>
      <c r="K42" s="85"/>
      <c r="L42" s="104"/>
      <c r="M42" s="83"/>
      <c r="N42" s="83"/>
      <c r="O42" s="83"/>
      <c r="P42" s="83"/>
    </row>
    <row r="43" spans="1:16" s="82" customFormat="1" ht="12.75">
      <c r="A43" s="82" t="s">
        <v>253</v>
      </c>
      <c r="B43" s="82" t="s">
        <v>13</v>
      </c>
      <c r="C43" s="82" t="s">
        <v>298</v>
      </c>
      <c r="D43" s="82" t="s">
        <v>14</v>
      </c>
      <c r="E43" s="82" t="s">
        <v>15</v>
      </c>
      <c r="F43" s="83" t="s">
        <v>261</v>
      </c>
      <c r="G43" s="84">
        <v>0.0040200398784</v>
      </c>
      <c r="H43" s="105" t="s">
        <v>261</v>
      </c>
      <c r="I43" s="84">
        <v>0.0028800285696</v>
      </c>
      <c r="J43" s="105" t="s">
        <v>261</v>
      </c>
      <c r="K43" s="84">
        <v>0.0058600581312</v>
      </c>
      <c r="L43" s="105" t="s">
        <v>261</v>
      </c>
      <c r="M43" s="84">
        <v>0.0026300260896</v>
      </c>
      <c r="N43" s="84" t="s">
        <v>261</v>
      </c>
      <c r="O43" s="84">
        <f>AVERAGE(G43,I43,K43,M43)</f>
        <v>0.0038475381672</v>
      </c>
      <c r="P43" s="84" t="s">
        <v>261</v>
      </c>
    </row>
    <row r="44" spans="1:16" s="82" customFormat="1" ht="12.75">
      <c r="A44" s="82" t="s">
        <v>253</v>
      </c>
      <c r="B44" s="82" t="s">
        <v>116</v>
      </c>
      <c r="C44" s="82" t="s">
        <v>298</v>
      </c>
      <c r="D44" s="82" t="s">
        <v>16</v>
      </c>
      <c r="E44" s="82" t="s">
        <v>15</v>
      </c>
      <c r="F44" s="83" t="s">
        <v>261</v>
      </c>
      <c r="G44" s="85">
        <v>33.54010695187165</v>
      </c>
      <c r="H44" s="106" t="s">
        <v>261</v>
      </c>
      <c r="I44" s="85">
        <v>27.67782426778242</v>
      </c>
      <c r="J44" s="106" t="s">
        <v>261</v>
      </c>
      <c r="K44" s="85">
        <v>8.440748440748441</v>
      </c>
      <c r="L44" s="104" t="s">
        <v>261</v>
      </c>
      <c r="M44" s="85">
        <v>12.327044025157234</v>
      </c>
      <c r="N44" s="83" t="s">
        <v>261</v>
      </c>
      <c r="O44" s="85">
        <f aca="true" t="shared" si="1" ref="O44:O50">AVERAGE(G44,I44,K44,M44)</f>
        <v>20.496430921389937</v>
      </c>
      <c r="P44" s="83" t="s">
        <v>261</v>
      </c>
    </row>
    <row r="45" spans="1:16" s="82" customFormat="1" ht="12.75">
      <c r="A45" s="82" t="s">
        <v>253</v>
      </c>
      <c r="B45" s="82" t="s">
        <v>320</v>
      </c>
      <c r="C45" s="82" t="s">
        <v>298</v>
      </c>
      <c r="D45" s="82" t="s">
        <v>16</v>
      </c>
      <c r="E45" s="82" t="s">
        <v>15</v>
      </c>
      <c r="F45" s="83" t="s">
        <v>261</v>
      </c>
      <c r="G45" s="85">
        <v>2.245989304812834</v>
      </c>
      <c r="H45" s="106" t="s">
        <v>261</v>
      </c>
      <c r="I45" s="85">
        <v>4.0857740585774</v>
      </c>
      <c r="J45" s="106" t="s">
        <v>261</v>
      </c>
      <c r="K45" s="85">
        <v>1.6444906444906449</v>
      </c>
      <c r="L45" s="104" t="s">
        <v>261</v>
      </c>
      <c r="M45" s="85">
        <v>4.2117400419287225</v>
      </c>
      <c r="N45" s="83" t="s">
        <v>261</v>
      </c>
      <c r="O45" s="85">
        <f t="shared" si="1"/>
        <v>3.0469985124524004</v>
      </c>
      <c r="P45" s="83" t="s">
        <v>261</v>
      </c>
    </row>
    <row r="46" spans="1:16" s="82" customFormat="1" ht="12.75">
      <c r="A46" s="82" t="s">
        <v>253</v>
      </c>
      <c r="B46" s="82" t="s">
        <v>50</v>
      </c>
      <c r="C46" s="86" t="s">
        <v>298</v>
      </c>
      <c r="D46" s="82" t="s">
        <v>16</v>
      </c>
      <c r="E46" s="82" t="s">
        <v>15</v>
      </c>
      <c r="F46" s="83" t="s">
        <v>101</v>
      </c>
      <c r="G46" s="85">
        <v>2.9048128342246</v>
      </c>
      <c r="H46" s="106" t="s">
        <v>101</v>
      </c>
      <c r="I46" s="85">
        <v>2.4163179916318</v>
      </c>
      <c r="J46" s="106" t="s">
        <v>101</v>
      </c>
      <c r="K46" s="85">
        <v>2.4740124740124743</v>
      </c>
      <c r="L46" s="104" t="s">
        <v>101</v>
      </c>
      <c r="M46" s="85">
        <v>2.4360587002096437</v>
      </c>
      <c r="N46" s="83" t="s">
        <v>261</v>
      </c>
      <c r="O46" s="85">
        <f t="shared" si="1"/>
        <v>2.5578005000196296</v>
      </c>
      <c r="P46" s="83" t="s">
        <v>261</v>
      </c>
    </row>
    <row r="47" spans="2:16" s="82" customFormat="1" ht="12.75">
      <c r="B47" s="82" t="s">
        <v>103</v>
      </c>
      <c r="C47" s="86" t="s">
        <v>298</v>
      </c>
      <c r="D47" s="82" t="s">
        <v>16</v>
      </c>
      <c r="E47" s="82" t="s">
        <v>15</v>
      </c>
      <c r="F47" s="83">
        <v>100</v>
      </c>
      <c r="G47" s="85">
        <f>G46</f>
        <v>2.9048128342246</v>
      </c>
      <c r="H47" s="106">
        <v>100</v>
      </c>
      <c r="I47" s="85">
        <f>I46</f>
        <v>2.4163179916318</v>
      </c>
      <c r="J47" s="106">
        <v>100</v>
      </c>
      <c r="K47" s="85">
        <f>K46</f>
        <v>2.4740124740124743</v>
      </c>
      <c r="L47" s="104">
        <v>100</v>
      </c>
      <c r="M47" s="85">
        <f>M46</f>
        <v>2.4360587002096437</v>
      </c>
      <c r="N47" s="83">
        <v>100</v>
      </c>
      <c r="O47" s="85">
        <f t="shared" si="1"/>
        <v>2.5578005000196296</v>
      </c>
      <c r="P47" s="83"/>
    </row>
    <row r="48" spans="1:16" s="82" customFormat="1" ht="12.75">
      <c r="A48" s="82" t="s">
        <v>253</v>
      </c>
      <c r="B48" s="82" t="s">
        <v>83</v>
      </c>
      <c r="C48" s="86" t="s">
        <v>297</v>
      </c>
      <c r="D48" s="82" t="s">
        <v>58</v>
      </c>
      <c r="E48" s="82" t="s">
        <v>15</v>
      </c>
      <c r="F48" s="83" t="s">
        <v>101</v>
      </c>
      <c r="G48" s="85">
        <v>3.4622583957219253</v>
      </c>
      <c r="H48" s="106" t="s">
        <v>101</v>
      </c>
      <c r="I48" s="85">
        <v>3.4867849372385</v>
      </c>
      <c r="J48" s="106" t="s">
        <v>101</v>
      </c>
      <c r="K48" s="85">
        <v>3.598308523908524</v>
      </c>
      <c r="L48" s="104" t="s">
        <v>101</v>
      </c>
      <c r="M48" s="85">
        <v>3.561288888888889</v>
      </c>
      <c r="N48" s="83">
        <v>100</v>
      </c>
      <c r="O48" s="85">
        <f t="shared" si="1"/>
        <v>3.5271601864394597</v>
      </c>
      <c r="P48" s="83" t="s">
        <v>261</v>
      </c>
    </row>
    <row r="49" spans="1:16" s="82" customFormat="1" ht="12.75">
      <c r="A49" s="82" t="s">
        <v>253</v>
      </c>
      <c r="B49" s="82" t="s">
        <v>262</v>
      </c>
      <c r="C49" s="86" t="s">
        <v>297</v>
      </c>
      <c r="D49" s="82" t="s">
        <v>58</v>
      </c>
      <c r="E49" s="82" t="s">
        <v>15</v>
      </c>
      <c r="F49" s="83" t="s">
        <v>261</v>
      </c>
      <c r="G49" s="85">
        <v>117.92246417112301</v>
      </c>
      <c r="H49" s="106" t="s">
        <v>261</v>
      </c>
      <c r="I49" s="85">
        <v>175.00978242677823</v>
      </c>
      <c r="J49" s="106" t="s">
        <v>261</v>
      </c>
      <c r="K49" s="85">
        <v>103.95113513513515</v>
      </c>
      <c r="L49" s="104" t="s">
        <v>261</v>
      </c>
      <c r="M49" s="85">
        <v>70.8898071278826</v>
      </c>
      <c r="N49" s="83" t="s">
        <v>261</v>
      </c>
      <c r="O49" s="85">
        <f t="shared" si="1"/>
        <v>116.94329721522973</v>
      </c>
      <c r="P49" s="83" t="s">
        <v>261</v>
      </c>
    </row>
    <row r="50" spans="1:16" s="82" customFormat="1" ht="12.75">
      <c r="A50" s="82" t="s">
        <v>253</v>
      </c>
      <c r="B50" s="82" t="s">
        <v>82</v>
      </c>
      <c r="C50" s="86" t="s">
        <v>297</v>
      </c>
      <c r="D50" s="82" t="s">
        <v>58</v>
      </c>
      <c r="E50" s="82" t="s">
        <v>15</v>
      </c>
      <c r="F50" s="83" t="s">
        <v>261</v>
      </c>
      <c r="G50" s="85">
        <v>1282.064</v>
      </c>
      <c r="H50" s="106" t="s">
        <v>261</v>
      </c>
      <c r="I50" s="85">
        <v>1706.5130125523</v>
      </c>
      <c r="J50" s="106" t="s">
        <v>261</v>
      </c>
      <c r="K50" s="85">
        <v>1232.753846153846</v>
      </c>
      <c r="L50" s="104" t="s">
        <v>261</v>
      </c>
      <c r="M50" s="85">
        <v>1078.465786163522</v>
      </c>
      <c r="N50" s="83" t="s">
        <v>261</v>
      </c>
      <c r="O50" s="85">
        <f t="shared" si="1"/>
        <v>1324.949161217417</v>
      </c>
      <c r="P50" s="83" t="s">
        <v>261</v>
      </c>
    </row>
    <row r="51" spans="1:16" s="82" customFormat="1" ht="12.75">
      <c r="A51" s="82" t="s">
        <v>253</v>
      </c>
      <c r="B51" s="82" t="s">
        <v>84</v>
      </c>
      <c r="C51" s="86" t="s">
        <v>297</v>
      </c>
      <c r="D51" s="82" t="s">
        <v>58</v>
      </c>
      <c r="E51" s="82" t="s">
        <v>15</v>
      </c>
      <c r="F51" s="83" t="s">
        <v>261</v>
      </c>
      <c r="G51" s="85">
        <v>6478.8795721925135</v>
      </c>
      <c r="H51" s="106" t="s">
        <v>261</v>
      </c>
      <c r="I51" s="85">
        <v>6738.882426778243</v>
      </c>
      <c r="J51" s="106" t="s">
        <v>261</v>
      </c>
      <c r="K51" s="85">
        <v>6863.440332640334</v>
      </c>
      <c r="L51" s="104" t="s">
        <v>261</v>
      </c>
      <c r="M51" s="85">
        <v>5745.098113207547</v>
      </c>
      <c r="N51" s="83" t="s">
        <v>261</v>
      </c>
      <c r="O51" s="85">
        <f>AVERAGE(G51,I51,K51,M51)</f>
        <v>6456.575111204659</v>
      </c>
      <c r="P51" s="83" t="s">
        <v>261</v>
      </c>
    </row>
    <row r="52" spans="2:16" s="82" customFormat="1" ht="12.75">
      <c r="B52" s="86" t="s">
        <v>59</v>
      </c>
      <c r="C52" s="86" t="s">
        <v>297</v>
      </c>
      <c r="D52" s="86" t="s">
        <v>58</v>
      </c>
      <c r="E52" s="86" t="s">
        <v>15</v>
      </c>
      <c r="F52" s="83"/>
      <c r="G52" s="85">
        <f>G50</f>
        <v>1282.064</v>
      </c>
      <c r="H52" s="106"/>
      <c r="I52" s="85">
        <f>I50</f>
        <v>1706.5130125523</v>
      </c>
      <c r="J52" s="106"/>
      <c r="K52" s="85">
        <f>K50</f>
        <v>1232.753846153846</v>
      </c>
      <c r="L52" s="104"/>
      <c r="M52" s="85">
        <f>M50</f>
        <v>1078.465786163522</v>
      </c>
      <c r="N52" s="83"/>
      <c r="O52" s="85">
        <f>AVERAGE(G52,I52,K52,M52)</f>
        <v>1324.949161217417</v>
      </c>
      <c r="P52" s="83" t="s">
        <v>302</v>
      </c>
    </row>
    <row r="53" spans="2:16" s="82" customFormat="1" ht="12.75">
      <c r="B53" s="86" t="s">
        <v>60</v>
      </c>
      <c r="C53" s="86" t="s">
        <v>297</v>
      </c>
      <c r="D53" s="86" t="s">
        <v>58</v>
      </c>
      <c r="E53" s="86" t="s">
        <v>15</v>
      </c>
      <c r="F53" s="83">
        <v>2.9</v>
      </c>
      <c r="G53" s="85">
        <f>G48+G49</f>
        <v>121.38472256684494</v>
      </c>
      <c r="H53" s="106">
        <v>2</v>
      </c>
      <c r="I53" s="85">
        <f>I48+I49</f>
        <v>178.49656736401673</v>
      </c>
      <c r="J53" s="106">
        <v>3.3</v>
      </c>
      <c r="K53" s="85">
        <f>K48+K49</f>
        <v>107.54944365904367</v>
      </c>
      <c r="L53" s="104">
        <v>4.8</v>
      </c>
      <c r="M53" s="85">
        <f>M48+M49</f>
        <v>74.45109601677149</v>
      </c>
      <c r="N53" s="83">
        <v>2.9</v>
      </c>
      <c r="O53" s="85">
        <f>AVERAGE(G53,I53,K53,M53)</f>
        <v>120.47045740166921</v>
      </c>
      <c r="P53" s="83" t="s">
        <v>301</v>
      </c>
    </row>
    <row r="54" spans="6:16" s="82" customFormat="1" ht="12.75">
      <c r="F54" s="83"/>
      <c r="G54" s="85"/>
      <c r="H54" s="106"/>
      <c r="I54" s="85"/>
      <c r="J54" s="106"/>
      <c r="K54" s="85"/>
      <c r="L54" s="104"/>
      <c r="M54" s="85"/>
      <c r="N54" s="83"/>
      <c r="O54" s="85"/>
      <c r="P54" s="83"/>
    </row>
    <row r="55" spans="2:16" s="82" customFormat="1" ht="12.75">
      <c r="B55" s="86" t="s">
        <v>263</v>
      </c>
      <c r="F55" s="83"/>
      <c r="G55" s="85"/>
      <c r="H55" s="106"/>
      <c r="I55" s="85"/>
      <c r="J55" s="106"/>
      <c r="K55" s="85"/>
      <c r="L55" s="104"/>
      <c r="M55" s="85"/>
      <c r="N55" s="83"/>
      <c r="O55" s="85"/>
      <c r="P55" s="83"/>
    </row>
    <row r="56" spans="1:19" s="86" customFormat="1" ht="12.75">
      <c r="A56" s="86" t="s">
        <v>253</v>
      </c>
      <c r="B56" s="86" t="s">
        <v>52</v>
      </c>
      <c r="C56" s="86" t="s">
        <v>297</v>
      </c>
      <c r="D56" s="86" t="s">
        <v>18</v>
      </c>
      <c r="G56" s="87">
        <v>99.99</v>
      </c>
      <c r="H56" s="107"/>
      <c r="I56" s="87">
        <v>99.997</v>
      </c>
      <c r="J56" s="107"/>
      <c r="K56" s="87">
        <v>99.9994</v>
      </c>
      <c r="L56" s="107"/>
      <c r="M56" s="87">
        <v>99.9989</v>
      </c>
      <c r="N56" s="87"/>
      <c r="O56" s="87"/>
      <c r="P56" s="87"/>
      <c r="Q56" s="87"/>
      <c r="R56" s="87"/>
      <c r="S56" s="87"/>
    </row>
    <row r="57" spans="7:19" s="86" customFormat="1" ht="12.75">
      <c r="G57" s="87"/>
      <c r="H57" s="107"/>
      <c r="I57" s="87"/>
      <c r="J57" s="107"/>
      <c r="K57" s="87"/>
      <c r="L57" s="107"/>
      <c r="M57" s="87"/>
      <c r="N57" s="87"/>
      <c r="O57" s="87"/>
      <c r="P57" s="87"/>
      <c r="Q57" s="87"/>
      <c r="R57" s="87"/>
      <c r="S57" s="87"/>
    </row>
    <row r="58" spans="2:19" s="86" customFormat="1" ht="12.75">
      <c r="B58" s="86" t="s">
        <v>264</v>
      </c>
      <c r="G58" s="87"/>
      <c r="H58" s="107"/>
      <c r="I58" s="87"/>
      <c r="J58" s="107"/>
      <c r="K58" s="87"/>
      <c r="L58" s="107"/>
      <c r="M58" s="87"/>
      <c r="N58" s="87"/>
      <c r="O58" s="87"/>
      <c r="P58" s="87"/>
      <c r="Q58" s="87"/>
      <c r="R58" s="87"/>
      <c r="S58" s="87"/>
    </row>
    <row r="59" spans="1:19" s="86" customFormat="1" ht="12.75">
      <c r="A59" s="86" t="s">
        <v>253</v>
      </c>
      <c r="B59" s="86" t="s">
        <v>52</v>
      </c>
      <c r="C59" s="86" t="s">
        <v>297</v>
      </c>
      <c r="D59" s="86" t="s">
        <v>18</v>
      </c>
      <c r="G59" s="87">
        <v>99.99995</v>
      </c>
      <c r="H59" s="107"/>
      <c r="I59" s="87">
        <v>99.99995</v>
      </c>
      <c r="J59" s="107"/>
      <c r="K59" s="87">
        <v>99.9999</v>
      </c>
      <c r="L59" s="107"/>
      <c r="M59" s="87">
        <v>99.99995</v>
      </c>
      <c r="N59" s="87"/>
      <c r="O59" s="87"/>
      <c r="P59" s="87"/>
      <c r="Q59" s="87"/>
      <c r="R59" s="87"/>
      <c r="S59" s="87"/>
    </row>
    <row r="60" spans="7:19" s="86" customFormat="1" ht="12.75">
      <c r="G60" s="87"/>
      <c r="H60" s="107"/>
      <c r="I60" s="87"/>
      <c r="J60" s="107"/>
      <c r="K60" s="87"/>
      <c r="L60" s="107"/>
      <c r="M60" s="87"/>
      <c r="N60" s="87"/>
      <c r="O60" s="87"/>
      <c r="P60" s="87"/>
      <c r="Q60" s="87"/>
      <c r="R60" s="87"/>
      <c r="S60" s="87"/>
    </row>
    <row r="61" spans="2:19" s="86" customFormat="1" ht="12.75">
      <c r="B61" s="86" t="s">
        <v>265</v>
      </c>
      <c r="G61" s="87"/>
      <c r="H61" s="107"/>
      <c r="I61" s="87"/>
      <c r="J61" s="107"/>
      <c r="K61" s="87"/>
      <c r="L61" s="107"/>
      <c r="M61" s="87"/>
      <c r="N61" s="87"/>
      <c r="O61" s="87"/>
      <c r="P61" s="87"/>
      <c r="Q61" s="87"/>
      <c r="R61" s="87"/>
      <c r="S61" s="87"/>
    </row>
    <row r="62" spans="1:19" s="86" customFormat="1" ht="12.75">
      <c r="A62" s="86" t="s">
        <v>253</v>
      </c>
      <c r="B62" s="86" t="s">
        <v>52</v>
      </c>
      <c r="C62" s="86" t="s">
        <v>297</v>
      </c>
      <c r="D62" s="86" t="s">
        <v>18</v>
      </c>
      <c r="G62" s="87">
        <v>99.9995</v>
      </c>
      <c r="H62" s="107"/>
      <c r="I62" s="87">
        <v>99.9995</v>
      </c>
      <c r="J62" s="107"/>
      <c r="K62" s="87">
        <v>99.9996</v>
      </c>
      <c r="L62" s="107"/>
      <c r="M62" s="87">
        <v>99.9997</v>
      </c>
      <c r="N62" s="87"/>
      <c r="O62" s="87"/>
      <c r="P62" s="87"/>
      <c r="Q62" s="87"/>
      <c r="R62" s="87"/>
      <c r="S62" s="87"/>
    </row>
    <row r="63" spans="6:16" s="82" customFormat="1" ht="12.75">
      <c r="F63" s="83"/>
      <c r="G63" s="85"/>
      <c r="H63" s="106"/>
      <c r="I63" s="85"/>
      <c r="J63" s="106"/>
      <c r="K63" s="85"/>
      <c r="L63" s="104"/>
      <c r="M63" s="83"/>
      <c r="N63" s="83"/>
      <c r="O63" s="83"/>
      <c r="P63" s="83"/>
    </row>
    <row r="64" spans="2:16" s="82" customFormat="1" ht="12.75">
      <c r="B64" s="82" t="s">
        <v>88</v>
      </c>
      <c r="C64" s="82" t="s">
        <v>266</v>
      </c>
      <c r="D64" s="86" t="s">
        <v>297</v>
      </c>
      <c r="F64" s="83"/>
      <c r="G64" s="85"/>
      <c r="H64" s="106"/>
      <c r="I64" s="85"/>
      <c r="J64" s="106"/>
      <c r="K64" s="85"/>
      <c r="L64" s="104"/>
      <c r="M64" s="83"/>
      <c r="N64" s="83"/>
      <c r="O64" s="83"/>
      <c r="P64" s="83"/>
    </row>
    <row r="65" spans="2:25" s="82" customFormat="1" ht="12.75">
      <c r="B65" s="10" t="s">
        <v>81</v>
      </c>
      <c r="C65" s="10"/>
      <c r="D65" s="10" t="s">
        <v>17</v>
      </c>
      <c r="G65" s="85">
        <v>23278</v>
      </c>
      <c r="H65" s="106"/>
      <c r="I65" s="85">
        <v>23783</v>
      </c>
      <c r="J65" s="106"/>
      <c r="K65" s="85">
        <v>21999</v>
      </c>
      <c r="L65" s="106"/>
      <c r="M65" s="85">
        <v>22544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2:25" s="82" customFormat="1" ht="12.75">
      <c r="B66" s="10" t="s">
        <v>86</v>
      </c>
      <c r="C66" s="10"/>
      <c r="D66" s="10" t="s">
        <v>18</v>
      </c>
      <c r="G66" s="85">
        <v>11.65</v>
      </c>
      <c r="H66" s="106"/>
      <c r="I66" s="85">
        <v>11.44</v>
      </c>
      <c r="J66" s="106"/>
      <c r="K66" s="85">
        <v>11.38</v>
      </c>
      <c r="L66" s="106"/>
      <c r="M66" s="85">
        <v>11.46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s="82" customFormat="1" ht="12.75">
      <c r="A67" s="82" t="s">
        <v>253</v>
      </c>
      <c r="B67" s="10" t="s">
        <v>87</v>
      </c>
      <c r="C67" s="10"/>
      <c r="D67" s="10" t="s">
        <v>18</v>
      </c>
      <c r="G67" s="85"/>
      <c r="H67" s="106"/>
      <c r="I67" s="85"/>
      <c r="J67" s="106"/>
      <c r="K67" s="85"/>
      <c r="L67" s="106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2:25" s="82" customFormat="1" ht="12.75">
      <c r="B68" s="10" t="s">
        <v>80</v>
      </c>
      <c r="C68" s="10"/>
      <c r="D68" s="10" t="s">
        <v>19</v>
      </c>
      <c r="G68" s="85">
        <v>152</v>
      </c>
      <c r="H68" s="106"/>
      <c r="I68" s="85">
        <v>142</v>
      </c>
      <c r="J68" s="106"/>
      <c r="K68" s="85">
        <v>153</v>
      </c>
      <c r="L68" s="106"/>
      <c r="M68" s="85">
        <v>150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7:25" s="82" customFormat="1" ht="12.75">
      <c r="G69" s="85"/>
      <c r="H69" s="106"/>
      <c r="I69" s="85"/>
      <c r="J69" s="106"/>
      <c r="K69" s="85"/>
      <c r="L69" s="106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2:25" s="82" customFormat="1" ht="12.75">
      <c r="B70" s="82" t="s">
        <v>88</v>
      </c>
      <c r="C70" s="82" t="s">
        <v>147</v>
      </c>
      <c r="D70" s="86" t="s">
        <v>298</v>
      </c>
      <c r="G70" s="85"/>
      <c r="H70" s="106"/>
      <c r="I70" s="85"/>
      <c r="J70" s="106"/>
      <c r="K70" s="85"/>
      <c r="L70" s="106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2:25" s="82" customFormat="1" ht="12.75">
      <c r="B71" s="10" t="s">
        <v>81</v>
      </c>
      <c r="C71" s="10"/>
      <c r="D71" s="10" t="s">
        <v>17</v>
      </c>
      <c r="G71" s="85">
        <v>22752</v>
      </c>
      <c r="H71" s="106"/>
      <c r="I71" s="85">
        <v>23318</v>
      </c>
      <c r="J71" s="106"/>
      <c r="K71" s="85">
        <v>23348</v>
      </c>
      <c r="L71" s="106"/>
      <c r="M71" s="85">
        <v>23289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2:25" s="82" customFormat="1" ht="12.75">
      <c r="B72" s="10" t="s">
        <v>86</v>
      </c>
      <c r="C72" s="10"/>
      <c r="D72" s="10" t="s">
        <v>18</v>
      </c>
      <c r="G72" s="85">
        <v>11.65</v>
      </c>
      <c r="H72" s="106"/>
      <c r="I72" s="85">
        <v>11.44</v>
      </c>
      <c r="J72" s="106"/>
      <c r="K72" s="85">
        <v>11.38</v>
      </c>
      <c r="L72" s="106"/>
      <c r="M72" s="85">
        <v>11.46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2:25" s="82" customFormat="1" ht="12.75">
      <c r="B73" s="10" t="s">
        <v>87</v>
      </c>
      <c r="C73" s="10"/>
      <c r="D73" s="10" t="s">
        <v>18</v>
      </c>
      <c r="G73" s="85"/>
      <c r="H73" s="106"/>
      <c r="I73" s="85"/>
      <c r="J73" s="106"/>
      <c r="K73" s="85"/>
      <c r="L73" s="106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2:25" s="82" customFormat="1" ht="12.75">
      <c r="B74" s="10" t="s">
        <v>80</v>
      </c>
      <c r="C74" s="10"/>
      <c r="D74" s="10" t="s">
        <v>19</v>
      </c>
      <c r="G74" s="85">
        <v>149</v>
      </c>
      <c r="H74" s="106"/>
      <c r="I74" s="85">
        <v>149</v>
      </c>
      <c r="J74" s="106"/>
      <c r="K74" s="85">
        <v>150</v>
      </c>
      <c r="L74" s="106"/>
      <c r="M74" s="85">
        <v>150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6:16" s="82" customFormat="1" ht="12.75">
      <c r="F75" s="83"/>
      <c r="G75" s="85"/>
      <c r="H75" s="106"/>
      <c r="I75" s="85"/>
      <c r="J75" s="106"/>
      <c r="K75" s="85"/>
      <c r="L75" s="104"/>
      <c r="M75" s="83"/>
      <c r="N75" s="83"/>
      <c r="O75" s="83"/>
      <c r="P75" s="83"/>
    </row>
    <row r="76" spans="2:16" s="82" customFormat="1" ht="12.75">
      <c r="B76" s="40" t="s">
        <v>255</v>
      </c>
      <c r="F76" s="83"/>
      <c r="G76" s="49" t="s">
        <v>257</v>
      </c>
      <c r="H76" s="49"/>
      <c r="I76" s="49" t="s">
        <v>258</v>
      </c>
      <c r="J76" s="49"/>
      <c r="K76" s="49" t="s">
        <v>259</v>
      </c>
      <c r="L76" s="49"/>
      <c r="M76" s="49" t="s">
        <v>260</v>
      </c>
      <c r="N76" s="49"/>
      <c r="O76" s="49" t="s">
        <v>47</v>
      </c>
      <c r="P76" s="83"/>
    </row>
    <row r="77" spans="6:16" s="82" customFormat="1" ht="12.75">
      <c r="F77" s="83"/>
      <c r="G77" s="85"/>
      <c r="H77" s="106"/>
      <c r="I77" s="85"/>
      <c r="J77" s="106"/>
      <c r="K77" s="85"/>
      <c r="L77" s="104"/>
      <c r="M77" s="83"/>
      <c r="N77" s="83"/>
      <c r="O77" s="83"/>
      <c r="P77" s="83"/>
    </row>
    <row r="78" spans="1:16" s="82" customFormat="1" ht="12.75">
      <c r="A78" s="82" t="s">
        <v>255</v>
      </c>
      <c r="B78" s="82" t="s">
        <v>13</v>
      </c>
      <c r="C78" s="82" t="s">
        <v>298</v>
      </c>
      <c r="D78" s="82" t="s">
        <v>14</v>
      </c>
      <c r="E78" s="82" t="s">
        <v>15</v>
      </c>
      <c r="F78" s="83" t="s">
        <v>261</v>
      </c>
      <c r="G78" s="84">
        <v>0.0095300945376</v>
      </c>
      <c r="H78" s="105" t="s">
        <v>261</v>
      </c>
      <c r="I78" s="84">
        <v>0.002100020832</v>
      </c>
      <c r="J78" s="105" t="s">
        <v>261</v>
      </c>
      <c r="K78" s="84">
        <v>0.0059700592224</v>
      </c>
      <c r="L78" s="105" t="s">
        <v>261</v>
      </c>
      <c r="M78" s="84">
        <v>0.00062300618016</v>
      </c>
      <c r="N78" s="84" t="s">
        <v>261</v>
      </c>
      <c r="O78" s="84">
        <f>AVERAGE(G78,I78,K78,M78)</f>
        <v>0.00455579519304</v>
      </c>
      <c r="P78" s="84" t="s">
        <v>261</v>
      </c>
    </row>
    <row r="79" spans="1:16" s="82" customFormat="1" ht="12.75">
      <c r="A79" s="82" t="s">
        <v>255</v>
      </c>
      <c r="B79" s="82" t="s">
        <v>116</v>
      </c>
      <c r="C79" s="82" t="s">
        <v>298</v>
      </c>
      <c r="D79" s="82" t="s">
        <v>16</v>
      </c>
      <c r="E79" s="82" t="s">
        <v>15</v>
      </c>
      <c r="F79" s="83" t="s">
        <v>261</v>
      </c>
      <c r="G79" s="85">
        <v>60.017937219731</v>
      </c>
      <c r="H79" s="106" t="s">
        <v>261</v>
      </c>
      <c r="I79" s="85">
        <v>51.6504854368932</v>
      </c>
      <c r="J79" s="106" t="s">
        <v>261</v>
      </c>
      <c r="K79" s="85">
        <v>40.146118721461185</v>
      </c>
      <c r="L79" s="104" t="s">
        <v>261</v>
      </c>
      <c r="M79" s="85">
        <v>26.479638009049772</v>
      </c>
      <c r="N79" s="83" t="s">
        <v>261</v>
      </c>
      <c r="O79" s="85">
        <f aca="true" t="shared" si="2" ref="O79:O85">AVERAGE(I79,K79,M79)</f>
        <v>39.42541405580138</v>
      </c>
      <c r="P79" s="83" t="s">
        <v>261</v>
      </c>
    </row>
    <row r="80" spans="1:16" s="82" customFormat="1" ht="12.75">
      <c r="A80" s="82" t="s">
        <v>255</v>
      </c>
      <c r="B80" s="82" t="s">
        <v>320</v>
      </c>
      <c r="C80" s="82" t="s">
        <v>298</v>
      </c>
      <c r="D80" s="82" t="s">
        <v>16</v>
      </c>
      <c r="E80" s="82" t="s">
        <v>15</v>
      </c>
      <c r="F80" s="83" t="s">
        <v>261</v>
      </c>
      <c r="G80" s="85">
        <v>1.3811659192825112</v>
      </c>
      <c r="H80" s="106" t="s">
        <v>261</v>
      </c>
      <c r="I80" s="85">
        <v>3.583406884377758</v>
      </c>
      <c r="J80" s="106" t="s">
        <v>261</v>
      </c>
      <c r="K80" s="85">
        <v>2.275799086758</v>
      </c>
      <c r="L80" s="104" t="s">
        <v>261</v>
      </c>
      <c r="M80" s="85">
        <v>2.9013574660633483</v>
      </c>
      <c r="N80" s="83" t="s">
        <v>261</v>
      </c>
      <c r="O80" s="85">
        <f t="shared" si="2"/>
        <v>2.920187812399702</v>
      </c>
      <c r="P80" s="83" t="s">
        <v>261</v>
      </c>
    </row>
    <row r="81" spans="1:16" s="82" customFormat="1" ht="12.75">
      <c r="A81" s="82" t="s">
        <v>255</v>
      </c>
      <c r="B81" s="82" t="s">
        <v>50</v>
      </c>
      <c r="C81" s="86" t="s">
        <v>298</v>
      </c>
      <c r="D81" s="82" t="s">
        <v>16</v>
      </c>
      <c r="E81" s="82" t="s">
        <v>15</v>
      </c>
      <c r="F81" s="104" t="s">
        <v>101</v>
      </c>
      <c r="G81" s="85">
        <v>3.3273542600896855</v>
      </c>
      <c r="H81" s="106" t="s">
        <v>101</v>
      </c>
      <c r="I81" s="85">
        <v>2.409532215357457</v>
      </c>
      <c r="J81" s="106" t="s">
        <v>101</v>
      </c>
      <c r="K81" s="85">
        <v>2.9150684931506845</v>
      </c>
      <c r="L81" s="104" t="s">
        <v>101</v>
      </c>
      <c r="M81" s="85">
        <v>3.104072398190045</v>
      </c>
      <c r="N81" s="83" t="s">
        <v>261</v>
      </c>
      <c r="O81" s="85">
        <f t="shared" si="2"/>
        <v>2.8095577022327287</v>
      </c>
      <c r="P81" s="83" t="s">
        <v>261</v>
      </c>
    </row>
    <row r="82" spans="2:16" s="82" customFormat="1" ht="12.75">
      <c r="B82" s="82" t="s">
        <v>103</v>
      </c>
      <c r="C82" s="86" t="s">
        <v>298</v>
      </c>
      <c r="D82" s="82" t="s">
        <v>16</v>
      </c>
      <c r="E82" s="82" t="s">
        <v>15</v>
      </c>
      <c r="F82" s="104">
        <v>100</v>
      </c>
      <c r="G82" s="85">
        <f>G81</f>
        <v>3.3273542600896855</v>
      </c>
      <c r="H82" s="108">
        <v>100</v>
      </c>
      <c r="I82" s="85">
        <f>I81</f>
        <v>2.409532215357457</v>
      </c>
      <c r="J82" s="108">
        <v>100</v>
      </c>
      <c r="K82" s="85">
        <f>K81</f>
        <v>2.9150684931506845</v>
      </c>
      <c r="L82" s="104">
        <v>100</v>
      </c>
      <c r="M82" s="85">
        <f>M81</f>
        <v>3.104072398190045</v>
      </c>
      <c r="N82" s="83">
        <v>100</v>
      </c>
      <c r="O82" s="85">
        <f t="shared" si="2"/>
        <v>2.8095577022327287</v>
      </c>
      <c r="P82" s="83"/>
    </row>
    <row r="83" spans="1:16" s="82" customFormat="1" ht="12.75">
      <c r="A83" s="82" t="s">
        <v>255</v>
      </c>
      <c r="B83" s="82" t="s">
        <v>83</v>
      </c>
      <c r="C83" s="86" t="s">
        <v>297</v>
      </c>
      <c r="D83" s="82" t="s">
        <v>58</v>
      </c>
      <c r="E83" s="82" t="s">
        <v>15</v>
      </c>
      <c r="F83" s="83" t="s">
        <v>261</v>
      </c>
      <c r="G83" s="85"/>
      <c r="H83" s="106" t="s">
        <v>101</v>
      </c>
      <c r="I83" s="85">
        <v>3.1966732568402474</v>
      </c>
      <c r="J83" s="106" t="s">
        <v>101</v>
      </c>
      <c r="K83" s="85">
        <v>3.1319828310502285</v>
      </c>
      <c r="L83" s="104" t="s">
        <v>101</v>
      </c>
      <c r="M83" s="85">
        <v>3.2196629864253388</v>
      </c>
      <c r="N83" s="83" t="s">
        <v>261</v>
      </c>
      <c r="O83" s="85">
        <f t="shared" si="2"/>
        <v>3.1827730247719384</v>
      </c>
      <c r="P83" s="83" t="s">
        <v>261</v>
      </c>
    </row>
    <row r="84" spans="1:16" s="82" customFormat="1" ht="12.75">
      <c r="A84" s="82" t="s">
        <v>255</v>
      </c>
      <c r="B84" s="82" t="s">
        <v>262</v>
      </c>
      <c r="C84" s="86" t="s">
        <v>297</v>
      </c>
      <c r="D84" s="82" t="s">
        <v>58</v>
      </c>
      <c r="E84" s="82" t="s">
        <v>15</v>
      </c>
      <c r="F84" s="83" t="s">
        <v>261</v>
      </c>
      <c r="G84" s="85"/>
      <c r="H84" s="106" t="s">
        <v>261</v>
      </c>
      <c r="I84" s="85">
        <v>100.14356928508384</v>
      </c>
      <c r="J84" s="106" t="s">
        <v>261</v>
      </c>
      <c r="K84" s="85">
        <v>313.1982831050229</v>
      </c>
      <c r="L84" s="104" t="s">
        <v>261</v>
      </c>
      <c r="M84" s="85">
        <v>49.020094117647</v>
      </c>
      <c r="N84" s="83" t="s">
        <v>261</v>
      </c>
      <c r="O84" s="85">
        <f t="shared" si="2"/>
        <v>154.1206488359179</v>
      </c>
      <c r="P84" s="83" t="s">
        <v>261</v>
      </c>
    </row>
    <row r="85" spans="1:16" s="82" customFormat="1" ht="12.75">
      <c r="A85" s="82" t="s">
        <v>255</v>
      </c>
      <c r="B85" s="82" t="s">
        <v>82</v>
      </c>
      <c r="C85" s="86" t="s">
        <v>297</v>
      </c>
      <c r="D85" s="82" t="s">
        <v>58</v>
      </c>
      <c r="E85" s="82" t="s">
        <v>15</v>
      </c>
      <c r="F85" s="83" t="s">
        <v>261</v>
      </c>
      <c r="G85" s="85"/>
      <c r="H85" s="106" t="s">
        <v>261</v>
      </c>
      <c r="I85" s="85">
        <v>57.70985348631951</v>
      </c>
      <c r="J85" s="106" t="s">
        <v>261</v>
      </c>
      <c r="K85" s="85">
        <v>18.82116785388128</v>
      </c>
      <c r="L85" s="104" t="s">
        <v>101</v>
      </c>
      <c r="M85" s="85">
        <v>3.2196629864253388</v>
      </c>
      <c r="N85" s="83" t="s">
        <v>261</v>
      </c>
      <c r="O85" s="85">
        <f t="shared" si="2"/>
        <v>26.58356144220871</v>
      </c>
      <c r="P85" s="83" t="s">
        <v>261</v>
      </c>
    </row>
    <row r="86" spans="1:16" s="82" customFormat="1" ht="12.75">
      <c r="A86" s="82" t="s">
        <v>255</v>
      </c>
      <c r="B86" s="82" t="s">
        <v>84</v>
      </c>
      <c r="C86" s="86" t="s">
        <v>297</v>
      </c>
      <c r="D86" s="82" t="s">
        <v>58</v>
      </c>
      <c r="E86" s="82" t="s">
        <v>15</v>
      </c>
      <c r="F86" s="83" t="s">
        <v>261</v>
      </c>
      <c r="G86" s="85"/>
      <c r="H86" s="106" t="s">
        <v>261</v>
      </c>
      <c r="I86" s="85">
        <v>1991.5557281553397</v>
      </c>
      <c r="J86" s="106" t="s">
        <v>261</v>
      </c>
      <c r="K86" s="85">
        <v>5532.193972602741</v>
      </c>
      <c r="L86" s="104" t="s">
        <v>261</v>
      </c>
      <c r="M86" s="85">
        <v>3306.680904977375</v>
      </c>
      <c r="N86" s="83" t="s">
        <v>261</v>
      </c>
      <c r="O86" s="85">
        <f>AVERAGE(I86,K86,M86)</f>
        <v>3610.1435352451517</v>
      </c>
      <c r="P86" s="83" t="s">
        <v>261</v>
      </c>
    </row>
    <row r="87" spans="2:16" s="82" customFormat="1" ht="12.75">
      <c r="B87" s="86" t="s">
        <v>59</v>
      </c>
      <c r="C87" s="86" t="s">
        <v>297</v>
      </c>
      <c r="D87" s="82" t="s">
        <v>58</v>
      </c>
      <c r="E87" s="82" t="s">
        <v>15</v>
      </c>
      <c r="F87" s="83"/>
      <c r="G87" s="85"/>
      <c r="H87" s="106"/>
      <c r="I87" s="85">
        <f>I85</f>
        <v>57.70985348631951</v>
      </c>
      <c r="J87" s="106"/>
      <c r="K87" s="85">
        <f>K85</f>
        <v>18.82116785388128</v>
      </c>
      <c r="L87" s="104">
        <v>100</v>
      </c>
      <c r="M87" s="85">
        <f>M85</f>
        <v>3.2196629864253388</v>
      </c>
      <c r="N87" s="83">
        <v>4</v>
      </c>
      <c r="O87" s="85">
        <f>AVERAGE(I87,K87,M87)</f>
        <v>26.58356144220871</v>
      </c>
      <c r="P87" s="83" t="s">
        <v>302</v>
      </c>
    </row>
    <row r="88" spans="2:16" s="82" customFormat="1" ht="12.75">
      <c r="B88" s="86" t="s">
        <v>60</v>
      </c>
      <c r="C88" s="86" t="s">
        <v>297</v>
      </c>
      <c r="D88" s="82" t="s">
        <v>58</v>
      </c>
      <c r="E88" s="82" t="s">
        <v>15</v>
      </c>
      <c r="F88" s="83"/>
      <c r="G88" s="85"/>
      <c r="H88" s="106">
        <v>3.3</v>
      </c>
      <c r="I88" s="85">
        <f>I83+I84</f>
        <v>103.34024254192408</v>
      </c>
      <c r="J88" s="106">
        <v>1</v>
      </c>
      <c r="K88" s="85">
        <f>K83+K84</f>
        <v>316.3302659360731</v>
      </c>
      <c r="L88" s="104">
        <v>6.2</v>
      </c>
      <c r="M88" s="85">
        <f>M83+M84</f>
        <v>52.23975710407234</v>
      </c>
      <c r="N88" s="83">
        <v>2</v>
      </c>
      <c r="O88" s="85">
        <f>AVERAGE(I88,K88,M88)</f>
        <v>157.30342186068984</v>
      </c>
      <c r="P88" s="83" t="s">
        <v>301</v>
      </c>
    </row>
    <row r="89" spans="6:16" s="82" customFormat="1" ht="12.75">
      <c r="F89" s="83"/>
      <c r="G89" s="85"/>
      <c r="H89" s="106"/>
      <c r="I89" s="85"/>
      <c r="J89" s="106"/>
      <c r="K89" s="85"/>
      <c r="L89" s="104"/>
      <c r="M89" s="85"/>
      <c r="N89" s="83"/>
      <c r="O89" s="85"/>
      <c r="P89" s="83"/>
    </row>
    <row r="90" spans="2:16" s="82" customFormat="1" ht="12.75">
      <c r="B90" s="86" t="s">
        <v>263</v>
      </c>
      <c r="F90" s="83"/>
      <c r="G90" s="85"/>
      <c r="H90" s="106"/>
      <c r="I90" s="85"/>
      <c r="J90" s="106"/>
      <c r="K90" s="85"/>
      <c r="L90" s="104"/>
      <c r="M90" s="85"/>
      <c r="N90" s="83"/>
      <c r="O90" s="85"/>
      <c r="P90" s="83"/>
    </row>
    <row r="91" spans="1:19" s="86" customFormat="1" ht="12.75">
      <c r="A91" s="86" t="s">
        <v>255</v>
      </c>
      <c r="B91" s="86" t="s">
        <v>52</v>
      </c>
      <c r="C91" s="86" t="s">
        <v>297</v>
      </c>
      <c r="D91" s="86" t="s">
        <v>18</v>
      </c>
      <c r="G91" s="87">
        <v>99.997</v>
      </c>
      <c r="H91" s="107"/>
      <c r="I91" s="87">
        <v>0</v>
      </c>
      <c r="J91" s="107"/>
      <c r="K91" s="87">
        <v>99.97</v>
      </c>
      <c r="L91" s="107"/>
      <c r="M91" s="87"/>
      <c r="N91" s="87"/>
      <c r="O91" s="87"/>
      <c r="P91" s="87"/>
      <c r="Q91" s="87"/>
      <c r="R91" s="87"/>
      <c r="S91" s="87"/>
    </row>
    <row r="92" spans="7:19" s="86" customFormat="1" ht="12.75">
      <c r="G92" s="87"/>
      <c r="H92" s="107"/>
      <c r="I92" s="87"/>
      <c r="J92" s="107"/>
      <c r="K92" s="87"/>
      <c r="L92" s="107"/>
      <c r="M92" s="87"/>
      <c r="N92" s="87"/>
      <c r="O92" s="87"/>
      <c r="P92" s="87"/>
      <c r="Q92" s="87"/>
      <c r="R92" s="87"/>
      <c r="S92" s="87"/>
    </row>
    <row r="93" spans="2:19" s="86" customFormat="1" ht="12.75">
      <c r="B93" s="86" t="s">
        <v>264</v>
      </c>
      <c r="G93" s="87"/>
      <c r="H93" s="107"/>
      <c r="I93" s="87"/>
      <c r="J93" s="107"/>
      <c r="K93" s="87"/>
      <c r="L93" s="107"/>
      <c r="M93" s="87"/>
      <c r="N93" s="87"/>
      <c r="O93" s="87"/>
      <c r="P93" s="87"/>
      <c r="Q93" s="87"/>
      <c r="R93" s="87"/>
      <c r="S93" s="87"/>
    </row>
    <row r="94" spans="1:19" s="86" customFormat="1" ht="12.75">
      <c r="A94" s="86" t="s">
        <v>255</v>
      </c>
      <c r="B94" s="86" t="s">
        <v>52</v>
      </c>
      <c r="C94" s="86" t="s">
        <v>297</v>
      </c>
      <c r="D94" s="86" t="s">
        <v>18</v>
      </c>
      <c r="G94" s="87">
        <v>99.99997</v>
      </c>
      <c r="H94" s="107"/>
      <c r="I94" s="87">
        <v>99.99993</v>
      </c>
      <c r="J94" s="107"/>
      <c r="K94" s="87">
        <v>99.99994</v>
      </c>
      <c r="L94" s="107"/>
      <c r="M94" s="87"/>
      <c r="N94" s="87"/>
      <c r="O94" s="87"/>
      <c r="P94" s="87"/>
      <c r="Q94" s="87"/>
      <c r="R94" s="87"/>
      <c r="S94" s="87"/>
    </row>
    <row r="95" spans="7:19" s="86" customFormat="1" ht="12.75">
      <c r="G95" s="87"/>
      <c r="H95" s="107"/>
      <c r="I95" s="87"/>
      <c r="J95" s="107"/>
      <c r="K95" s="87"/>
      <c r="L95" s="107"/>
      <c r="M95" s="87"/>
      <c r="N95" s="87"/>
      <c r="O95" s="87"/>
      <c r="P95" s="87"/>
      <c r="Q95" s="87"/>
      <c r="R95" s="87"/>
      <c r="S95" s="87"/>
    </row>
    <row r="96" spans="2:19" s="86" customFormat="1" ht="12.75">
      <c r="B96" s="86" t="s">
        <v>265</v>
      </c>
      <c r="G96" s="87"/>
      <c r="H96" s="107"/>
      <c r="I96" s="87"/>
      <c r="J96" s="107"/>
      <c r="K96" s="87"/>
      <c r="L96" s="107"/>
      <c r="M96" s="87"/>
      <c r="N96" s="87"/>
      <c r="O96" s="87"/>
      <c r="P96" s="87"/>
      <c r="Q96" s="87"/>
      <c r="R96" s="87"/>
      <c r="S96" s="87"/>
    </row>
    <row r="97" spans="1:19" s="86" customFormat="1" ht="12.75">
      <c r="A97" s="86" t="s">
        <v>255</v>
      </c>
      <c r="B97" s="86" t="s">
        <v>52</v>
      </c>
      <c r="C97" s="86" t="s">
        <v>297</v>
      </c>
      <c r="D97" s="86" t="s">
        <v>18</v>
      </c>
      <c r="G97" s="87">
        <v>99.9998</v>
      </c>
      <c r="H97" s="107"/>
      <c r="I97" s="87">
        <v>99.9996</v>
      </c>
      <c r="J97" s="107"/>
      <c r="K97" s="87">
        <v>99.9994</v>
      </c>
      <c r="L97" s="107"/>
      <c r="M97" s="87"/>
      <c r="N97" s="87"/>
      <c r="O97" s="87"/>
      <c r="P97" s="87"/>
      <c r="Q97" s="87"/>
      <c r="R97" s="87"/>
      <c r="S97" s="87"/>
    </row>
    <row r="99" spans="2:4" ht="12.75">
      <c r="B99" s="82" t="s">
        <v>88</v>
      </c>
      <c r="C99" s="82" t="s">
        <v>266</v>
      </c>
      <c r="D99" t="s">
        <v>297</v>
      </c>
    </row>
    <row r="100" spans="2:25" s="82" customFormat="1" ht="12.75">
      <c r="B100" s="10" t="s">
        <v>81</v>
      </c>
      <c r="C100" s="10"/>
      <c r="D100" s="10" t="s">
        <v>17</v>
      </c>
      <c r="G100" s="85"/>
      <c r="H100" s="106"/>
      <c r="I100" s="85">
        <v>20707</v>
      </c>
      <c r="J100" s="106"/>
      <c r="K100" s="85">
        <v>21425</v>
      </c>
      <c r="L100" s="106"/>
      <c r="M100" s="85">
        <v>20735</v>
      </c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2:25" s="82" customFormat="1" ht="12.75">
      <c r="B101" s="10" t="s">
        <v>86</v>
      </c>
      <c r="C101" s="10"/>
      <c r="D101" s="10" t="s">
        <v>18</v>
      </c>
      <c r="G101" s="85"/>
      <c r="H101" s="106"/>
      <c r="I101" s="85">
        <v>9.67</v>
      </c>
      <c r="J101" s="106"/>
      <c r="K101" s="85">
        <v>10.05</v>
      </c>
      <c r="L101" s="106"/>
      <c r="M101" s="85">
        <v>9.95</v>
      </c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 s="82" customFormat="1" ht="12.75">
      <c r="A102" s="82" t="s">
        <v>255</v>
      </c>
      <c r="B102" s="10" t="s">
        <v>87</v>
      </c>
      <c r="C102" s="10"/>
      <c r="D102" s="10" t="s">
        <v>18</v>
      </c>
      <c r="G102" s="85"/>
      <c r="H102" s="106"/>
      <c r="I102" s="85"/>
      <c r="J102" s="106"/>
      <c r="K102" s="85"/>
      <c r="L102" s="106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2:25" s="82" customFormat="1" ht="12.75">
      <c r="B103" s="10" t="s">
        <v>80</v>
      </c>
      <c r="C103" s="10"/>
      <c r="D103" s="10" t="s">
        <v>19</v>
      </c>
      <c r="G103" s="85"/>
      <c r="H103" s="106"/>
      <c r="I103" s="85">
        <v>157</v>
      </c>
      <c r="J103" s="106"/>
      <c r="K103" s="85">
        <v>153</v>
      </c>
      <c r="L103" s="106"/>
      <c r="M103" s="85">
        <v>154</v>
      </c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7:25" s="82" customFormat="1" ht="12.75">
      <c r="G104" s="85"/>
      <c r="H104" s="106"/>
      <c r="I104" s="85"/>
      <c r="J104" s="106"/>
      <c r="K104" s="85"/>
      <c r="L104" s="106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2:25" s="82" customFormat="1" ht="12.75">
      <c r="B105" s="82" t="s">
        <v>88</v>
      </c>
      <c r="C105" s="82" t="s">
        <v>267</v>
      </c>
      <c r="D105" s="86" t="s">
        <v>298</v>
      </c>
      <c r="G105" s="85"/>
      <c r="H105" s="106"/>
      <c r="I105" s="85"/>
      <c r="J105" s="106"/>
      <c r="K105" s="85"/>
      <c r="L105" s="106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2:25" s="82" customFormat="1" ht="12.75">
      <c r="B106" s="10" t="s">
        <v>81</v>
      </c>
      <c r="C106" s="10"/>
      <c r="D106" s="10" t="s">
        <v>17</v>
      </c>
      <c r="G106" s="85">
        <v>20336</v>
      </c>
      <c r="H106" s="106"/>
      <c r="I106" s="85">
        <v>21378</v>
      </c>
      <c r="J106" s="106"/>
      <c r="K106" s="85">
        <v>18678</v>
      </c>
      <c r="L106" s="106"/>
      <c r="M106" s="85">
        <v>20820</v>
      </c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2:25" s="82" customFormat="1" ht="12.75">
      <c r="B107" s="10" t="s">
        <v>86</v>
      </c>
      <c r="C107" s="10"/>
      <c r="D107" s="10" t="s">
        <v>18</v>
      </c>
      <c r="G107" s="85">
        <v>9.85</v>
      </c>
      <c r="H107" s="106"/>
      <c r="I107" s="85">
        <v>9.67</v>
      </c>
      <c r="J107" s="106"/>
      <c r="K107" s="85">
        <v>10.05</v>
      </c>
      <c r="L107" s="106"/>
      <c r="M107" s="85">
        <v>9.95</v>
      </c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2:25" s="82" customFormat="1" ht="12.75">
      <c r="B108" s="10" t="s">
        <v>87</v>
      </c>
      <c r="C108" s="10"/>
      <c r="D108" s="10" t="s">
        <v>18</v>
      </c>
      <c r="G108" s="85"/>
      <c r="H108" s="106"/>
      <c r="I108" s="85"/>
      <c r="J108" s="106"/>
      <c r="K108" s="85"/>
      <c r="L108" s="106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2:25" s="82" customFormat="1" ht="12.75">
      <c r="B109" s="10" t="s">
        <v>80</v>
      </c>
      <c r="C109" s="10"/>
      <c r="D109" s="10" t="s">
        <v>19</v>
      </c>
      <c r="G109" s="85">
        <v>151</v>
      </c>
      <c r="H109" s="106"/>
      <c r="I109" s="85">
        <v>152</v>
      </c>
      <c r="J109" s="106"/>
      <c r="K109" s="85">
        <v>152</v>
      </c>
      <c r="L109" s="106"/>
      <c r="M109" s="85">
        <v>152</v>
      </c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80"/>
  <sheetViews>
    <sheetView workbookViewId="0" topLeftCell="H23">
      <selection activeCell="C16" sqref="C16"/>
    </sheetView>
  </sheetViews>
  <sheetFormatPr defaultColWidth="9.140625" defaultRowHeight="12.75"/>
  <cols>
    <col min="1" max="1" width="2.28125" style="25" hidden="1" customWidth="1"/>
    <col min="2" max="2" width="22.57421875" style="7" customWidth="1"/>
    <col min="3" max="3" width="1.7109375" style="7" customWidth="1"/>
    <col min="4" max="4" width="9.28125" style="7" customWidth="1"/>
    <col min="5" max="5" width="2.00390625" style="25" customWidth="1"/>
    <col min="6" max="6" width="8.57421875" style="26" customWidth="1"/>
    <col min="7" max="7" width="2.57421875" style="26" customWidth="1"/>
    <col min="8" max="8" width="8.421875" style="25" customWidth="1"/>
    <col min="9" max="9" width="2.8515625" style="25" customWidth="1"/>
    <col min="10" max="10" width="8.7109375" style="25" customWidth="1"/>
    <col min="11" max="11" width="3.00390625" style="25" customWidth="1"/>
    <col min="12" max="12" width="9.421875" style="25" customWidth="1"/>
    <col min="13" max="13" width="4.140625" style="25" customWidth="1"/>
    <col min="14" max="14" width="12.7109375" style="25" customWidth="1"/>
    <col min="15" max="15" width="4.7109375" style="25" customWidth="1"/>
    <col min="16" max="16" width="12.57421875" style="25" customWidth="1"/>
    <col min="17" max="17" width="5.00390625" style="25" customWidth="1"/>
    <col min="18" max="18" width="12.140625" style="25" customWidth="1"/>
    <col min="19" max="19" width="2.8515625" style="25" customWidth="1"/>
    <col min="20" max="20" width="15.140625" style="25" customWidth="1"/>
    <col min="21" max="21" width="3.57421875" style="25" customWidth="1"/>
    <col min="22" max="22" width="9.7109375" style="25" customWidth="1"/>
    <col min="23" max="23" width="3.7109375" style="25" customWidth="1"/>
    <col min="24" max="24" width="9.421875" style="25" customWidth="1"/>
    <col min="25" max="25" width="3.00390625" style="25" customWidth="1"/>
    <col min="26" max="26" width="9.8515625" style="25" customWidth="1"/>
    <col min="27" max="27" width="2.7109375" style="25" customWidth="1"/>
    <col min="28" max="28" width="9.7109375" style="25" customWidth="1"/>
    <col min="29" max="29" width="3.57421875" style="25" customWidth="1"/>
    <col min="30" max="30" width="9.28125" style="25" customWidth="1"/>
    <col min="31" max="31" width="3.57421875" style="25" customWidth="1"/>
    <col min="32" max="32" width="10.140625" style="25" customWidth="1"/>
    <col min="33" max="33" width="3.57421875" style="25" customWidth="1"/>
    <col min="34" max="34" width="10.8515625" style="25" customWidth="1"/>
    <col min="35" max="35" width="3.8515625" style="25" customWidth="1"/>
    <col min="36" max="36" width="16.140625" style="25" customWidth="1"/>
    <col min="37" max="37" width="3.57421875" style="25" customWidth="1"/>
    <col min="38" max="38" width="10.140625" style="25" customWidth="1"/>
    <col min="39" max="39" width="3.57421875" style="25" customWidth="1"/>
    <col min="40" max="40" width="10.140625" style="25" customWidth="1"/>
    <col min="41" max="41" width="3.57421875" style="25" customWidth="1"/>
    <col min="42" max="42" width="10.140625" style="25" customWidth="1"/>
    <col min="43" max="43" width="3.8515625" style="25" customWidth="1"/>
    <col min="44" max="44" width="10.140625" style="25" customWidth="1"/>
    <col min="45" max="45" width="11.8515625" style="25" customWidth="1"/>
    <col min="46" max="16384" width="8.8515625" style="25" customWidth="1"/>
  </cols>
  <sheetData>
    <row r="1" spans="2:3" ht="12.75">
      <c r="B1" s="24" t="s">
        <v>286</v>
      </c>
      <c r="C1" s="24"/>
    </row>
    <row r="2" ht="12.75"/>
    <row r="3" ht="12.75"/>
    <row r="4" spans="1:44" ht="12.75">
      <c r="A4" s="25" t="s">
        <v>89</v>
      </c>
      <c r="B4" s="24" t="s">
        <v>222</v>
      </c>
      <c r="C4" s="24" t="s">
        <v>140</v>
      </c>
      <c r="F4" s="27" t="s">
        <v>257</v>
      </c>
      <c r="G4" s="27"/>
      <c r="H4" s="27" t="s">
        <v>258</v>
      </c>
      <c r="I4" s="27"/>
      <c r="J4" s="27" t="s">
        <v>259</v>
      </c>
      <c r="K4" s="27"/>
      <c r="L4" s="27" t="s">
        <v>47</v>
      </c>
      <c r="M4" s="27"/>
      <c r="N4" s="27" t="s">
        <v>257</v>
      </c>
      <c r="O4" s="27"/>
      <c r="P4" s="27" t="s">
        <v>258</v>
      </c>
      <c r="Q4" s="27"/>
      <c r="R4" s="27" t="s">
        <v>259</v>
      </c>
      <c r="S4" s="27"/>
      <c r="T4" s="27" t="s">
        <v>47</v>
      </c>
      <c r="U4" s="27"/>
      <c r="V4" s="27" t="s">
        <v>257</v>
      </c>
      <c r="W4" s="27"/>
      <c r="X4" s="27" t="s">
        <v>258</v>
      </c>
      <c r="Y4" s="27"/>
      <c r="Z4" s="27" t="s">
        <v>259</v>
      </c>
      <c r="AA4" s="27"/>
      <c r="AB4" s="27" t="s">
        <v>47</v>
      </c>
      <c r="AC4" s="27"/>
      <c r="AD4" s="27" t="s">
        <v>257</v>
      </c>
      <c r="AE4" s="27"/>
      <c r="AF4" s="27" t="s">
        <v>258</v>
      </c>
      <c r="AG4" s="27"/>
      <c r="AH4" s="27" t="s">
        <v>259</v>
      </c>
      <c r="AI4" s="27"/>
      <c r="AJ4" s="27" t="s">
        <v>47</v>
      </c>
      <c r="AK4" s="27"/>
      <c r="AL4" s="27" t="s">
        <v>257</v>
      </c>
      <c r="AM4" s="27"/>
      <c r="AN4" s="27" t="s">
        <v>258</v>
      </c>
      <c r="AO4" s="27"/>
      <c r="AP4" s="27" t="s">
        <v>259</v>
      </c>
      <c r="AQ4" s="27"/>
      <c r="AR4" s="27" t="s">
        <v>47</v>
      </c>
    </row>
    <row r="5" ht="12.75"/>
    <row r="6" spans="2:36" ht="12.75">
      <c r="B6" s="7" t="s">
        <v>322</v>
      </c>
      <c r="F6" s="26" t="s">
        <v>324</v>
      </c>
      <c r="H6" s="26" t="s">
        <v>324</v>
      </c>
      <c r="I6" s="26"/>
      <c r="J6" s="26" t="s">
        <v>324</v>
      </c>
      <c r="K6" s="26"/>
      <c r="L6" s="26" t="s">
        <v>324</v>
      </c>
      <c r="M6" s="26"/>
      <c r="N6" s="25" t="s">
        <v>326</v>
      </c>
      <c r="P6" s="25" t="s">
        <v>326</v>
      </c>
      <c r="R6" s="25" t="s">
        <v>326</v>
      </c>
      <c r="T6" s="25" t="s">
        <v>326</v>
      </c>
      <c r="V6" s="25" t="s">
        <v>329</v>
      </c>
      <c r="X6" s="25" t="s">
        <v>329</v>
      </c>
      <c r="Z6" s="25" t="s">
        <v>329</v>
      </c>
      <c r="AB6" s="25" t="s">
        <v>329</v>
      </c>
      <c r="AD6" s="25" t="s">
        <v>328</v>
      </c>
      <c r="AF6" s="25" t="s">
        <v>328</v>
      </c>
      <c r="AH6" s="25" t="s">
        <v>328</v>
      </c>
      <c r="AJ6" s="25" t="s">
        <v>328</v>
      </c>
    </row>
    <row r="7" spans="2:36" ht="12.75">
      <c r="B7" s="7" t="s">
        <v>323</v>
      </c>
      <c r="F7" s="26" t="s">
        <v>325</v>
      </c>
      <c r="H7" s="26" t="s">
        <v>325</v>
      </c>
      <c r="I7" s="26"/>
      <c r="J7" s="26" t="s">
        <v>325</v>
      </c>
      <c r="K7" s="26"/>
      <c r="L7" s="26" t="s">
        <v>325</v>
      </c>
      <c r="M7" s="26"/>
      <c r="N7" s="25" t="s">
        <v>327</v>
      </c>
      <c r="P7" s="25" t="s">
        <v>327</v>
      </c>
      <c r="R7" s="25" t="s">
        <v>327</v>
      </c>
      <c r="T7" s="25" t="s">
        <v>327</v>
      </c>
      <c r="V7" s="25" t="s">
        <v>57</v>
      </c>
      <c r="X7" s="25" t="s">
        <v>57</v>
      </c>
      <c r="Z7" s="25" t="s">
        <v>57</v>
      </c>
      <c r="AB7" s="25" t="s">
        <v>57</v>
      </c>
      <c r="AD7" s="25" t="s">
        <v>25</v>
      </c>
      <c r="AF7" s="25" t="s">
        <v>25</v>
      </c>
      <c r="AH7" s="25" t="s">
        <v>25</v>
      </c>
      <c r="AJ7" s="25" t="s">
        <v>25</v>
      </c>
    </row>
    <row r="8" spans="2:44" ht="12.75">
      <c r="B8" s="5" t="s">
        <v>334</v>
      </c>
      <c r="H8" s="26"/>
      <c r="I8" s="26"/>
      <c r="J8" s="26"/>
      <c r="K8" s="26"/>
      <c r="L8" s="26"/>
      <c r="M8" s="26"/>
      <c r="V8" s="25" t="s">
        <v>57</v>
      </c>
      <c r="X8" s="25" t="s">
        <v>57</v>
      </c>
      <c r="Z8" s="25" t="s">
        <v>57</v>
      </c>
      <c r="AB8" s="25" t="s">
        <v>57</v>
      </c>
      <c r="AD8" s="25" t="s">
        <v>25</v>
      </c>
      <c r="AF8" s="25" t="s">
        <v>25</v>
      </c>
      <c r="AH8" s="25" t="s">
        <v>25</v>
      </c>
      <c r="AJ8" s="25" t="s">
        <v>25</v>
      </c>
      <c r="AL8" s="25" t="s">
        <v>65</v>
      </c>
      <c r="AN8" s="25" t="s">
        <v>65</v>
      </c>
      <c r="AP8" s="25" t="s">
        <v>65</v>
      </c>
      <c r="AR8" s="25" t="s">
        <v>65</v>
      </c>
    </row>
    <row r="9" spans="2:44" s="48" customFormat="1" ht="25.5">
      <c r="B9" s="97" t="s">
        <v>48</v>
      </c>
      <c r="C9" s="95"/>
      <c r="D9" s="95"/>
      <c r="E9" s="96"/>
      <c r="F9" s="96" t="s">
        <v>150</v>
      </c>
      <c r="G9" s="96"/>
      <c r="H9" s="96" t="s">
        <v>150</v>
      </c>
      <c r="I9" s="96"/>
      <c r="J9" s="96" t="s">
        <v>150</v>
      </c>
      <c r="K9" s="96"/>
      <c r="L9" s="96" t="s">
        <v>150</v>
      </c>
      <c r="M9" s="96"/>
      <c r="N9" s="95" t="s">
        <v>151</v>
      </c>
      <c r="O9" s="95"/>
      <c r="P9" s="95" t="s">
        <v>151</v>
      </c>
      <c r="Q9" s="95"/>
      <c r="R9" s="95" t="s">
        <v>151</v>
      </c>
      <c r="S9" s="95"/>
      <c r="T9" s="95" t="s">
        <v>151</v>
      </c>
      <c r="U9" s="95"/>
      <c r="V9" s="95" t="s">
        <v>57</v>
      </c>
      <c r="W9" s="95"/>
      <c r="X9" s="95" t="s">
        <v>57</v>
      </c>
      <c r="Y9" s="95"/>
      <c r="Z9" s="95" t="s">
        <v>57</v>
      </c>
      <c r="AA9" s="95"/>
      <c r="AB9" s="95" t="s">
        <v>57</v>
      </c>
      <c r="AC9" s="95"/>
      <c r="AD9" s="95" t="s">
        <v>25</v>
      </c>
      <c r="AE9" s="95"/>
      <c r="AF9" s="95" t="s">
        <v>25</v>
      </c>
      <c r="AG9" s="95"/>
      <c r="AH9" s="95" t="s">
        <v>25</v>
      </c>
      <c r="AI9" s="95"/>
      <c r="AJ9" s="95" t="s">
        <v>25</v>
      </c>
      <c r="AK9" s="95"/>
      <c r="AL9" s="95"/>
      <c r="AM9" s="95"/>
      <c r="AN9" s="95"/>
      <c r="AO9" s="95"/>
      <c r="AP9" s="95"/>
      <c r="AQ9" s="95"/>
      <c r="AR9" s="95"/>
    </row>
    <row r="10" spans="2:44" ht="12.75">
      <c r="B10" s="7" t="s">
        <v>90</v>
      </c>
      <c r="D10" s="7" t="s">
        <v>53</v>
      </c>
      <c r="E10" s="10"/>
      <c r="F10" s="10">
        <v>6556</v>
      </c>
      <c r="G10" s="10"/>
      <c r="H10" s="10">
        <v>8447</v>
      </c>
      <c r="I10" s="10"/>
      <c r="J10" s="10">
        <v>7810</v>
      </c>
      <c r="K10" s="10"/>
      <c r="L10" s="31">
        <f aca="true" t="shared" si="0" ref="L10:L19">AVERAGE(F10:J10)</f>
        <v>7604.333333333333</v>
      </c>
      <c r="M10" s="31"/>
      <c r="N10" s="39">
        <v>3142</v>
      </c>
      <c r="O10" s="39"/>
      <c r="P10" s="39">
        <v>3122</v>
      </c>
      <c r="Q10" s="39"/>
      <c r="R10" s="39">
        <v>3016</v>
      </c>
      <c r="S10" s="39"/>
      <c r="T10" s="31">
        <f aca="true" t="shared" si="1" ref="T10:T19">AVERAGE(N10:R10)</f>
        <v>3093.3333333333335</v>
      </c>
      <c r="U10" s="31"/>
      <c r="V10" s="31"/>
      <c r="W10" s="31"/>
      <c r="X10" s="31"/>
      <c r="Y10" s="31"/>
      <c r="Z10" s="31"/>
      <c r="AA10" s="31"/>
      <c r="AB10" s="31"/>
      <c r="AC10" s="31"/>
      <c r="AD10" s="28">
        <f aca="true" t="shared" si="2" ref="AD10:AD16">F10+N10+V10</f>
        <v>9698</v>
      </c>
      <c r="AE10" s="28"/>
      <c r="AF10" s="28">
        <f aca="true" t="shared" si="3" ref="AF10:AF16">H10+P10+X10</f>
        <v>11569</v>
      </c>
      <c r="AG10" s="28"/>
      <c r="AH10" s="28">
        <f aca="true" t="shared" si="4" ref="AH10:AH16">J10+R10+Z10</f>
        <v>10826</v>
      </c>
      <c r="AI10" s="28"/>
      <c r="AJ10" s="28">
        <f aca="true" t="shared" si="5" ref="AJ10:AJ16">L10+T10+AB10</f>
        <v>10697.666666666666</v>
      </c>
      <c r="AK10" s="28"/>
      <c r="AL10" s="28"/>
      <c r="AM10" s="28"/>
      <c r="AN10" s="28"/>
      <c r="AO10" s="28"/>
      <c r="AP10" s="28"/>
      <c r="AQ10" s="28"/>
      <c r="AR10" s="28"/>
    </row>
    <row r="11" spans="2:44" ht="12.75">
      <c r="B11" s="7" t="s">
        <v>224</v>
      </c>
      <c r="D11" s="7" t="s">
        <v>53</v>
      </c>
      <c r="E11" s="27"/>
      <c r="F11" s="8">
        <v>3.33</v>
      </c>
      <c r="G11" s="8"/>
      <c r="H11" s="8">
        <v>4.33</v>
      </c>
      <c r="I11" s="8"/>
      <c r="J11" s="28">
        <v>3.95</v>
      </c>
      <c r="K11" s="28"/>
      <c r="L11" s="31">
        <f t="shared" si="0"/>
        <v>3.8699999999999997</v>
      </c>
      <c r="M11" s="31"/>
      <c r="N11" s="28">
        <v>2.06</v>
      </c>
      <c r="O11" s="28"/>
      <c r="P11" s="28">
        <v>1.97</v>
      </c>
      <c r="Q11" s="28"/>
      <c r="R11" s="55">
        <v>9.81</v>
      </c>
      <c r="S11" s="55"/>
      <c r="T11" s="31">
        <f t="shared" si="1"/>
        <v>4.613333333333333</v>
      </c>
      <c r="U11" s="31"/>
      <c r="V11" s="31">
        <f>25.65+9.2</f>
        <v>34.849999999999994</v>
      </c>
      <c r="W11" s="31"/>
      <c r="X11" s="31">
        <f>25.66+9.3</f>
        <v>34.96</v>
      </c>
      <c r="Y11" s="31"/>
      <c r="Z11" s="31">
        <f>25.7+9.02</f>
        <v>34.72</v>
      </c>
      <c r="AA11" s="31"/>
      <c r="AB11" s="31">
        <f aca="true" t="shared" si="6" ref="AB11:AB16">AVERAGE(V11:Z11)</f>
        <v>34.843333333333334</v>
      </c>
      <c r="AC11" s="31"/>
      <c r="AD11" s="28">
        <f t="shared" si="2"/>
        <v>40.239999999999995</v>
      </c>
      <c r="AE11" s="28"/>
      <c r="AF11" s="28">
        <f t="shared" si="3"/>
        <v>41.26</v>
      </c>
      <c r="AG11" s="28"/>
      <c r="AH11" s="28">
        <f t="shared" si="4"/>
        <v>48.480000000000004</v>
      </c>
      <c r="AI11" s="28"/>
      <c r="AJ11" s="28">
        <f t="shared" si="5"/>
        <v>43.32666666666667</v>
      </c>
      <c r="AK11" s="28"/>
      <c r="AL11" s="28"/>
      <c r="AM11" s="28"/>
      <c r="AN11" s="28"/>
      <c r="AO11" s="28"/>
      <c r="AP11" s="28"/>
      <c r="AQ11" s="28"/>
      <c r="AR11" s="28"/>
    </row>
    <row r="12" spans="2:44" ht="12.75">
      <c r="B12" s="7" t="s">
        <v>82</v>
      </c>
      <c r="D12" s="7" t="s">
        <v>53</v>
      </c>
      <c r="F12" s="57">
        <v>0.26</v>
      </c>
      <c r="G12" s="57"/>
      <c r="H12" s="16">
        <v>1.21</v>
      </c>
      <c r="I12" s="16"/>
      <c r="J12" s="16">
        <v>1.08</v>
      </c>
      <c r="K12" s="16"/>
      <c r="L12" s="32">
        <f t="shared" si="0"/>
        <v>0.85</v>
      </c>
      <c r="M12" s="32"/>
      <c r="N12" s="16">
        <v>0.53</v>
      </c>
      <c r="O12" s="16"/>
      <c r="P12" s="16">
        <v>0.49</v>
      </c>
      <c r="Q12" s="16"/>
      <c r="R12" s="16">
        <v>12</v>
      </c>
      <c r="S12" s="16"/>
      <c r="T12" s="32">
        <f t="shared" si="1"/>
        <v>4.34</v>
      </c>
      <c r="U12" s="32"/>
      <c r="V12" s="32">
        <v>0</v>
      </c>
      <c r="W12" s="32"/>
      <c r="X12" s="32">
        <v>0</v>
      </c>
      <c r="Y12" s="32"/>
      <c r="Z12" s="32">
        <v>0</v>
      </c>
      <c r="AA12" s="32"/>
      <c r="AB12" s="32">
        <f t="shared" si="6"/>
        <v>0</v>
      </c>
      <c r="AC12" s="32"/>
      <c r="AD12" s="30">
        <f t="shared" si="2"/>
        <v>0.79</v>
      </c>
      <c r="AE12" s="30"/>
      <c r="AF12" s="30">
        <f t="shared" si="3"/>
        <v>1.7</v>
      </c>
      <c r="AG12" s="30"/>
      <c r="AH12" s="30">
        <f t="shared" si="4"/>
        <v>13.08</v>
      </c>
      <c r="AI12" s="30"/>
      <c r="AJ12" s="30">
        <f t="shared" si="5"/>
        <v>5.1899999999999995</v>
      </c>
      <c r="AK12" s="30"/>
      <c r="AL12" s="30"/>
      <c r="AM12" s="30"/>
      <c r="AN12" s="30"/>
      <c r="AO12" s="30"/>
      <c r="AP12" s="30"/>
      <c r="AQ12" s="30"/>
      <c r="AR12" s="30"/>
    </row>
    <row r="13" spans="2:44" ht="12.75">
      <c r="B13" s="7" t="s">
        <v>262</v>
      </c>
      <c r="D13" s="7" t="s">
        <v>53</v>
      </c>
      <c r="F13" s="57">
        <v>0.08</v>
      </c>
      <c r="G13" s="57"/>
      <c r="H13" s="22">
        <v>0.08</v>
      </c>
      <c r="I13" s="22"/>
      <c r="J13" s="16">
        <v>0.08</v>
      </c>
      <c r="K13" s="16"/>
      <c r="L13" s="32">
        <f t="shared" si="0"/>
        <v>0.08</v>
      </c>
      <c r="M13" s="32" t="s">
        <v>101</v>
      </c>
      <c r="N13" s="16">
        <v>0.01</v>
      </c>
      <c r="O13" s="32" t="s">
        <v>101</v>
      </c>
      <c r="P13" s="16">
        <v>0.01</v>
      </c>
      <c r="Q13" s="32" t="s">
        <v>101</v>
      </c>
      <c r="R13" s="16">
        <v>0.01</v>
      </c>
      <c r="S13" s="32" t="s">
        <v>101</v>
      </c>
      <c r="T13" s="32">
        <f t="shared" si="1"/>
        <v>0.01</v>
      </c>
      <c r="U13" s="32"/>
      <c r="V13" s="32">
        <v>0</v>
      </c>
      <c r="W13" s="32"/>
      <c r="X13" s="32">
        <v>0</v>
      </c>
      <c r="Y13" s="32"/>
      <c r="Z13" s="32">
        <v>0</v>
      </c>
      <c r="AA13" s="32"/>
      <c r="AB13" s="32">
        <f t="shared" si="6"/>
        <v>0</v>
      </c>
      <c r="AC13" s="32"/>
      <c r="AD13" s="30">
        <f t="shared" si="2"/>
        <v>0.09</v>
      </c>
      <c r="AE13" s="30"/>
      <c r="AF13" s="30">
        <f t="shared" si="3"/>
        <v>0.09</v>
      </c>
      <c r="AG13" s="30"/>
      <c r="AH13" s="30">
        <f t="shared" si="4"/>
        <v>0.09</v>
      </c>
      <c r="AI13" s="30"/>
      <c r="AJ13" s="30">
        <f t="shared" si="5"/>
        <v>0.09</v>
      </c>
      <c r="AK13" s="30"/>
      <c r="AL13" s="30"/>
      <c r="AM13" s="30"/>
      <c r="AN13" s="30"/>
      <c r="AO13" s="30"/>
      <c r="AP13" s="30"/>
      <c r="AQ13" s="30"/>
      <c r="AR13" s="30"/>
    </row>
    <row r="14" spans="2:44" ht="12.75">
      <c r="B14" s="7" t="s">
        <v>107</v>
      </c>
      <c r="D14" s="7" t="s">
        <v>53</v>
      </c>
      <c r="F14" s="75">
        <v>0</v>
      </c>
      <c r="G14" s="75"/>
      <c r="H14" s="75">
        <v>0</v>
      </c>
      <c r="I14" s="75"/>
      <c r="J14" s="54">
        <v>0</v>
      </c>
      <c r="K14" s="54"/>
      <c r="L14" s="32">
        <f t="shared" si="0"/>
        <v>0</v>
      </c>
      <c r="M14" s="32"/>
      <c r="N14" s="54">
        <v>0</v>
      </c>
      <c r="O14" s="54"/>
      <c r="P14" s="54">
        <v>0</v>
      </c>
      <c r="Q14" s="54"/>
      <c r="R14" s="54">
        <v>0</v>
      </c>
      <c r="S14" s="54"/>
      <c r="T14" s="32">
        <f t="shared" si="1"/>
        <v>0</v>
      </c>
      <c r="U14" s="32"/>
      <c r="V14" s="32">
        <v>0</v>
      </c>
      <c r="W14" s="32"/>
      <c r="X14" s="32">
        <v>0</v>
      </c>
      <c r="Y14" s="32"/>
      <c r="Z14" s="32">
        <v>0</v>
      </c>
      <c r="AA14" s="32"/>
      <c r="AB14" s="32">
        <f t="shared" si="6"/>
        <v>0</v>
      </c>
      <c r="AC14" s="32"/>
      <c r="AD14" s="30">
        <f t="shared" si="2"/>
        <v>0</v>
      </c>
      <c r="AE14" s="30"/>
      <c r="AF14" s="30">
        <f t="shared" si="3"/>
        <v>0</v>
      </c>
      <c r="AG14" s="30"/>
      <c r="AH14" s="30">
        <f t="shared" si="4"/>
        <v>0</v>
      </c>
      <c r="AI14" s="30"/>
      <c r="AJ14" s="30">
        <f t="shared" si="5"/>
        <v>0</v>
      </c>
      <c r="AK14" s="30"/>
      <c r="AL14" s="30"/>
      <c r="AM14" s="30"/>
      <c r="AN14" s="30"/>
      <c r="AO14" s="30"/>
      <c r="AP14" s="30"/>
      <c r="AQ14" s="30"/>
      <c r="AR14" s="30"/>
    </row>
    <row r="15" spans="2:44" ht="12.75">
      <c r="B15" s="7" t="s">
        <v>49</v>
      </c>
      <c r="D15" s="7" t="s">
        <v>53</v>
      </c>
      <c r="F15" s="8">
        <v>162</v>
      </c>
      <c r="G15" s="8"/>
      <c r="H15" s="8">
        <v>188</v>
      </c>
      <c r="I15" s="8"/>
      <c r="J15" s="55">
        <v>181</v>
      </c>
      <c r="K15" s="55"/>
      <c r="L15" s="31">
        <f t="shared" si="0"/>
        <v>177</v>
      </c>
      <c r="M15" s="31"/>
      <c r="N15" s="28">
        <v>1030</v>
      </c>
      <c r="O15" s="28"/>
      <c r="P15" s="28">
        <v>963</v>
      </c>
      <c r="Q15" s="28"/>
      <c r="R15" s="55">
        <v>1075</v>
      </c>
      <c r="S15" s="55"/>
      <c r="T15" s="31">
        <f t="shared" si="1"/>
        <v>1022.6666666666666</v>
      </c>
      <c r="U15" s="31"/>
      <c r="V15" s="31">
        <v>0</v>
      </c>
      <c r="W15" s="31"/>
      <c r="X15" s="31">
        <v>0</v>
      </c>
      <c r="Y15" s="31"/>
      <c r="Z15" s="31">
        <v>0</v>
      </c>
      <c r="AA15" s="31"/>
      <c r="AB15" s="31">
        <f t="shared" si="6"/>
        <v>0</v>
      </c>
      <c r="AC15" s="31"/>
      <c r="AD15" s="28">
        <f t="shared" si="2"/>
        <v>1192</v>
      </c>
      <c r="AE15" s="28"/>
      <c r="AF15" s="28">
        <f t="shared" si="3"/>
        <v>1151</v>
      </c>
      <c r="AG15" s="28"/>
      <c r="AH15" s="28">
        <f t="shared" si="4"/>
        <v>1256</v>
      </c>
      <c r="AI15" s="28"/>
      <c r="AJ15" s="28">
        <f t="shared" si="5"/>
        <v>1199.6666666666665</v>
      </c>
      <c r="AK15" s="28"/>
      <c r="AL15" s="28"/>
      <c r="AM15" s="28"/>
      <c r="AN15" s="28"/>
      <c r="AO15" s="28"/>
      <c r="AP15" s="28"/>
      <c r="AQ15" s="28"/>
      <c r="AR15" s="28"/>
    </row>
    <row r="16" spans="2:44" ht="12.75">
      <c r="B16" s="7" t="s">
        <v>321</v>
      </c>
      <c r="D16" s="7" t="s">
        <v>152</v>
      </c>
      <c r="F16" s="8">
        <v>33.41</v>
      </c>
      <c r="G16" s="8"/>
      <c r="H16" s="8">
        <v>35.81</v>
      </c>
      <c r="I16" s="8"/>
      <c r="J16" s="55">
        <v>35.68</v>
      </c>
      <c r="K16" s="55"/>
      <c r="L16" s="31">
        <f t="shared" si="0"/>
        <v>34.96666666666667</v>
      </c>
      <c r="M16" s="31"/>
      <c r="N16" s="28">
        <v>17.15</v>
      </c>
      <c r="O16" s="28"/>
      <c r="P16" s="28">
        <v>18.41</v>
      </c>
      <c r="Q16" s="28"/>
      <c r="R16" s="55">
        <v>17.61</v>
      </c>
      <c r="S16" s="55"/>
      <c r="T16" s="31">
        <f t="shared" si="1"/>
        <v>17.723333333333333</v>
      </c>
      <c r="U16" s="31"/>
      <c r="V16" s="31">
        <v>0</v>
      </c>
      <c r="W16" s="31"/>
      <c r="X16" s="31">
        <v>0</v>
      </c>
      <c r="Y16" s="31"/>
      <c r="Z16" s="31">
        <v>0</v>
      </c>
      <c r="AA16" s="31"/>
      <c r="AB16" s="31">
        <f t="shared" si="6"/>
        <v>0</v>
      </c>
      <c r="AC16" s="31"/>
      <c r="AD16" s="28">
        <f t="shared" si="2"/>
        <v>50.559999999999995</v>
      </c>
      <c r="AE16" s="28"/>
      <c r="AF16" s="28">
        <f t="shared" si="3"/>
        <v>54.22</v>
      </c>
      <c r="AG16" s="28"/>
      <c r="AH16" s="28">
        <f t="shared" si="4"/>
        <v>53.29</v>
      </c>
      <c r="AI16" s="28"/>
      <c r="AJ16" s="28">
        <f t="shared" si="5"/>
        <v>52.69</v>
      </c>
      <c r="AK16" s="28"/>
      <c r="AL16" s="28"/>
      <c r="AM16" s="28"/>
      <c r="AN16" s="28"/>
      <c r="AO16" s="28"/>
      <c r="AP16" s="28"/>
      <c r="AQ16" s="28"/>
      <c r="AR16" s="28"/>
    </row>
    <row r="17" spans="6:44" ht="12.75">
      <c r="F17" s="57"/>
      <c r="G17" s="57"/>
      <c r="H17" s="57"/>
      <c r="I17" s="57"/>
      <c r="J17" s="16"/>
      <c r="K17" s="16"/>
      <c r="L17" s="32"/>
      <c r="M17" s="32"/>
      <c r="N17" s="58"/>
      <c r="O17" s="58"/>
      <c r="P17" s="58"/>
      <c r="Q17" s="58"/>
      <c r="R17" s="16"/>
      <c r="S17" s="1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1">
        <f>AD22/9000*(21-AD23)/21*60</f>
        <v>76.50425396825395</v>
      </c>
      <c r="AE17" s="31"/>
      <c r="AF17" s="31">
        <f>AF22/9000*(21-AF23)/21*60</f>
        <v>77.76641269841268</v>
      </c>
      <c r="AG17" s="31"/>
      <c r="AH17" s="31">
        <f>AH22/9000*(21-AH23)/21*60</f>
        <v>76.35321904761905</v>
      </c>
      <c r="AI17" s="31"/>
      <c r="AJ17" s="31">
        <f>AJ22/9000*(21-AJ23)/21*60</f>
        <v>76.88560493827161</v>
      </c>
      <c r="AK17" s="31"/>
      <c r="AL17" s="31"/>
      <c r="AM17" s="31"/>
      <c r="AN17" s="31"/>
      <c r="AO17" s="31"/>
      <c r="AP17" s="31"/>
      <c r="AQ17" s="31"/>
      <c r="AR17" s="31"/>
    </row>
    <row r="18" spans="2:44" ht="12.75">
      <c r="B18" s="7" t="s">
        <v>141</v>
      </c>
      <c r="D18" s="7" t="s">
        <v>53</v>
      </c>
      <c r="F18" s="75">
        <v>29.99</v>
      </c>
      <c r="G18" s="75"/>
      <c r="H18" s="76">
        <v>30</v>
      </c>
      <c r="I18" s="76"/>
      <c r="J18" s="54">
        <v>30.04</v>
      </c>
      <c r="K18" s="54"/>
      <c r="L18" s="32">
        <f t="shared" si="0"/>
        <v>30.01</v>
      </c>
      <c r="M18" s="32"/>
      <c r="N18" s="54">
        <v>0</v>
      </c>
      <c r="O18" s="54"/>
      <c r="P18" s="54">
        <v>0</v>
      </c>
      <c r="Q18" s="54"/>
      <c r="R18" s="54">
        <v>0</v>
      </c>
      <c r="S18" s="54"/>
      <c r="T18" s="32">
        <f t="shared" si="1"/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/>
      <c r="AB18" s="32">
        <f>AVERAGE(V18:Z18)</f>
        <v>0</v>
      </c>
      <c r="AC18" s="32"/>
      <c r="AD18" s="30">
        <f>F18+N18+V18</f>
        <v>29.99</v>
      </c>
      <c r="AE18" s="30"/>
      <c r="AF18" s="30">
        <f>H18+P18+X18</f>
        <v>30</v>
      </c>
      <c r="AG18" s="30"/>
      <c r="AH18" s="30">
        <f>J18+R18+Z18</f>
        <v>30.04</v>
      </c>
      <c r="AI18" s="30"/>
      <c r="AJ18" s="30">
        <f>L18+T18+AB18</f>
        <v>30.01</v>
      </c>
      <c r="AK18" s="30"/>
      <c r="AL18" s="30"/>
      <c r="AM18" s="30"/>
      <c r="AN18" s="30"/>
      <c r="AO18" s="30"/>
      <c r="AP18" s="30"/>
      <c r="AQ18" s="30"/>
      <c r="AR18" s="30"/>
    </row>
    <row r="19" spans="2:44" ht="12.75">
      <c r="B19" s="7" t="s">
        <v>153</v>
      </c>
      <c r="D19" s="7" t="s">
        <v>53</v>
      </c>
      <c r="F19" s="75">
        <v>0</v>
      </c>
      <c r="G19" s="75"/>
      <c r="H19" s="76">
        <v>0</v>
      </c>
      <c r="I19" s="76"/>
      <c r="J19" s="54">
        <v>0</v>
      </c>
      <c r="K19" s="54"/>
      <c r="L19" s="32">
        <f t="shared" si="0"/>
        <v>0</v>
      </c>
      <c r="M19" s="32"/>
      <c r="N19" s="30">
        <v>29.16</v>
      </c>
      <c r="O19" s="30"/>
      <c r="P19" s="30">
        <v>19.46</v>
      </c>
      <c r="Q19" s="30"/>
      <c r="R19" s="30">
        <v>28.58</v>
      </c>
      <c r="S19" s="30"/>
      <c r="T19" s="32">
        <f t="shared" si="1"/>
        <v>25.733333333333334</v>
      </c>
      <c r="U19" s="32"/>
      <c r="V19" s="32">
        <v>0</v>
      </c>
      <c r="W19" s="32"/>
      <c r="X19" s="32">
        <v>0</v>
      </c>
      <c r="Y19" s="32"/>
      <c r="Z19" s="32">
        <v>0</v>
      </c>
      <c r="AA19" s="32"/>
      <c r="AB19" s="32">
        <f>AVERAGE(V19:Z19)</f>
        <v>0</v>
      </c>
      <c r="AC19" s="32"/>
      <c r="AD19" s="30">
        <f>F19+N19+V19</f>
        <v>29.16</v>
      </c>
      <c r="AE19" s="30"/>
      <c r="AF19" s="30">
        <f>H19+P19+X19</f>
        <v>19.46</v>
      </c>
      <c r="AG19" s="30"/>
      <c r="AH19" s="30">
        <f>J19+R19+Z19</f>
        <v>28.58</v>
      </c>
      <c r="AI19" s="30"/>
      <c r="AJ19" s="30">
        <f>L19+T19+AB19</f>
        <v>25.733333333333334</v>
      </c>
      <c r="AK19" s="30"/>
      <c r="AL19" s="30"/>
      <c r="AM19" s="30"/>
      <c r="AN19" s="30"/>
      <c r="AO19" s="30"/>
      <c r="AP19" s="30"/>
      <c r="AQ19" s="30"/>
      <c r="AR19" s="30"/>
    </row>
    <row r="20" spans="6:29" ht="12.75">
      <c r="F20" s="57"/>
      <c r="G20" s="57"/>
      <c r="H20" s="58"/>
      <c r="I20" s="58"/>
      <c r="J20" s="58"/>
      <c r="K20" s="58"/>
      <c r="L20" s="32"/>
      <c r="M20" s="32"/>
      <c r="N20" s="58"/>
      <c r="O20" s="58"/>
      <c r="P20" s="58"/>
      <c r="Q20" s="58"/>
      <c r="R20" s="58"/>
      <c r="S20" s="58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6:7" ht="12.75">
      <c r="F21" s="8"/>
      <c r="G21" s="8"/>
    </row>
    <row r="22" spans="2:44" ht="12.75">
      <c r="B22" s="7" t="s">
        <v>225</v>
      </c>
      <c r="D22" s="7" t="s">
        <v>17</v>
      </c>
      <c r="E22" s="27"/>
      <c r="F22" s="8">
        <f>'emiss 1'!$G$36</f>
        <v>34280</v>
      </c>
      <c r="G22" s="8"/>
      <c r="H22" s="8">
        <f>'emiss 1'!$I$36</f>
        <v>34502</v>
      </c>
      <c r="I22" s="8"/>
      <c r="J22" s="25">
        <f>'emiss 1'!$K$36</f>
        <v>33312</v>
      </c>
      <c r="L22" s="39">
        <f>'emiss 1'!$M$36</f>
        <v>34031.333333333336</v>
      </c>
      <c r="M22" s="39"/>
      <c r="N22" s="8">
        <f>'emiss 1'!$G$36</f>
        <v>34280</v>
      </c>
      <c r="O22" s="8"/>
      <c r="P22" s="8">
        <f>'emiss 1'!$I$36</f>
        <v>34502</v>
      </c>
      <c r="Q22" s="8"/>
      <c r="R22" s="25">
        <f>'emiss 1'!$K$36</f>
        <v>33312</v>
      </c>
      <c r="T22" s="39">
        <f>'emiss 1'!$M$36</f>
        <v>34031.333333333336</v>
      </c>
      <c r="U22" s="39"/>
      <c r="V22" s="8">
        <f>'emiss 1'!$G$36</f>
        <v>34280</v>
      </c>
      <c r="W22" s="8"/>
      <c r="X22" s="8">
        <f>'emiss 1'!$I$36</f>
        <v>34502</v>
      </c>
      <c r="Y22" s="8"/>
      <c r="Z22" s="25">
        <f>'emiss 1'!$K$36</f>
        <v>33312</v>
      </c>
      <c r="AB22" s="39">
        <f>'emiss 1'!$M$36</f>
        <v>34031.333333333336</v>
      </c>
      <c r="AC22" s="39"/>
      <c r="AD22" s="30">
        <f>V22</f>
        <v>34280</v>
      </c>
      <c r="AE22" s="39"/>
      <c r="AF22" s="30">
        <f>X22</f>
        <v>34502</v>
      </c>
      <c r="AG22" s="39"/>
      <c r="AH22" s="30">
        <f>Z22</f>
        <v>33312</v>
      </c>
      <c r="AI22" s="39"/>
      <c r="AJ22" s="39">
        <f>'emiss 1'!M36</f>
        <v>34031.333333333336</v>
      </c>
      <c r="AK22" s="39"/>
      <c r="AL22" s="39"/>
      <c r="AM22" s="39"/>
      <c r="AN22" s="39"/>
      <c r="AO22" s="39"/>
      <c r="AP22" s="39"/>
      <c r="AQ22" s="39"/>
      <c r="AR22" s="39"/>
    </row>
    <row r="23" spans="2:44" ht="12.75">
      <c r="B23" s="7" t="s">
        <v>226</v>
      </c>
      <c r="D23" s="7" t="s">
        <v>18</v>
      </c>
      <c r="E23" s="27"/>
      <c r="F23" s="8">
        <f>'emiss 1'!$G$37</f>
        <v>13.97</v>
      </c>
      <c r="G23" s="8"/>
      <c r="H23" s="8">
        <f>'emiss 1'!$I$37</f>
        <v>13.9</v>
      </c>
      <c r="I23" s="8"/>
      <c r="J23" s="25">
        <f>'emiss 1'!$K$37</f>
        <v>13.78</v>
      </c>
      <c r="L23" s="39">
        <f>'emiss 1'!$M$37</f>
        <v>13.883333333333333</v>
      </c>
      <c r="M23" s="39"/>
      <c r="N23" s="8">
        <f>'emiss 1'!$G$37</f>
        <v>13.97</v>
      </c>
      <c r="O23" s="8"/>
      <c r="P23" s="8">
        <f>'emiss 1'!$I$37</f>
        <v>13.9</v>
      </c>
      <c r="Q23" s="8"/>
      <c r="R23" s="25">
        <f>'emiss 1'!$K$37</f>
        <v>13.78</v>
      </c>
      <c r="T23" s="39">
        <f>'emiss 1'!$M$37</f>
        <v>13.883333333333333</v>
      </c>
      <c r="U23" s="39"/>
      <c r="V23" s="8">
        <f>'emiss 1'!$G$37</f>
        <v>13.97</v>
      </c>
      <c r="W23" s="8"/>
      <c r="X23" s="8">
        <f>'emiss 1'!$I$37</f>
        <v>13.9</v>
      </c>
      <c r="Y23" s="8"/>
      <c r="Z23" s="25">
        <f>'emiss 1'!$K$37</f>
        <v>13.78</v>
      </c>
      <c r="AB23" s="39">
        <f>'emiss 1'!$M$37</f>
        <v>13.883333333333333</v>
      </c>
      <c r="AC23" s="39"/>
      <c r="AD23" s="30">
        <f>V23</f>
        <v>13.97</v>
      </c>
      <c r="AE23" s="30"/>
      <c r="AF23" s="30">
        <f>X23</f>
        <v>13.9</v>
      </c>
      <c r="AG23" s="30"/>
      <c r="AH23" s="30">
        <f>Z23</f>
        <v>13.78</v>
      </c>
      <c r="AI23" s="30"/>
      <c r="AJ23" s="30">
        <f>'emiss 1'!M37</f>
        <v>13.883333333333333</v>
      </c>
      <c r="AK23" s="30"/>
      <c r="AL23" s="30"/>
      <c r="AM23" s="30"/>
      <c r="AN23" s="30"/>
      <c r="AO23" s="30"/>
      <c r="AP23" s="30"/>
      <c r="AQ23" s="30"/>
      <c r="AR23" s="30"/>
    </row>
    <row r="24" spans="5:44" ht="12.75">
      <c r="E24" s="27"/>
      <c r="F24" s="8"/>
      <c r="G24" s="8"/>
      <c r="H24" s="8"/>
      <c r="I24" s="8"/>
      <c r="L24" s="39"/>
      <c r="M24" s="39"/>
      <c r="N24" s="8"/>
      <c r="O24" s="8"/>
      <c r="P24" s="8"/>
      <c r="Q24" s="8"/>
      <c r="T24" s="39"/>
      <c r="U24" s="39"/>
      <c r="V24" s="8"/>
      <c r="W24" s="8"/>
      <c r="X24" s="8"/>
      <c r="Y24" s="8"/>
      <c r="AB24" s="39"/>
      <c r="AC24" s="39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2:44" ht="12.75">
      <c r="B25" s="5" t="s">
        <v>340</v>
      </c>
      <c r="D25" s="5" t="s">
        <v>152</v>
      </c>
      <c r="E25" s="27"/>
      <c r="F25" s="8"/>
      <c r="G25" s="8"/>
      <c r="H25" s="8"/>
      <c r="I25" s="8"/>
      <c r="L25" s="39"/>
      <c r="M25" s="39"/>
      <c r="N25" s="8"/>
      <c r="O25" s="8"/>
      <c r="P25" s="8"/>
      <c r="Q25" s="8"/>
      <c r="T25" s="39"/>
      <c r="U25" s="39"/>
      <c r="V25" s="8"/>
      <c r="W25" s="8"/>
      <c r="X25" s="8"/>
      <c r="Y25" s="8"/>
      <c r="AB25" s="39"/>
      <c r="AC25" s="39"/>
      <c r="AD25" s="54">
        <f>AD22/9000*60*(21-AD23)/21</f>
        <v>76.50425396825396</v>
      </c>
      <c r="AE25" s="30"/>
      <c r="AF25" s="54">
        <f>AF22/9000*60*(21-AF23)/21</f>
        <v>77.76641269841268</v>
      </c>
      <c r="AG25" s="30"/>
      <c r="AH25" s="54">
        <f>AH22/9000*60*(21-AH23)/21</f>
        <v>76.35321904761906</v>
      </c>
      <c r="AI25" s="30"/>
      <c r="AJ25" s="54">
        <f>AJ22/9000*60*(21-AJ23)/21</f>
        <v>76.88560493827161</v>
      </c>
      <c r="AK25" s="30"/>
      <c r="AL25" s="30"/>
      <c r="AM25" s="30"/>
      <c r="AN25" s="30"/>
      <c r="AO25" s="30"/>
      <c r="AP25" s="30"/>
      <c r="AQ25" s="30"/>
      <c r="AR25" s="30"/>
    </row>
    <row r="26" spans="5:7" ht="12.75">
      <c r="E26" s="27"/>
      <c r="F26" s="8"/>
      <c r="G26" s="8"/>
    </row>
    <row r="27" spans="2:7" ht="12.75">
      <c r="B27" s="43" t="s">
        <v>123</v>
      </c>
      <c r="F27" s="8"/>
      <c r="G27" s="8"/>
    </row>
    <row r="28" spans="2:44" ht="12.75">
      <c r="B28" s="7" t="s">
        <v>49</v>
      </c>
      <c r="D28" s="7" t="s">
        <v>64</v>
      </c>
      <c r="F28" s="28">
        <f>F15*454000/60/F$22/0.028317*(21-7)/(21-F$23)</f>
        <v>2514.804759457273</v>
      </c>
      <c r="G28" s="28"/>
      <c r="H28" s="28">
        <f>H15*454000/60/H$22/0.028317*(21-7)/(21-H$23)</f>
        <v>2871.0491481962854</v>
      </c>
      <c r="I28" s="28"/>
      <c r="J28" s="28">
        <f>J15*454000/60/J$22/0.028317*(21-7)/(21-J$23)</f>
        <v>2815.3089878674687</v>
      </c>
      <c r="K28" s="28"/>
      <c r="L28" s="28">
        <f>AVERAGE(F28:J28)</f>
        <v>2733.7209651736757</v>
      </c>
      <c r="M28" s="28"/>
      <c r="N28" s="28">
        <f>N15*454000/60/N$22/0.028317*(21-7)/(21-N$23)</f>
        <v>15989.190754574021</v>
      </c>
      <c r="O28" s="28"/>
      <c r="P28" s="28">
        <f>P15*454000/60/P$22/0.028317*(21-7)/(21-P$23)</f>
        <v>14706.491115494804</v>
      </c>
      <c r="Q28" s="28"/>
      <c r="R28" s="28">
        <f>R15*454000/60/R$22/0.028317*(21-7)/(21-R$23)</f>
        <v>16720.757800870328</v>
      </c>
      <c r="S28" s="28"/>
      <c r="T28" s="28">
        <f>AVERAGE(N28:R28)</f>
        <v>15805.47989031305</v>
      </c>
      <c r="U28" s="28"/>
      <c r="V28" s="28">
        <f>V15*454000/60/V$22/0.028317*(21-7)/(21-V$23)</f>
        <v>0</v>
      </c>
      <c r="W28" s="28"/>
      <c r="X28" s="28">
        <f>X15*454000/60/X$22/0.028317*(21-7)/(21-X$23)</f>
        <v>0</v>
      </c>
      <c r="Y28" s="28"/>
      <c r="Z28" s="28">
        <f>Z15*454000/60/Z$22/0.028317*(21-7)/(21-Z$23)</f>
        <v>0</v>
      </c>
      <c r="AA28" s="28"/>
      <c r="AB28" s="28">
        <f>AVERAGE(V28:Z28)</f>
        <v>0</v>
      </c>
      <c r="AC28" s="28"/>
      <c r="AD28" s="28">
        <f>F28+N28+V28</f>
        <v>18503.995514031296</v>
      </c>
      <c r="AE28" s="28"/>
      <c r="AF28" s="28">
        <f>H28+P28+X28</f>
        <v>17577.540263691088</v>
      </c>
      <c r="AG28" s="28"/>
      <c r="AH28" s="28">
        <f>J28+R28+Z28</f>
        <v>19536.066788737797</v>
      </c>
      <c r="AI28" s="28"/>
      <c r="AJ28" s="28">
        <f>L28+T28+AB28</f>
        <v>18539.200855486728</v>
      </c>
      <c r="AK28" s="28"/>
      <c r="AL28" s="28">
        <f>F28+N28</f>
        <v>18503.995514031296</v>
      </c>
      <c r="AM28" s="28"/>
      <c r="AN28" s="28">
        <f>H28+P28</f>
        <v>17577.540263691088</v>
      </c>
      <c r="AO28" s="28"/>
      <c r="AP28" s="28">
        <f>J28+R28</f>
        <v>19536.066788737797</v>
      </c>
      <c r="AQ28" s="28"/>
      <c r="AR28" s="28">
        <f>L28+T28</f>
        <v>18539.200855486728</v>
      </c>
    </row>
    <row r="29" spans="6:44" ht="12.75">
      <c r="F29" s="8"/>
      <c r="G29" s="8"/>
      <c r="H29" s="8"/>
      <c r="I29" s="8"/>
      <c r="J29" s="8"/>
      <c r="K29" s="8"/>
      <c r="L29" s="28"/>
      <c r="M29" s="28"/>
      <c r="N29" s="8"/>
      <c r="O29" s="8"/>
      <c r="P29" s="8"/>
      <c r="Q29" s="8"/>
      <c r="R29" s="8"/>
      <c r="S29" s="8"/>
      <c r="T29" s="28"/>
      <c r="U29" s="28"/>
      <c r="V29" s="8"/>
      <c r="W29" s="8"/>
      <c r="X29" s="8"/>
      <c r="Y29" s="8"/>
      <c r="Z29" s="8"/>
      <c r="AA29" s="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2:44" ht="12.75">
      <c r="B30" s="7" t="s">
        <v>224</v>
      </c>
      <c r="D30" s="7" t="s">
        <v>58</v>
      </c>
      <c r="F30" s="28">
        <f>F11*454000000/60/F$22/0.028317*(21-7)/(21-F$23)</f>
        <v>51693.20894439951</v>
      </c>
      <c r="G30" s="28"/>
      <c r="H30" s="28">
        <f>H11*454000000/60/H$22/0.028317*(21-7)/(21-H$23)</f>
        <v>66125.7596366485</v>
      </c>
      <c r="I30" s="28"/>
      <c r="J30" s="28">
        <f>J11*454000000/60/J$22/0.028317*(21-7)/(21-J$23)</f>
        <v>61439.06354738399</v>
      </c>
      <c r="K30" s="28"/>
      <c r="L30" s="28">
        <f>AVERAGE(F30:J30)</f>
        <v>59752.67737614399</v>
      </c>
      <c r="M30" s="28"/>
      <c r="N30" s="28">
        <f>N11*454000000/60/N$22/0.028317*(21-7)/(21-N$23)</f>
        <v>31978.381509148043</v>
      </c>
      <c r="O30" s="28"/>
      <c r="P30" s="28">
        <f>P11*454000000/60/P$22/0.028317*(21-7)/(21-P$23)</f>
        <v>30084.92990397172</v>
      </c>
      <c r="Q30" s="28"/>
      <c r="R30" s="28">
        <f>R11*454000000/60/R$22/0.028317*(21-7)/(21-R$23)</f>
        <v>152586.63630375618</v>
      </c>
      <c r="S30" s="28"/>
      <c r="T30" s="28">
        <f>AVERAGE(N30:R30)</f>
        <v>71549.98257229198</v>
      </c>
      <c r="U30" s="28"/>
      <c r="V30" s="28">
        <f>V11*454000000/60/V$22/0.028317*(21-7)/(21-V$23)</f>
        <v>540993.4930067034</v>
      </c>
      <c r="W30" s="28"/>
      <c r="X30" s="28">
        <f>X11*454000000/60/X$22/0.028317*(21-7)/(21-X$23)</f>
        <v>533892.9692603305</v>
      </c>
      <c r="Y30" s="28"/>
      <c r="Z30" s="28">
        <f>Z11*454000000/60/Z$22/0.028317*(21-7)/(21-Z$23)</f>
        <v>540041.5914848538</v>
      </c>
      <c r="AA30" s="28"/>
      <c r="AB30" s="28">
        <f>AVERAGE(V30:Z30)</f>
        <v>538309.3512506293</v>
      </c>
      <c r="AC30" s="28"/>
      <c r="AD30" s="28">
        <f>F30+N30+V30</f>
        <v>624665.083460251</v>
      </c>
      <c r="AE30" s="28"/>
      <c r="AF30" s="28">
        <f>H30+P30+X30</f>
        <v>630103.6588009507</v>
      </c>
      <c r="AG30" s="28"/>
      <c r="AH30" s="28">
        <f>J30+R30+Z30</f>
        <v>754067.2913359939</v>
      </c>
      <c r="AI30" s="28"/>
      <c r="AJ30" s="28">
        <f>L30+T30+AB30</f>
        <v>669612.0111990653</v>
      </c>
      <c r="AK30" s="28"/>
      <c r="AL30" s="28">
        <f>F30+N30</f>
        <v>83671.59045354754</v>
      </c>
      <c r="AM30" s="28"/>
      <c r="AN30" s="28">
        <f>H30+P30</f>
        <v>96210.68954062021</v>
      </c>
      <c r="AO30" s="28"/>
      <c r="AP30" s="28">
        <f>J30+R30</f>
        <v>214025.69985114018</v>
      </c>
      <c r="AQ30" s="28"/>
      <c r="AR30" s="28">
        <f>L30+T30</f>
        <v>131302.65994843596</v>
      </c>
    </row>
    <row r="31" spans="6:44" ht="12.75">
      <c r="F31" s="8"/>
      <c r="G31" s="8"/>
      <c r="H31" s="8"/>
      <c r="I31" s="8"/>
      <c r="J31" s="8"/>
      <c r="K31" s="8"/>
      <c r="L31" s="28"/>
      <c r="M31" s="28"/>
      <c r="N31" s="8"/>
      <c r="O31" s="8"/>
      <c r="P31" s="8"/>
      <c r="Q31" s="8"/>
      <c r="R31" s="8"/>
      <c r="S31" s="8"/>
      <c r="T31" s="28"/>
      <c r="U31" s="28"/>
      <c r="V31" s="8"/>
      <c r="W31" s="8"/>
      <c r="X31" s="8"/>
      <c r="Y31" s="8"/>
      <c r="Z31" s="8"/>
      <c r="AA31" s="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2:44" ht="12.75">
      <c r="B32" s="7" t="s">
        <v>82</v>
      </c>
      <c r="D32" s="7" t="s">
        <v>58</v>
      </c>
      <c r="F32" s="28">
        <f>F12*454000000/60/F$22/0.028317*(21-7)/(21-F$23)</f>
        <v>4036.1064040672277</v>
      </c>
      <c r="G32" s="28"/>
      <c r="H32" s="28">
        <f>H12*454000000/60/H$22/0.028317*(21-7)/(21-H$23)</f>
        <v>18478.561007008007</v>
      </c>
      <c r="I32" s="28"/>
      <c r="J32" s="28">
        <f>J12*454000000/60/J$22/0.028317*(21-7)/(21-J$23)</f>
        <v>16798.528767386004</v>
      </c>
      <c r="K32" s="28"/>
      <c r="L32" s="28">
        <f>AVERAGE(F32:J32)</f>
        <v>13104.398726153746</v>
      </c>
      <c r="M32" s="28"/>
      <c r="N32" s="28">
        <f>N12*454000000/60/N$22/0.028317*(21-7)/(21-N$23)</f>
        <v>8227.44766982935</v>
      </c>
      <c r="O32" s="28"/>
      <c r="P32" s="28">
        <f>P12*454000000/60/P$22/0.028317*(21-7)/(21-P$23)</f>
        <v>7483.053630937126</v>
      </c>
      <c r="Q32" s="28"/>
      <c r="R32" s="28">
        <f>R12*454000000/60/R$22/0.028317*(21-7)/(21-R$23)</f>
        <v>186650.31963762225</v>
      </c>
      <c r="S32" s="28"/>
      <c r="T32" s="28">
        <f>AVERAGE(N32:R32)</f>
        <v>67453.60697946291</v>
      </c>
      <c r="U32" s="28"/>
      <c r="V32" s="28">
        <f>V12*454000000/60/V$22/0.028317*(21-7)/(21-V$23)</f>
        <v>0</v>
      </c>
      <c r="W32" s="28"/>
      <c r="X32" s="28">
        <f>X12*454000000/60/X$22/0.028317*(21-7)/(21-X$23)</f>
        <v>0</v>
      </c>
      <c r="Y32" s="28"/>
      <c r="Z32" s="28">
        <f>Z12*454000000/60/Z$22/0.028317*(21-7)/(21-Z$23)</f>
        <v>0</v>
      </c>
      <c r="AA32" s="28"/>
      <c r="AB32" s="28">
        <f>AVERAGE(V32:Z32)</f>
        <v>0</v>
      </c>
      <c r="AC32" s="28"/>
      <c r="AD32" s="28">
        <f>F32+N32+V32</f>
        <v>12263.554073896577</v>
      </c>
      <c r="AE32" s="28"/>
      <c r="AF32" s="28">
        <f>H32+P32+X32</f>
        <v>25961.614637945135</v>
      </c>
      <c r="AG32" s="28"/>
      <c r="AH32" s="28">
        <f>J32+R32+Z32</f>
        <v>203448.84840500826</v>
      </c>
      <c r="AI32" s="28"/>
      <c r="AJ32" s="28">
        <f>L32+T32+AB32</f>
        <v>80558.00570561666</v>
      </c>
      <c r="AK32" s="28"/>
      <c r="AL32" s="28">
        <f>F32+N32</f>
        <v>12263.554073896577</v>
      </c>
      <c r="AM32" s="28"/>
      <c r="AN32" s="28">
        <f>H32+P32</f>
        <v>25961.614637945135</v>
      </c>
      <c r="AO32" s="28"/>
      <c r="AP32" s="28">
        <f>J32+R32</f>
        <v>203448.84840500826</v>
      </c>
      <c r="AQ32" s="28"/>
      <c r="AR32" s="28">
        <f>L32+T32</f>
        <v>80558.00570561666</v>
      </c>
    </row>
    <row r="33" spans="2:44" ht="12.75">
      <c r="B33" s="7" t="s">
        <v>262</v>
      </c>
      <c r="D33" s="7" t="s">
        <v>58</v>
      </c>
      <c r="F33" s="28">
        <f aca="true" t="shared" si="7" ref="F33:J34">F13*454000000/60/$AJ$22/0.028317*(21-7)/(21-$AJ$23)</f>
        <v>1235.7192005830243</v>
      </c>
      <c r="G33" s="28"/>
      <c r="H33" s="28">
        <f t="shared" si="7"/>
        <v>1235.7192005830243</v>
      </c>
      <c r="I33" s="28"/>
      <c r="J33" s="28">
        <f t="shared" si="7"/>
        <v>1235.7192005830243</v>
      </c>
      <c r="K33" s="28"/>
      <c r="L33" s="28">
        <f>AVERAGE(F33:J33)</f>
        <v>1235.7192005830243</v>
      </c>
      <c r="M33" s="28"/>
      <c r="N33" s="28">
        <f aca="true" t="shared" si="8" ref="N33:R34">N13*454000000/60/$AJ$22/0.028317*(21-7)/(21-$AJ$23)</f>
        <v>154.46490007287804</v>
      </c>
      <c r="O33" s="28"/>
      <c r="P33" s="28">
        <f t="shared" si="8"/>
        <v>154.46490007287804</v>
      </c>
      <c r="Q33" s="28"/>
      <c r="R33" s="28">
        <f t="shared" si="8"/>
        <v>154.46490007287804</v>
      </c>
      <c r="S33" s="28"/>
      <c r="T33" s="28">
        <f>AVERAGE(N33:R33)</f>
        <v>154.46490007287804</v>
      </c>
      <c r="U33" s="28"/>
      <c r="V33" s="28">
        <f aca="true" t="shared" si="9" ref="V33:Z34">V13*454000000/60/$AJ$22/0.028317*(21-7)/(21-$AJ$23)</f>
        <v>0</v>
      </c>
      <c r="W33" s="28"/>
      <c r="X33" s="28">
        <f t="shared" si="9"/>
        <v>0</v>
      </c>
      <c r="Y33" s="28"/>
      <c r="Z33" s="28">
        <f t="shared" si="9"/>
        <v>0</v>
      </c>
      <c r="AA33" s="28"/>
      <c r="AB33" s="28">
        <f>AVERAGE(V33:Z33)</f>
        <v>0</v>
      </c>
      <c r="AC33" s="28"/>
      <c r="AD33" s="28">
        <f>F33+N33+V33</f>
        <v>1390.1841006559023</v>
      </c>
      <c r="AE33" s="28"/>
      <c r="AF33" s="28">
        <f>H33+P33+X33</f>
        <v>1390.1841006559023</v>
      </c>
      <c r="AG33" s="28"/>
      <c r="AH33" s="28">
        <f>J33+R33+Z33</f>
        <v>1390.1841006559023</v>
      </c>
      <c r="AI33" s="28"/>
      <c r="AJ33" s="28">
        <f>L33+T33+AB33</f>
        <v>1390.1841006559023</v>
      </c>
      <c r="AK33" s="28"/>
      <c r="AL33" s="28">
        <f>F33+N33</f>
        <v>1390.1841006559023</v>
      </c>
      <c r="AM33" s="28"/>
      <c r="AN33" s="28">
        <f>H33+P33</f>
        <v>1390.1841006559023</v>
      </c>
      <c r="AO33" s="28"/>
      <c r="AP33" s="28">
        <f>J33+R33</f>
        <v>1390.1841006559023</v>
      </c>
      <c r="AQ33" s="28"/>
      <c r="AR33" s="28">
        <f>L33+T33</f>
        <v>1390.1841006559023</v>
      </c>
    </row>
    <row r="34" spans="2:44" ht="12.75">
      <c r="B34" s="7" t="s">
        <v>107</v>
      </c>
      <c r="D34" s="7" t="s">
        <v>58</v>
      </c>
      <c r="F34" s="28">
        <f t="shared" si="7"/>
        <v>0</v>
      </c>
      <c r="G34" s="28"/>
      <c r="H34" s="28">
        <f t="shared" si="7"/>
        <v>0</v>
      </c>
      <c r="I34" s="28"/>
      <c r="J34" s="28">
        <f t="shared" si="7"/>
        <v>0</v>
      </c>
      <c r="K34" s="28"/>
      <c r="L34" s="28">
        <f>AVERAGE(F34:J34)</f>
        <v>0</v>
      </c>
      <c r="M34" s="28"/>
      <c r="N34" s="28">
        <f t="shared" si="8"/>
        <v>0</v>
      </c>
      <c r="O34" s="28"/>
      <c r="P34" s="28">
        <f t="shared" si="8"/>
        <v>0</v>
      </c>
      <c r="Q34" s="28"/>
      <c r="R34" s="28">
        <f t="shared" si="8"/>
        <v>0</v>
      </c>
      <c r="S34" s="28"/>
      <c r="T34" s="28">
        <f>AVERAGE(N34:R34)</f>
        <v>0</v>
      </c>
      <c r="U34" s="28"/>
      <c r="V34" s="28">
        <f t="shared" si="9"/>
        <v>0</v>
      </c>
      <c r="W34" s="28"/>
      <c r="X34" s="28">
        <f t="shared" si="9"/>
        <v>0</v>
      </c>
      <c r="Y34" s="28"/>
      <c r="Z34" s="28">
        <f t="shared" si="9"/>
        <v>0</v>
      </c>
      <c r="AA34" s="28"/>
      <c r="AB34" s="28">
        <f>AVERAGE(V34:Z34)</f>
        <v>0</v>
      </c>
      <c r="AC34" s="28"/>
      <c r="AD34" s="28">
        <f>F34+N34+V34</f>
        <v>0</v>
      </c>
      <c r="AE34" s="28"/>
      <c r="AF34" s="28">
        <f>H34+P34+X34</f>
        <v>0</v>
      </c>
      <c r="AG34" s="28"/>
      <c r="AH34" s="28">
        <f>J34+R34+Z34</f>
        <v>0</v>
      </c>
      <c r="AI34" s="28"/>
      <c r="AJ34" s="28">
        <f>L34+T34+AB34</f>
        <v>0</v>
      </c>
      <c r="AK34" s="28"/>
      <c r="AL34" s="28"/>
      <c r="AM34" s="28"/>
      <c r="AN34" s="28"/>
      <c r="AO34" s="28"/>
      <c r="AP34" s="28"/>
      <c r="AQ34" s="28"/>
      <c r="AR34" s="28"/>
    </row>
    <row r="35" spans="2:45" ht="12.75">
      <c r="B35" s="7" t="s">
        <v>60</v>
      </c>
      <c r="D35" s="7" t="s">
        <v>58</v>
      </c>
      <c r="F35" s="28">
        <f>F33+F34</f>
        <v>1235.7192005830243</v>
      </c>
      <c r="G35" s="28"/>
      <c r="H35" s="28">
        <f>H33+H34</f>
        <v>1235.7192005830243</v>
      </c>
      <c r="I35" s="28"/>
      <c r="J35" s="28">
        <f>J33+J34</f>
        <v>1235.7192005830243</v>
      </c>
      <c r="K35" s="28"/>
      <c r="L35" s="28">
        <f>L33+L34</f>
        <v>1235.7192005830243</v>
      </c>
      <c r="M35" s="28"/>
      <c r="N35" s="28">
        <f>N33+N34</f>
        <v>154.46490007287804</v>
      </c>
      <c r="O35" s="28"/>
      <c r="P35" s="28">
        <f>P33+P34</f>
        <v>154.46490007287804</v>
      </c>
      <c r="Q35" s="28"/>
      <c r="R35" s="28">
        <f>R33+R34</f>
        <v>154.46490007287804</v>
      </c>
      <c r="S35" s="28"/>
      <c r="T35" s="28">
        <f>T33+T34</f>
        <v>154.46490007287804</v>
      </c>
      <c r="U35" s="28"/>
      <c r="V35" s="28">
        <f>V33+V34</f>
        <v>0</v>
      </c>
      <c r="W35" s="28"/>
      <c r="X35" s="28">
        <f>X33+X34</f>
        <v>0</v>
      </c>
      <c r="Y35" s="28"/>
      <c r="Z35" s="28">
        <f>Z33+Z34</f>
        <v>0</v>
      </c>
      <c r="AA35" s="28"/>
      <c r="AB35" s="28">
        <f>AB33+AB34</f>
        <v>0</v>
      </c>
      <c r="AC35" s="28"/>
      <c r="AD35" s="28">
        <f>AD33+AD34</f>
        <v>1390.1841006559023</v>
      </c>
      <c r="AE35" s="28"/>
      <c r="AF35" s="28">
        <f>AF33+AF34</f>
        <v>1390.1841006559023</v>
      </c>
      <c r="AG35" s="28"/>
      <c r="AH35" s="28">
        <f>AH33+AH34</f>
        <v>1390.1841006559023</v>
      </c>
      <c r="AI35" s="28"/>
      <c r="AJ35" s="28">
        <f>AJ33+AJ34</f>
        <v>1390.1841006559023</v>
      </c>
      <c r="AK35" s="28"/>
      <c r="AL35" s="28">
        <f>AL33+AL34</f>
        <v>1390.1841006559023</v>
      </c>
      <c r="AM35" s="28"/>
      <c r="AN35" s="28">
        <f>AN33+AN34</f>
        <v>1390.1841006559023</v>
      </c>
      <c r="AO35" s="28"/>
      <c r="AP35" s="28">
        <f>AP33+AP34</f>
        <v>1390.1841006559023</v>
      </c>
      <c r="AQ35" s="28"/>
      <c r="AR35" s="28">
        <f>AR33+AR34</f>
        <v>1390.1841006559023</v>
      </c>
      <c r="AS35" s="25" t="s">
        <v>336</v>
      </c>
    </row>
    <row r="36" spans="2:45" ht="12.75">
      <c r="B36" s="7" t="s">
        <v>59</v>
      </c>
      <c r="D36" s="7" t="s">
        <v>58</v>
      </c>
      <c r="F36" s="28">
        <f>F32</f>
        <v>4036.1064040672277</v>
      </c>
      <c r="G36" s="28"/>
      <c r="H36" s="28">
        <f>H32</f>
        <v>18478.561007008007</v>
      </c>
      <c r="I36" s="28"/>
      <c r="J36" s="28">
        <f>J32</f>
        <v>16798.528767386004</v>
      </c>
      <c r="K36" s="28"/>
      <c r="L36" s="28">
        <f>L32</f>
        <v>13104.398726153746</v>
      </c>
      <c r="M36" s="28"/>
      <c r="N36" s="28">
        <f>N32</f>
        <v>8227.44766982935</v>
      </c>
      <c r="O36" s="28"/>
      <c r="P36" s="28">
        <f>P32</f>
        <v>7483.053630937126</v>
      </c>
      <c r="Q36" s="28"/>
      <c r="R36" s="28">
        <f>R32</f>
        <v>186650.31963762225</v>
      </c>
      <c r="S36" s="28"/>
      <c r="T36" s="28">
        <f>T32</f>
        <v>67453.60697946291</v>
      </c>
      <c r="U36" s="28"/>
      <c r="V36" s="28">
        <f>V32</f>
        <v>0</v>
      </c>
      <c r="W36" s="28"/>
      <c r="X36" s="28">
        <f>X32</f>
        <v>0</v>
      </c>
      <c r="Y36" s="28"/>
      <c r="Z36" s="28">
        <f>Z32</f>
        <v>0</v>
      </c>
      <c r="AA36" s="28"/>
      <c r="AB36" s="28">
        <f>AB32</f>
        <v>0</v>
      </c>
      <c r="AC36" s="28"/>
      <c r="AD36" s="28">
        <f>AD32</f>
        <v>12263.554073896577</v>
      </c>
      <c r="AE36" s="28"/>
      <c r="AF36" s="28">
        <f>AF32</f>
        <v>25961.614637945135</v>
      </c>
      <c r="AG36" s="28"/>
      <c r="AH36" s="28">
        <f>AH32</f>
        <v>203448.84840500826</v>
      </c>
      <c r="AI36" s="28"/>
      <c r="AJ36" s="28">
        <f>AJ32</f>
        <v>80558.00570561666</v>
      </c>
      <c r="AK36" s="28"/>
      <c r="AL36" s="28">
        <f>AL32</f>
        <v>12263.554073896577</v>
      </c>
      <c r="AM36" s="28"/>
      <c r="AN36" s="28">
        <f>AN32</f>
        <v>25961.614637945135</v>
      </c>
      <c r="AO36" s="28"/>
      <c r="AP36" s="28">
        <f>AP32</f>
        <v>203448.84840500826</v>
      </c>
      <c r="AQ36" s="28"/>
      <c r="AR36" s="28">
        <f>AR32</f>
        <v>80558.00570561666</v>
      </c>
      <c r="AS36" s="25" t="s">
        <v>337</v>
      </c>
    </row>
    <row r="37" spans="6:31" ht="12.75"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6:31" ht="12.75">
      <c r="F38" s="8"/>
      <c r="G38" s="8"/>
      <c r="L38" s="28"/>
      <c r="M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44" ht="12.75">
      <c r="A39" s="25" t="s">
        <v>89</v>
      </c>
      <c r="B39" s="24" t="s">
        <v>223</v>
      </c>
      <c r="C39" s="24" t="s">
        <v>148</v>
      </c>
      <c r="F39" s="27" t="s">
        <v>257</v>
      </c>
      <c r="G39" s="27"/>
      <c r="H39" s="27" t="s">
        <v>258</v>
      </c>
      <c r="I39" s="27"/>
      <c r="J39" s="27" t="s">
        <v>259</v>
      </c>
      <c r="K39" s="27"/>
      <c r="L39" s="27" t="s">
        <v>47</v>
      </c>
      <c r="M39" s="27"/>
      <c r="N39" s="27" t="s">
        <v>257</v>
      </c>
      <c r="O39" s="27"/>
      <c r="P39" s="27" t="s">
        <v>258</v>
      </c>
      <c r="Q39" s="27"/>
      <c r="R39" s="27" t="s">
        <v>259</v>
      </c>
      <c r="S39" s="27"/>
      <c r="T39" s="27" t="s">
        <v>47</v>
      </c>
      <c r="U39" s="91"/>
      <c r="V39" s="27" t="s">
        <v>257</v>
      </c>
      <c r="W39" s="27"/>
      <c r="X39" s="27" t="s">
        <v>258</v>
      </c>
      <c r="Y39" s="27"/>
      <c r="Z39" s="27" t="s">
        <v>259</v>
      </c>
      <c r="AA39" s="27"/>
      <c r="AB39" s="27" t="s">
        <v>47</v>
      </c>
      <c r="AC39" s="91"/>
      <c r="AD39" s="27" t="s">
        <v>257</v>
      </c>
      <c r="AE39" s="27"/>
      <c r="AF39" s="27" t="s">
        <v>258</v>
      </c>
      <c r="AG39" s="27"/>
      <c r="AH39" s="27" t="s">
        <v>259</v>
      </c>
      <c r="AI39" s="27"/>
      <c r="AJ39" s="27" t="s">
        <v>47</v>
      </c>
      <c r="AK39" s="27"/>
      <c r="AL39" s="27" t="s">
        <v>257</v>
      </c>
      <c r="AM39" s="27"/>
      <c r="AN39" s="27" t="s">
        <v>258</v>
      </c>
      <c r="AO39" s="27"/>
      <c r="AP39" s="27" t="s">
        <v>259</v>
      </c>
      <c r="AQ39" s="27"/>
      <c r="AR39" s="27" t="s">
        <v>47</v>
      </c>
    </row>
    <row r="40" spans="6:44" ht="12.75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2:44" ht="12.75">
      <c r="B41" s="7" t="s">
        <v>322</v>
      </c>
      <c r="F41" s="26" t="s">
        <v>324</v>
      </c>
      <c r="H41" s="26" t="s">
        <v>324</v>
      </c>
      <c r="I41" s="26"/>
      <c r="J41" s="26" t="s">
        <v>324</v>
      </c>
      <c r="K41" s="26"/>
      <c r="L41" s="26" t="s">
        <v>324</v>
      </c>
      <c r="M41" s="26"/>
      <c r="N41" s="25" t="s">
        <v>326</v>
      </c>
      <c r="P41" s="25" t="s">
        <v>326</v>
      </c>
      <c r="R41" s="25" t="s">
        <v>326</v>
      </c>
      <c r="T41" s="25" t="s">
        <v>326</v>
      </c>
      <c r="V41" s="25" t="s">
        <v>329</v>
      </c>
      <c r="W41" s="10"/>
      <c r="X41" s="25" t="s">
        <v>329</v>
      </c>
      <c r="Y41" s="10"/>
      <c r="Z41" s="25" t="s">
        <v>329</v>
      </c>
      <c r="AA41" s="10"/>
      <c r="AB41" s="25" t="s">
        <v>329</v>
      </c>
      <c r="AC41" s="10"/>
      <c r="AD41" s="10" t="s">
        <v>328</v>
      </c>
      <c r="AE41" s="10"/>
      <c r="AF41" s="10" t="s">
        <v>328</v>
      </c>
      <c r="AG41" s="10"/>
      <c r="AH41" s="10" t="s">
        <v>328</v>
      </c>
      <c r="AI41" s="10"/>
      <c r="AJ41" s="10" t="s">
        <v>328</v>
      </c>
      <c r="AK41" s="10"/>
      <c r="AL41" s="10"/>
      <c r="AM41" s="10"/>
      <c r="AN41" s="10"/>
      <c r="AO41" s="10"/>
      <c r="AP41" s="10"/>
      <c r="AQ41" s="10"/>
      <c r="AR41" s="10"/>
    </row>
    <row r="42" spans="2:44" ht="12.75">
      <c r="B42" s="7" t="s">
        <v>323</v>
      </c>
      <c r="F42" s="26" t="s">
        <v>325</v>
      </c>
      <c r="H42" s="26" t="s">
        <v>325</v>
      </c>
      <c r="I42" s="26"/>
      <c r="J42" s="26" t="s">
        <v>325</v>
      </c>
      <c r="K42" s="26"/>
      <c r="L42" s="26" t="s">
        <v>325</v>
      </c>
      <c r="M42" s="26"/>
      <c r="N42" s="25" t="s">
        <v>327</v>
      </c>
      <c r="P42" s="25" t="s">
        <v>327</v>
      </c>
      <c r="R42" s="25" t="s">
        <v>327</v>
      </c>
      <c r="T42" s="25" t="s">
        <v>327</v>
      </c>
      <c r="V42" s="25" t="s">
        <v>57</v>
      </c>
      <c r="W42" s="10"/>
      <c r="X42" s="25" t="s">
        <v>57</v>
      </c>
      <c r="Y42" s="10"/>
      <c r="Z42" s="25" t="s">
        <v>57</v>
      </c>
      <c r="AA42" s="10"/>
      <c r="AB42" s="25" t="s">
        <v>57</v>
      </c>
      <c r="AC42" s="10"/>
      <c r="AD42" s="10" t="s">
        <v>25</v>
      </c>
      <c r="AE42" s="10"/>
      <c r="AF42" s="10" t="s">
        <v>25</v>
      </c>
      <c r="AG42" s="10"/>
      <c r="AH42" s="10" t="s">
        <v>25</v>
      </c>
      <c r="AI42" s="10"/>
      <c r="AJ42" s="10" t="s">
        <v>25</v>
      </c>
      <c r="AK42" s="10"/>
      <c r="AL42" s="10"/>
      <c r="AM42" s="10"/>
      <c r="AN42" s="10"/>
      <c r="AO42" s="10"/>
      <c r="AP42" s="10"/>
      <c r="AQ42" s="10"/>
      <c r="AR42" s="10"/>
    </row>
    <row r="43" spans="2:44" ht="12.75">
      <c r="B43" s="5" t="s">
        <v>334</v>
      </c>
      <c r="H43" s="26"/>
      <c r="I43" s="26"/>
      <c r="J43" s="26"/>
      <c r="K43" s="26"/>
      <c r="L43" s="26"/>
      <c r="M43" s="26"/>
      <c r="V43" s="25" t="s">
        <v>57</v>
      </c>
      <c r="X43" s="25" t="s">
        <v>57</v>
      </c>
      <c r="Z43" s="25" t="s">
        <v>57</v>
      </c>
      <c r="AB43" s="25" t="s">
        <v>57</v>
      </c>
      <c r="AD43" s="25" t="s">
        <v>25</v>
      </c>
      <c r="AF43" s="25" t="s">
        <v>25</v>
      </c>
      <c r="AH43" s="25" t="s">
        <v>25</v>
      </c>
      <c r="AJ43" s="25" t="s">
        <v>25</v>
      </c>
      <c r="AL43" s="25" t="s">
        <v>65</v>
      </c>
      <c r="AN43" s="25" t="s">
        <v>65</v>
      </c>
      <c r="AP43" s="25" t="s">
        <v>65</v>
      </c>
      <c r="AR43" s="25" t="s">
        <v>65</v>
      </c>
    </row>
    <row r="44" spans="2:58" s="48" customFormat="1" ht="25.5">
      <c r="B44" s="97" t="s">
        <v>48</v>
      </c>
      <c r="C44" s="97"/>
      <c r="D44" s="97"/>
      <c r="E44" s="98"/>
      <c r="F44" s="98" t="s">
        <v>150</v>
      </c>
      <c r="G44" s="98"/>
      <c r="H44" s="98" t="s">
        <v>150</v>
      </c>
      <c r="I44" s="98"/>
      <c r="J44" s="98" t="s">
        <v>150</v>
      </c>
      <c r="K44" s="98"/>
      <c r="L44" s="98" t="s">
        <v>150</v>
      </c>
      <c r="M44" s="98"/>
      <c r="N44" s="97" t="s">
        <v>151</v>
      </c>
      <c r="O44" s="97"/>
      <c r="P44" s="97" t="s">
        <v>151</v>
      </c>
      <c r="Q44" s="97"/>
      <c r="R44" s="97" t="s">
        <v>151</v>
      </c>
      <c r="S44" s="97"/>
      <c r="T44" s="97" t="s">
        <v>151</v>
      </c>
      <c r="U44" s="97"/>
      <c r="V44" s="97" t="s">
        <v>57</v>
      </c>
      <c r="W44" s="97"/>
      <c r="X44" s="97" t="s">
        <v>57</v>
      </c>
      <c r="Y44" s="97"/>
      <c r="Z44" s="97" t="s">
        <v>57</v>
      </c>
      <c r="AA44" s="97"/>
      <c r="AB44" s="97" t="s">
        <v>57</v>
      </c>
      <c r="AC44" s="97"/>
      <c r="AD44" s="97" t="s">
        <v>25</v>
      </c>
      <c r="AE44" s="97"/>
      <c r="AF44" s="97" t="s">
        <v>25</v>
      </c>
      <c r="AG44" s="97"/>
      <c r="AH44" s="97" t="s">
        <v>25</v>
      </c>
      <c r="AI44" s="97"/>
      <c r="AJ44" s="97" t="s">
        <v>25</v>
      </c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</row>
    <row r="45" spans="2:44" ht="12.75">
      <c r="B45" s="7" t="s">
        <v>90</v>
      </c>
      <c r="D45" s="7" t="s">
        <v>53</v>
      </c>
      <c r="E45" s="10"/>
      <c r="F45" s="31">
        <v>10406</v>
      </c>
      <c r="G45" s="31"/>
      <c r="H45" s="31">
        <v>10193</v>
      </c>
      <c r="I45" s="31"/>
      <c r="J45" s="31">
        <v>10074</v>
      </c>
      <c r="K45" s="31"/>
      <c r="L45" s="31">
        <f aca="true" t="shared" si="10" ref="L45:L54">AVERAGE(F45:J45)</f>
        <v>10224.333333333334</v>
      </c>
      <c r="M45" s="31"/>
      <c r="N45" s="28">
        <v>3496</v>
      </c>
      <c r="O45" s="28"/>
      <c r="P45" s="28">
        <v>3439</v>
      </c>
      <c r="Q45" s="28"/>
      <c r="R45" s="28">
        <v>3496</v>
      </c>
      <c r="S45" s="28"/>
      <c r="T45" s="31">
        <f>AVERAGE(N45:R45)</f>
        <v>3477</v>
      </c>
      <c r="U45" s="31"/>
      <c r="V45" s="31"/>
      <c r="W45" s="31"/>
      <c r="X45" s="31"/>
      <c r="Y45" s="31"/>
      <c r="Z45" s="31"/>
      <c r="AA45" s="31"/>
      <c r="AB45" s="31"/>
      <c r="AC45" s="31"/>
      <c r="AD45" s="28">
        <f aca="true" t="shared" si="11" ref="AD45:AD51">F45+N45+V45</f>
        <v>13902</v>
      </c>
      <c r="AE45" s="28"/>
      <c r="AF45" s="28">
        <f aca="true" t="shared" si="12" ref="AF45:AF51">H45+P45+X45</f>
        <v>13632</v>
      </c>
      <c r="AG45" s="28"/>
      <c r="AH45" s="28">
        <f aca="true" t="shared" si="13" ref="AH45:AH51">J45+R45+Z45</f>
        <v>13570</v>
      </c>
      <c r="AI45" s="28"/>
      <c r="AJ45" s="28">
        <f aca="true" t="shared" si="14" ref="AJ45:AJ51">L45+T45+AB45</f>
        <v>13701.333333333334</v>
      </c>
      <c r="AK45" s="28"/>
      <c r="AL45" s="28"/>
      <c r="AM45" s="28"/>
      <c r="AN45" s="28"/>
      <c r="AO45" s="28"/>
      <c r="AP45" s="28"/>
      <c r="AQ45" s="28"/>
      <c r="AR45" s="28"/>
    </row>
    <row r="46" spans="2:44" ht="12.75">
      <c r="B46" s="7" t="s">
        <v>224</v>
      </c>
      <c r="D46" s="7" t="s">
        <v>53</v>
      </c>
      <c r="E46" s="27"/>
      <c r="F46" s="75">
        <v>5.57</v>
      </c>
      <c r="G46" s="75"/>
      <c r="H46" s="75">
        <v>5.47</v>
      </c>
      <c r="I46" s="75"/>
      <c r="J46" s="30">
        <v>5.32</v>
      </c>
      <c r="K46" s="30"/>
      <c r="L46" s="32">
        <f t="shared" si="10"/>
        <v>5.453333333333333</v>
      </c>
      <c r="M46" s="32"/>
      <c r="N46" s="30">
        <v>1.12</v>
      </c>
      <c r="O46" s="30"/>
      <c r="P46" s="30">
        <v>0.63</v>
      </c>
      <c r="Q46" s="30"/>
      <c r="R46" s="54">
        <v>0.62</v>
      </c>
      <c r="S46" s="54"/>
      <c r="T46" s="32">
        <f>AVERAGE(N46:R46)</f>
        <v>0.79</v>
      </c>
      <c r="U46" s="32"/>
      <c r="V46" s="32">
        <f>153.95+0</f>
        <v>153.95</v>
      </c>
      <c r="W46" s="32"/>
      <c r="X46" s="32">
        <f>153.97+0</f>
        <v>153.97</v>
      </c>
      <c r="Y46" s="32"/>
      <c r="Z46" s="32">
        <f>153.96+0</f>
        <v>153.96</v>
      </c>
      <c r="AA46" s="32"/>
      <c r="AB46" s="32">
        <f aca="true" t="shared" si="15" ref="AB46:AB51">AVERAGE(V46:Z46)</f>
        <v>153.96</v>
      </c>
      <c r="AC46" s="32"/>
      <c r="AD46" s="30">
        <f t="shared" si="11"/>
        <v>160.64</v>
      </c>
      <c r="AE46" s="30"/>
      <c r="AF46" s="30">
        <f t="shared" si="12"/>
        <v>160.07</v>
      </c>
      <c r="AG46" s="30"/>
      <c r="AH46" s="30">
        <f t="shared" si="13"/>
        <v>159.9</v>
      </c>
      <c r="AI46" s="30"/>
      <c r="AJ46" s="30">
        <f t="shared" si="14"/>
        <v>160.20333333333335</v>
      </c>
      <c r="AK46" s="30"/>
      <c r="AL46" s="30"/>
      <c r="AM46" s="30"/>
      <c r="AN46" s="30"/>
      <c r="AO46" s="30"/>
      <c r="AP46" s="30"/>
      <c r="AQ46" s="30"/>
      <c r="AR46" s="30"/>
    </row>
    <row r="47" spans="2:44" ht="12.75">
      <c r="B47" s="7" t="s">
        <v>82</v>
      </c>
      <c r="D47" s="7" t="s">
        <v>53</v>
      </c>
      <c r="F47" s="75">
        <v>1.43</v>
      </c>
      <c r="G47" s="75"/>
      <c r="H47" s="54">
        <v>1.42</v>
      </c>
      <c r="I47" s="54"/>
      <c r="J47" s="54">
        <v>1.43</v>
      </c>
      <c r="K47" s="54"/>
      <c r="L47" s="32">
        <f t="shared" si="10"/>
        <v>1.4266666666666665</v>
      </c>
      <c r="M47" s="32"/>
      <c r="N47" s="30">
        <v>18.37</v>
      </c>
      <c r="O47" s="30"/>
      <c r="P47" s="30">
        <v>16.88</v>
      </c>
      <c r="Q47" s="30"/>
      <c r="R47" s="30">
        <v>11.22</v>
      </c>
      <c r="S47" s="30"/>
      <c r="T47" s="32">
        <f>AVERAGE(N47:R47)</f>
        <v>15.49</v>
      </c>
      <c r="U47" s="32"/>
      <c r="V47" s="32">
        <f>7.92+0</f>
        <v>7.92</v>
      </c>
      <c r="W47" s="32"/>
      <c r="X47" s="32">
        <f>7.97+0</f>
        <v>7.97</v>
      </c>
      <c r="Y47" s="32"/>
      <c r="Z47" s="32">
        <f>7.92+0</f>
        <v>7.92</v>
      </c>
      <c r="AA47" s="32"/>
      <c r="AB47" s="32">
        <f t="shared" si="15"/>
        <v>7.936666666666667</v>
      </c>
      <c r="AC47" s="32"/>
      <c r="AD47" s="30">
        <f t="shared" si="11"/>
        <v>27.72</v>
      </c>
      <c r="AE47" s="30"/>
      <c r="AF47" s="30">
        <f t="shared" si="12"/>
        <v>26.269999999999996</v>
      </c>
      <c r="AG47" s="30"/>
      <c r="AH47" s="30">
        <f t="shared" si="13"/>
        <v>20.57</v>
      </c>
      <c r="AI47" s="30"/>
      <c r="AJ47" s="30">
        <f t="shared" si="14"/>
        <v>24.853333333333335</v>
      </c>
      <c r="AK47" s="30"/>
      <c r="AL47" s="30"/>
      <c r="AM47" s="30"/>
      <c r="AN47" s="30"/>
      <c r="AO47" s="30"/>
      <c r="AP47" s="30"/>
      <c r="AQ47" s="30"/>
      <c r="AR47" s="30"/>
    </row>
    <row r="48" spans="2:44" ht="12.75">
      <c r="B48" s="7" t="s">
        <v>262</v>
      </c>
      <c r="D48" s="7" t="s">
        <v>53</v>
      </c>
      <c r="F48" s="75">
        <v>0.13</v>
      </c>
      <c r="G48" s="75"/>
      <c r="H48" s="76">
        <v>0.13</v>
      </c>
      <c r="I48" s="76"/>
      <c r="J48" s="54">
        <v>0.12</v>
      </c>
      <c r="K48" s="54"/>
      <c r="L48" s="32">
        <f t="shared" si="10"/>
        <v>0.12666666666666668</v>
      </c>
      <c r="M48" s="32" t="s">
        <v>101</v>
      </c>
      <c r="N48" s="54">
        <v>0.01</v>
      </c>
      <c r="O48" s="54" t="s">
        <v>101</v>
      </c>
      <c r="P48" s="54">
        <v>0.01</v>
      </c>
      <c r="Q48" s="54" t="s">
        <v>101</v>
      </c>
      <c r="R48" s="54">
        <v>0.01</v>
      </c>
      <c r="S48" s="54" t="s">
        <v>101</v>
      </c>
      <c r="T48" s="32">
        <f>AVERAGE(N48:R48)</f>
        <v>0.01</v>
      </c>
      <c r="U48" s="32"/>
      <c r="V48" s="32">
        <f>3.2+0</f>
        <v>3.2</v>
      </c>
      <c r="W48" s="32"/>
      <c r="X48" s="32">
        <f>3.2+0</f>
        <v>3.2</v>
      </c>
      <c r="Y48" s="32"/>
      <c r="Z48" s="32">
        <f>3.2+0</f>
        <v>3.2</v>
      </c>
      <c r="AA48" s="32"/>
      <c r="AB48" s="32">
        <f t="shared" si="15"/>
        <v>3.2000000000000006</v>
      </c>
      <c r="AC48" s="32"/>
      <c r="AD48" s="30">
        <f t="shared" si="11"/>
        <v>3.3400000000000003</v>
      </c>
      <c r="AE48" s="30"/>
      <c r="AF48" s="30">
        <f t="shared" si="12"/>
        <v>3.3400000000000003</v>
      </c>
      <c r="AG48" s="30"/>
      <c r="AH48" s="30">
        <f t="shared" si="13"/>
        <v>3.33</v>
      </c>
      <c r="AI48" s="30"/>
      <c r="AJ48" s="30">
        <f t="shared" si="14"/>
        <v>3.3366666666666673</v>
      </c>
      <c r="AK48" s="30"/>
      <c r="AL48" s="30"/>
      <c r="AM48" s="30"/>
      <c r="AN48" s="30"/>
      <c r="AO48" s="30"/>
      <c r="AP48" s="30"/>
      <c r="AQ48" s="30"/>
      <c r="AR48" s="30"/>
    </row>
    <row r="49" spans="2:44" ht="12.75">
      <c r="B49" s="7" t="s">
        <v>107</v>
      </c>
      <c r="D49" s="7" t="s">
        <v>53</v>
      </c>
      <c r="F49" s="75">
        <v>0</v>
      </c>
      <c r="G49" s="75"/>
      <c r="H49" s="75">
        <v>0</v>
      </c>
      <c r="I49" s="75"/>
      <c r="J49" s="54">
        <v>0</v>
      </c>
      <c r="K49" s="54"/>
      <c r="L49" s="32">
        <f t="shared" si="10"/>
        <v>0</v>
      </c>
      <c r="M49" s="32"/>
      <c r="N49" s="54">
        <v>0</v>
      </c>
      <c r="O49" s="54"/>
      <c r="P49" s="54">
        <v>0</v>
      </c>
      <c r="Q49" s="54"/>
      <c r="R49" s="54">
        <v>0</v>
      </c>
      <c r="S49" s="54"/>
      <c r="T49" s="32">
        <f aca="true" t="shared" si="16" ref="T49:T54">AVERAGE(N49:R49)</f>
        <v>0</v>
      </c>
      <c r="U49" s="32"/>
      <c r="V49" s="32">
        <f>3.3+0</f>
        <v>3.3</v>
      </c>
      <c r="W49" s="32"/>
      <c r="X49" s="32">
        <f>3.3+0</f>
        <v>3.3</v>
      </c>
      <c r="Y49" s="32"/>
      <c r="Z49" s="32">
        <f>3.3+0</f>
        <v>3.3</v>
      </c>
      <c r="AA49" s="32"/>
      <c r="AB49" s="32">
        <f t="shared" si="15"/>
        <v>3.2999999999999994</v>
      </c>
      <c r="AC49" s="32"/>
      <c r="AD49" s="30">
        <f t="shared" si="11"/>
        <v>3.3</v>
      </c>
      <c r="AE49" s="30"/>
      <c r="AF49" s="30">
        <f t="shared" si="12"/>
        <v>3.3</v>
      </c>
      <c r="AG49" s="30"/>
      <c r="AH49" s="30">
        <f t="shared" si="13"/>
        <v>3.3</v>
      </c>
      <c r="AI49" s="30"/>
      <c r="AJ49" s="30">
        <f t="shared" si="14"/>
        <v>3.2999999999999994</v>
      </c>
      <c r="AK49" s="30"/>
      <c r="AL49" s="30"/>
      <c r="AM49" s="30"/>
      <c r="AN49" s="30"/>
      <c r="AO49" s="30"/>
      <c r="AP49" s="30"/>
      <c r="AQ49" s="30"/>
      <c r="AR49" s="30"/>
    </row>
    <row r="50" spans="2:44" ht="12.75">
      <c r="B50" s="7" t="s">
        <v>49</v>
      </c>
      <c r="D50" s="7" t="s">
        <v>53</v>
      </c>
      <c r="F50" s="8">
        <v>322</v>
      </c>
      <c r="G50" s="8"/>
      <c r="H50" s="8">
        <v>312</v>
      </c>
      <c r="I50" s="8"/>
      <c r="J50" s="55">
        <v>303</v>
      </c>
      <c r="K50" s="55"/>
      <c r="L50" s="31">
        <f t="shared" si="10"/>
        <v>312.3333333333333</v>
      </c>
      <c r="M50" s="31"/>
      <c r="N50" s="28">
        <v>1441</v>
      </c>
      <c r="O50" s="28"/>
      <c r="P50" s="28">
        <v>1729</v>
      </c>
      <c r="Q50" s="28"/>
      <c r="R50" s="55">
        <v>1731</v>
      </c>
      <c r="S50" s="55"/>
      <c r="T50" s="31">
        <f t="shared" si="16"/>
        <v>1633.6666666666667</v>
      </c>
      <c r="U50" s="31"/>
      <c r="V50" s="31">
        <v>0</v>
      </c>
      <c r="W50" s="31"/>
      <c r="X50" s="31">
        <v>0</v>
      </c>
      <c r="Y50" s="31"/>
      <c r="Z50" s="31">
        <v>0</v>
      </c>
      <c r="AA50" s="31"/>
      <c r="AB50" s="31">
        <f t="shared" si="15"/>
        <v>0</v>
      </c>
      <c r="AC50" s="31"/>
      <c r="AD50" s="28">
        <f t="shared" si="11"/>
        <v>1763</v>
      </c>
      <c r="AE50" s="28"/>
      <c r="AF50" s="28">
        <f t="shared" si="12"/>
        <v>2041</v>
      </c>
      <c r="AG50" s="28"/>
      <c r="AH50" s="28">
        <f t="shared" si="13"/>
        <v>2034</v>
      </c>
      <c r="AI50" s="28"/>
      <c r="AJ50" s="28">
        <f t="shared" si="14"/>
        <v>1946</v>
      </c>
      <c r="AK50" s="28"/>
      <c r="AL50" s="28"/>
      <c r="AM50" s="28"/>
      <c r="AN50" s="28"/>
      <c r="AO50" s="28"/>
      <c r="AP50" s="28"/>
      <c r="AQ50" s="28"/>
      <c r="AR50" s="28"/>
    </row>
    <row r="51" spans="2:44" ht="12.75">
      <c r="B51" s="5" t="s">
        <v>321</v>
      </c>
      <c r="D51" s="7" t="s">
        <v>152</v>
      </c>
      <c r="F51" s="8">
        <v>66.19</v>
      </c>
      <c r="G51" s="8"/>
      <c r="H51" s="8">
        <v>63.62</v>
      </c>
      <c r="I51" s="8"/>
      <c r="J51" s="55">
        <v>62.41</v>
      </c>
      <c r="K51" s="55"/>
      <c r="L51" s="31">
        <f t="shared" si="10"/>
        <v>64.07333333333334</v>
      </c>
      <c r="M51" s="31"/>
      <c r="N51" s="28">
        <v>15.69</v>
      </c>
      <c r="O51" s="28"/>
      <c r="P51" s="28">
        <v>11.76</v>
      </c>
      <c r="Q51" s="28"/>
      <c r="R51" s="55">
        <v>11.82</v>
      </c>
      <c r="S51" s="55"/>
      <c r="T51" s="31">
        <f t="shared" si="16"/>
        <v>13.089999999999998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f t="shared" si="15"/>
        <v>0</v>
      </c>
      <c r="AC51" s="31"/>
      <c r="AD51" s="28">
        <f t="shared" si="11"/>
        <v>81.88</v>
      </c>
      <c r="AE51" s="28"/>
      <c r="AF51" s="28">
        <f t="shared" si="12"/>
        <v>75.38</v>
      </c>
      <c r="AG51" s="28"/>
      <c r="AH51" s="28">
        <f t="shared" si="13"/>
        <v>74.22999999999999</v>
      </c>
      <c r="AI51" s="28"/>
      <c r="AJ51" s="28">
        <f t="shared" si="14"/>
        <v>77.16333333333334</v>
      </c>
      <c r="AK51" s="28"/>
      <c r="AL51" s="28"/>
      <c r="AM51" s="28"/>
      <c r="AN51" s="28"/>
      <c r="AO51" s="28"/>
      <c r="AP51" s="28"/>
      <c r="AQ51" s="28"/>
      <c r="AR51" s="28"/>
    </row>
    <row r="52" spans="2:44" ht="12.75">
      <c r="B52" s="5" t="s">
        <v>340</v>
      </c>
      <c r="D52" s="7" t="s">
        <v>152</v>
      </c>
      <c r="F52" s="8"/>
      <c r="G52" s="8"/>
      <c r="H52" s="8"/>
      <c r="I52" s="8"/>
      <c r="J52" s="55"/>
      <c r="K52" s="55"/>
      <c r="L52" s="31"/>
      <c r="M52" s="31"/>
      <c r="N52" s="28"/>
      <c r="O52" s="28"/>
      <c r="P52" s="28"/>
      <c r="Q52" s="28"/>
      <c r="R52" s="55"/>
      <c r="S52" s="5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>
        <f>AD56/9000*(21-AD57)/21*60</f>
        <v>97.00307936507939</v>
      </c>
      <c r="AE52" s="31"/>
      <c r="AF52" s="31">
        <f>AF56/9000*(21-AF57)/21*60</f>
        <v>99.6591746031746</v>
      </c>
      <c r="AG52" s="31"/>
      <c r="AH52" s="31">
        <f>AH56/9000*(21-AH57)/21*60</f>
        <v>106.36594285714285</v>
      </c>
      <c r="AI52" s="31"/>
      <c r="AJ52" s="31">
        <f>AJ56/9000*(21-AJ57)/21*60</f>
        <v>103.13559082892417</v>
      </c>
      <c r="AK52" s="31"/>
      <c r="AL52" s="31"/>
      <c r="AM52" s="31"/>
      <c r="AN52" s="31"/>
      <c r="AO52" s="31"/>
      <c r="AP52" s="31"/>
      <c r="AQ52" s="31"/>
      <c r="AR52" s="31"/>
    </row>
    <row r="53" spans="2:44" ht="12.75">
      <c r="B53" s="7" t="s">
        <v>141</v>
      </c>
      <c r="D53" s="7" t="s">
        <v>53</v>
      </c>
      <c r="F53" s="8">
        <v>178.97</v>
      </c>
      <c r="G53" s="8"/>
      <c r="H53" s="72">
        <v>180</v>
      </c>
      <c r="I53" s="72"/>
      <c r="J53" s="55">
        <v>179.99</v>
      </c>
      <c r="K53" s="55"/>
      <c r="L53" s="31">
        <f t="shared" si="10"/>
        <v>179.65333333333334</v>
      </c>
      <c r="M53" s="31"/>
      <c r="N53" s="55">
        <v>0</v>
      </c>
      <c r="O53" s="55"/>
      <c r="P53" s="55">
        <v>0</v>
      </c>
      <c r="Q53" s="55"/>
      <c r="R53" s="55">
        <v>0</v>
      </c>
      <c r="S53" s="55"/>
      <c r="T53" s="31">
        <f t="shared" si="16"/>
        <v>0</v>
      </c>
      <c r="U53" s="31"/>
      <c r="V53" s="31">
        <v>0</v>
      </c>
      <c r="W53" s="31"/>
      <c r="X53" s="31">
        <v>0</v>
      </c>
      <c r="Y53" s="31"/>
      <c r="Z53" s="31">
        <v>0</v>
      </c>
      <c r="AA53" s="31"/>
      <c r="AB53" s="31">
        <f>AVERAGE(V53:Z53)</f>
        <v>0</v>
      </c>
      <c r="AC53" s="31"/>
      <c r="AD53" s="28">
        <f>F53+N53+V53</f>
        <v>178.97</v>
      </c>
      <c r="AE53" s="28"/>
      <c r="AF53" s="28">
        <f>H53+P53+X53</f>
        <v>180</v>
      </c>
      <c r="AG53" s="28"/>
      <c r="AH53" s="28">
        <f>J53+R53+Z53</f>
        <v>179.99</v>
      </c>
      <c r="AI53" s="28"/>
      <c r="AJ53" s="28">
        <f>L53+T53+AB53</f>
        <v>179.65333333333334</v>
      </c>
      <c r="AK53" s="28"/>
      <c r="AL53" s="28"/>
      <c r="AM53" s="28"/>
      <c r="AN53" s="28"/>
      <c r="AO53" s="28"/>
      <c r="AP53" s="28"/>
      <c r="AQ53" s="28"/>
      <c r="AR53" s="28"/>
    </row>
    <row r="54" spans="2:44" ht="12.75">
      <c r="B54" s="7" t="s">
        <v>153</v>
      </c>
      <c r="D54" s="7" t="s">
        <v>53</v>
      </c>
      <c r="F54" s="8">
        <v>0</v>
      </c>
      <c r="G54" s="8"/>
      <c r="H54" s="72">
        <v>0</v>
      </c>
      <c r="I54" s="72"/>
      <c r="J54" s="55">
        <v>0</v>
      </c>
      <c r="K54" s="55"/>
      <c r="L54" s="31">
        <f t="shared" si="10"/>
        <v>0</v>
      </c>
      <c r="M54" s="31"/>
      <c r="N54" s="28">
        <v>0</v>
      </c>
      <c r="O54" s="28"/>
      <c r="P54" s="28">
        <v>0</v>
      </c>
      <c r="Q54" s="28"/>
      <c r="R54" s="28">
        <v>0</v>
      </c>
      <c r="S54" s="28"/>
      <c r="T54" s="31">
        <f t="shared" si="16"/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f>AVERAGE(V54:Z54)</f>
        <v>0</v>
      </c>
      <c r="AC54" s="31"/>
      <c r="AD54" s="28">
        <f>F54+N54+V54</f>
        <v>0</v>
      </c>
      <c r="AE54" s="28"/>
      <c r="AF54" s="28">
        <f>H54+P54+X54</f>
        <v>0</v>
      </c>
      <c r="AG54" s="28"/>
      <c r="AH54" s="28">
        <f>J54+R54+Z54</f>
        <v>0</v>
      </c>
      <c r="AI54" s="28"/>
      <c r="AJ54" s="28">
        <f>L54+T54+AB54</f>
        <v>0</v>
      </c>
      <c r="AK54" s="28"/>
      <c r="AL54" s="28"/>
      <c r="AM54" s="28"/>
      <c r="AN54" s="28"/>
      <c r="AO54" s="28"/>
      <c r="AP54" s="28"/>
      <c r="AQ54" s="28"/>
      <c r="AR54" s="28"/>
    </row>
    <row r="55" spans="6:7" ht="12.75">
      <c r="F55" s="8"/>
      <c r="G55" s="8"/>
    </row>
    <row r="56" spans="2:44" ht="12.75">
      <c r="B56" s="7" t="s">
        <v>225</v>
      </c>
      <c r="D56" s="7" t="s">
        <v>17</v>
      </c>
      <c r="E56" s="27"/>
      <c r="F56" s="8">
        <f>'emiss 1'!$G$109</f>
        <v>28033</v>
      </c>
      <c r="G56" s="8"/>
      <c r="H56" s="77">
        <f>'emiss 1'!$I$109</f>
        <v>28960</v>
      </c>
      <c r="I56" s="77"/>
      <c r="J56" s="77">
        <f>'emiss 1'!$K$109</f>
        <v>30852</v>
      </c>
      <c r="K56" s="77"/>
      <c r="L56" s="39">
        <f>'emiss 1'!$M$109</f>
        <v>29281.666666666668</v>
      </c>
      <c r="M56" s="39"/>
      <c r="N56" s="8">
        <f>'emiss 1'!$G$109</f>
        <v>28033</v>
      </c>
      <c r="O56" s="8"/>
      <c r="P56" s="77">
        <f>'emiss 1'!$I$109</f>
        <v>28960</v>
      </c>
      <c r="Q56" s="77"/>
      <c r="R56" s="77">
        <f>'emiss 1'!$K$109</f>
        <v>30852</v>
      </c>
      <c r="S56" s="77"/>
      <c r="T56" s="39">
        <f>'emiss 1'!$M$109</f>
        <v>29281.666666666668</v>
      </c>
      <c r="U56" s="39"/>
      <c r="V56" s="8">
        <f>'emiss 1'!$G$109</f>
        <v>28033</v>
      </c>
      <c r="W56" s="8"/>
      <c r="X56" s="77">
        <f>'emiss 1'!$I$109</f>
        <v>28960</v>
      </c>
      <c r="Y56" s="77"/>
      <c r="Z56" s="77">
        <f>'emiss 1'!$K$109</f>
        <v>30852</v>
      </c>
      <c r="AA56" s="77"/>
      <c r="AB56" s="39">
        <f>'emiss 1'!$M$109</f>
        <v>29281.666666666668</v>
      </c>
      <c r="AC56" s="39"/>
      <c r="AD56" s="39">
        <f>V56</f>
        <v>28033</v>
      </c>
      <c r="AE56" s="39"/>
      <c r="AF56" s="39">
        <f>X56</f>
        <v>28960</v>
      </c>
      <c r="AG56" s="39"/>
      <c r="AH56" s="39">
        <f>Z56</f>
        <v>30852</v>
      </c>
      <c r="AI56" s="39"/>
      <c r="AJ56" s="39">
        <f>'emiss 1'!M127</f>
        <v>29896.666666666668</v>
      </c>
      <c r="AK56" s="39"/>
      <c r="AL56" s="39"/>
      <c r="AM56" s="39"/>
      <c r="AN56" s="39"/>
      <c r="AO56" s="39"/>
      <c r="AP56" s="39"/>
      <c r="AQ56" s="39"/>
      <c r="AR56" s="39"/>
    </row>
    <row r="57" spans="2:44" ht="12.75">
      <c r="B57" s="7" t="s">
        <v>226</v>
      </c>
      <c r="D57" s="7" t="s">
        <v>18</v>
      </c>
      <c r="E57" s="27"/>
      <c r="F57" s="8">
        <f>'emiss 1'!$G$110</f>
        <v>10.1</v>
      </c>
      <c r="G57" s="8"/>
      <c r="H57" s="77">
        <f>'emiss 1'!$I$110</f>
        <v>10.16</v>
      </c>
      <c r="I57" s="77"/>
      <c r="J57" s="77">
        <f>'emiss 1'!$K$110</f>
        <v>10.14</v>
      </c>
      <c r="K57" s="77"/>
      <c r="L57" s="39">
        <f>'emiss 1'!$M$110</f>
        <v>10.133333333333333</v>
      </c>
      <c r="M57" s="39"/>
      <c r="N57" s="8">
        <f>'emiss 1'!$G$110</f>
        <v>10.1</v>
      </c>
      <c r="O57" s="8"/>
      <c r="P57" s="77">
        <f>'emiss 1'!$I$110</f>
        <v>10.16</v>
      </c>
      <c r="Q57" s="77"/>
      <c r="R57" s="77">
        <f>'emiss 1'!$K$110</f>
        <v>10.14</v>
      </c>
      <c r="S57" s="77"/>
      <c r="T57" s="39">
        <f>'emiss 1'!$M$110</f>
        <v>10.133333333333333</v>
      </c>
      <c r="U57" s="39"/>
      <c r="V57" s="8">
        <f>'emiss 1'!$G$110</f>
        <v>10.1</v>
      </c>
      <c r="W57" s="8"/>
      <c r="X57" s="77">
        <f>'emiss 1'!$I$110</f>
        <v>10.16</v>
      </c>
      <c r="Y57" s="77"/>
      <c r="Z57" s="77">
        <f>'emiss 1'!$K$110</f>
        <v>10.14</v>
      </c>
      <c r="AA57" s="77"/>
      <c r="AB57" s="39">
        <f>'emiss 1'!$M$110</f>
        <v>10.133333333333333</v>
      </c>
      <c r="AC57" s="39"/>
      <c r="AD57" s="30">
        <f>V57</f>
        <v>10.1</v>
      </c>
      <c r="AE57" s="30"/>
      <c r="AF57" s="30">
        <f>X57</f>
        <v>10.16</v>
      </c>
      <c r="AG57" s="30"/>
      <c r="AH57" s="30">
        <f>Z57</f>
        <v>10.14</v>
      </c>
      <c r="AI57" s="30"/>
      <c r="AJ57" s="30">
        <f>'emiss 1'!M128</f>
        <v>10.133333333333333</v>
      </c>
      <c r="AK57" s="30"/>
      <c r="AL57" s="30"/>
      <c r="AM57" s="30"/>
      <c r="AN57" s="30"/>
      <c r="AO57" s="30"/>
      <c r="AP57" s="30"/>
      <c r="AQ57" s="30"/>
      <c r="AR57" s="30"/>
    </row>
    <row r="58" spans="5:44" ht="12.75">
      <c r="E58" s="27"/>
      <c r="F58" s="8"/>
      <c r="G58" s="8"/>
      <c r="H58" s="77"/>
      <c r="I58" s="77"/>
      <c r="J58" s="77"/>
      <c r="K58" s="77"/>
      <c r="L58" s="39"/>
      <c r="M58" s="39"/>
      <c r="N58" s="8"/>
      <c r="O58" s="8"/>
      <c r="P58" s="77"/>
      <c r="Q58" s="77"/>
      <c r="R58" s="77"/>
      <c r="S58" s="77"/>
      <c r="T58" s="39"/>
      <c r="U58" s="39"/>
      <c r="V58" s="8"/>
      <c r="W58" s="8"/>
      <c r="X58" s="77"/>
      <c r="Y58" s="77"/>
      <c r="Z58" s="77"/>
      <c r="AA58" s="77"/>
      <c r="AB58" s="39"/>
      <c r="AC58" s="39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2:7" ht="12.75">
      <c r="B59" s="43" t="s">
        <v>123</v>
      </c>
      <c r="F59" s="8"/>
      <c r="G59" s="8"/>
    </row>
    <row r="60" spans="2:44" ht="12.75">
      <c r="B60" s="7" t="s">
        <v>49</v>
      </c>
      <c r="C60" s="25"/>
      <c r="D60" s="7" t="s">
        <v>64</v>
      </c>
      <c r="F60" s="28">
        <f>F50*454000/60/F$56/0.028317*(21-7)/(21-F$57)</f>
        <v>3942.2593699338336</v>
      </c>
      <c r="G60" s="28"/>
      <c r="H60" s="28">
        <f>H50*454000/60/H$56/0.028317*(21-7)/(21-H$57)</f>
        <v>3718.0236815224766</v>
      </c>
      <c r="I60" s="28"/>
      <c r="J60" s="28">
        <f>J50*454000/60/J$56/0.028317*(21-7)/(21-J$57)</f>
        <v>3383.100333002614</v>
      </c>
      <c r="K60" s="28"/>
      <c r="L60" s="28">
        <f>AVERAGE(F60:J60)</f>
        <v>3681.1277948196416</v>
      </c>
      <c r="M60" s="28"/>
      <c r="N60" s="28">
        <f>N50*454000/60/N$56/0.028317*(21-7)/(21-N$57)</f>
        <v>17642.222832529984</v>
      </c>
      <c r="O60" s="28"/>
      <c r="P60" s="28">
        <f>P50*454000/60/P$56/0.028317*(21-7)/(21-P$57)</f>
        <v>20604.04790177039</v>
      </c>
      <c r="Q60" s="28"/>
      <c r="R60" s="28">
        <f>R50*454000/60/R$56/0.028317*(21-7)/(21-R$57)</f>
        <v>19327.216753886216</v>
      </c>
      <c r="S60" s="28"/>
      <c r="T60" s="28">
        <f>AVERAGE(N60:R60)</f>
        <v>19191.162496062196</v>
      </c>
      <c r="U60" s="28"/>
      <c r="V60" s="28">
        <f>V50*454000/60/V$56/0.028317*(21-7)/(21-V$57)</f>
        <v>0</v>
      </c>
      <c r="W60" s="28"/>
      <c r="X60" s="28">
        <f>X50*454000/60/X$56/0.028317*(21-7)/(21-X$57)</f>
        <v>0</v>
      </c>
      <c r="Y60" s="28"/>
      <c r="Z60" s="28">
        <f>Z50*454000/60/Z$56/0.028317*(21-7)/(21-Z$57)</f>
        <v>0</v>
      </c>
      <c r="AA60" s="28"/>
      <c r="AB60" s="28">
        <f>AVERAGE(V60:Z60)</f>
        <v>0</v>
      </c>
      <c r="AC60" s="28"/>
      <c r="AD60" s="28">
        <f>F60+N60+V60</f>
        <v>21584.482202463816</v>
      </c>
      <c r="AE60" s="28"/>
      <c r="AF60" s="28">
        <f>H60+P60+X60</f>
        <v>24322.07158329287</v>
      </c>
      <c r="AG60" s="28"/>
      <c r="AH60" s="28">
        <f>J60+R60+Z60</f>
        <v>22710.31708688883</v>
      </c>
      <c r="AI60" s="28"/>
      <c r="AJ60" s="28">
        <f>L60+T60+AB60</f>
        <v>22872.290290881836</v>
      </c>
      <c r="AK60" s="28"/>
      <c r="AL60" s="28">
        <f>F60+N60</f>
        <v>21584.482202463816</v>
      </c>
      <c r="AM60" s="28"/>
      <c r="AN60" s="28">
        <f>H60+P60</f>
        <v>24322.07158329287</v>
      </c>
      <c r="AO60" s="28"/>
      <c r="AP60" s="28">
        <f>J60+R60</f>
        <v>22710.31708688883</v>
      </c>
      <c r="AQ60" s="28"/>
      <c r="AR60" s="28">
        <f>L60+T60</f>
        <v>22872.290290881836</v>
      </c>
    </row>
    <row r="61" spans="2:27" ht="12.75">
      <c r="B61" s="43"/>
      <c r="C61" s="25"/>
      <c r="F61" s="8"/>
      <c r="G61" s="8"/>
      <c r="H61" s="8"/>
      <c r="I61" s="8"/>
      <c r="J61" s="8"/>
      <c r="K61" s="8"/>
      <c r="N61" s="8"/>
      <c r="O61" s="8"/>
      <c r="P61" s="8"/>
      <c r="Q61" s="8"/>
      <c r="R61" s="8"/>
      <c r="S61" s="8"/>
      <c r="V61" s="8"/>
      <c r="W61" s="8"/>
      <c r="X61" s="8"/>
      <c r="Y61" s="8"/>
      <c r="Z61" s="8"/>
      <c r="AA61" s="8"/>
    </row>
    <row r="62" spans="2:44" ht="12.75">
      <c r="B62" s="7" t="s">
        <v>224</v>
      </c>
      <c r="C62" s="25"/>
      <c r="D62" s="7" t="s">
        <v>58</v>
      </c>
      <c r="F62" s="28">
        <f>F46*454000000/60/F$56/0.028317*(21-7)/(21-F$57)</f>
        <v>68193.74127494241</v>
      </c>
      <c r="G62" s="28"/>
      <c r="H62" s="28">
        <f>H46*454000000/60/H$56/0.028317*(21-7)/(21-H$57)</f>
        <v>65184.58185233316</v>
      </c>
      <c r="I62" s="28"/>
      <c r="J62" s="28">
        <f>J46*454000000/60/J$56/0.028317*(21-7)/(21-J$57)</f>
        <v>59399.64941113499</v>
      </c>
      <c r="K62" s="28"/>
      <c r="L62" s="28">
        <f>AVERAGE(F62:J62)</f>
        <v>64259.32417947019</v>
      </c>
      <c r="M62" s="28"/>
      <c r="N62" s="28">
        <f>N46*454000000/60/N$56/0.028317*(21-7)/(21-N$57)</f>
        <v>13712.206504117685</v>
      </c>
      <c r="O62" s="28"/>
      <c r="P62" s="28">
        <f>P46*454000000/60/P$56/0.028317*(21-7)/(21-P$57)</f>
        <v>7507.547818458847</v>
      </c>
      <c r="Q62" s="28"/>
      <c r="R62" s="28">
        <f>R46*454000000/60/R$56/0.028317*(21-7)/(21-R$57)</f>
        <v>6922.515532876634</v>
      </c>
      <c r="S62" s="28"/>
      <c r="T62" s="28">
        <f>AVERAGE(N62:R62)</f>
        <v>9380.756618484389</v>
      </c>
      <c r="U62" s="28"/>
      <c r="V62" s="28">
        <f>V46*454000000/60/V$56/0.028317*(21-7)/(21-V$57)</f>
        <v>1884816.2422401048</v>
      </c>
      <c r="W62" s="28"/>
      <c r="X62" s="28">
        <f>X46*454000000/60/X$56/0.028317*(21-7)/(21-X$57)</f>
        <v>1834820.8533462044</v>
      </c>
      <c r="Y62" s="28"/>
      <c r="Z62" s="28">
        <f>Z46*454000000/60/Z$56/0.028317*(21-7)/(21-Z$57)</f>
        <v>1719016.92168014</v>
      </c>
      <c r="AA62" s="28"/>
      <c r="AB62" s="28">
        <f>AVERAGE(V62:Z62)</f>
        <v>1812884.67242215</v>
      </c>
      <c r="AC62" s="28"/>
      <c r="AD62" s="28">
        <f>F62+N62+V62</f>
        <v>1966722.190019165</v>
      </c>
      <c r="AE62" s="28"/>
      <c r="AF62" s="28">
        <f>H62+P62+X62</f>
        <v>1907512.9830169964</v>
      </c>
      <c r="AG62" s="28"/>
      <c r="AH62" s="28">
        <f>J62+R62+Z62</f>
        <v>1785339.0866241518</v>
      </c>
      <c r="AI62" s="28"/>
      <c r="AJ62" s="28">
        <f>L62+T62+AB62</f>
        <v>1886524.7532201046</v>
      </c>
      <c r="AK62" s="28"/>
      <c r="AL62" s="28">
        <f>F62+N62</f>
        <v>81905.9477790601</v>
      </c>
      <c r="AM62" s="28"/>
      <c r="AN62" s="28">
        <f>H62+P62</f>
        <v>72692.12967079201</v>
      </c>
      <c r="AO62" s="28"/>
      <c r="AP62" s="28">
        <f>J62+R62</f>
        <v>66322.16494401163</v>
      </c>
      <c r="AQ62" s="28"/>
      <c r="AR62" s="28">
        <f>L62+T62</f>
        <v>73640.08079795458</v>
      </c>
    </row>
    <row r="63" spans="3:44" ht="12.75">
      <c r="C63" s="25"/>
      <c r="F63" s="69"/>
      <c r="G63" s="69"/>
      <c r="H63" s="69"/>
      <c r="I63" s="69"/>
      <c r="J63" s="69"/>
      <c r="K63" s="69"/>
      <c r="L63" s="28"/>
      <c r="M63" s="28"/>
      <c r="N63" s="69"/>
      <c r="O63" s="69"/>
      <c r="P63" s="69"/>
      <c r="Q63" s="69"/>
      <c r="R63" s="69"/>
      <c r="S63" s="69"/>
      <c r="T63" s="28"/>
      <c r="U63" s="28"/>
      <c r="V63" s="69"/>
      <c r="W63" s="69"/>
      <c r="X63" s="69"/>
      <c r="Y63" s="69"/>
      <c r="Z63" s="69"/>
      <c r="AA63" s="69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2:44" ht="12.75">
      <c r="B64" s="7" t="s">
        <v>82</v>
      </c>
      <c r="C64" s="25"/>
      <c r="D64" s="7" t="s">
        <v>58</v>
      </c>
      <c r="F64" s="28">
        <f aca="true" t="shared" si="17" ref="F64:J66">F47*454000000/60/F$56/0.028317*(21-7)/(21-F$57)</f>
        <v>17507.549375793118</v>
      </c>
      <c r="G64" s="28"/>
      <c r="H64" s="28">
        <f t="shared" si="17"/>
        <v>16921.77444795486</v>
      </c>
      <c r="I64" s="28"/>
      <c r="J64" s="28">
        <f t="shared" si="17"/>
        <v>15966.447116150952</v>
      </c>
      <c r="K64" s="28"/>
      <c r="L64" s="28">
        <f>AVERAGE(F64:J64)</f>
        <v>16798.590313299643</v>
      </c>
      <c r="M64" s="28"/>
      <c r="N64" s="28">
        <f aca="true" t="shared" si="18" ref="N64:R66">N47*454000000/60/N$56/0.028317*(21-7)/(21-N$57)</f>
        <v>224904.67275057308</v>
      </c>
      <c r="O64" s="28"/>
      <c r="P64" s="28">
        <f t="shared" si="18"/>
        <v>201154.6145644212</v>
      </c>
      <c r="Q64" s="28"/>
      <c r="R64" s="28">
        <f t="shared" si="18"/>
        <v>125275.20044979976</v>
      </c>
      <c r="S64" s="28"/>
      <c r="T64" s="28">
        <f>AVERAGE(N64:R64)</f>
        <v>183778.16258826468</v>
      </c>
      <c r="U64" s="28"/>
      <c r="V64" s="28">
        <f aca="true" t="shared" si="19" ref="V64:Z66">V47*454000000/60/V$56/0.028317*(21-7)/(21-V$57)</f>
        <v>96964.88885054647</v>
      </c>
      <c r="W64" s="28"/>
      <c r="X64" s="28">
        <f t="shared" si="19"/>
        <v>94976.43827478893</v>
      </c>
      <c r="Y64" s="28"/>
      <c r="Z64" s="28">
        <f t="shared" si="19"/>
        <v>88429.55325868218</v>
      </c>
      <c r="AA64" s="28"/>
      <c r="AB64" s="28">
        <f>AVERAGE(V64:Z64)</f>
        <v>93456.96012800587</v>
      </c>
      <c r="AC64" s="28"/>
      <c r="AD64" s="28">
        <f>F64+N64+V64</f>
        <v>339377.11097691266</v>
      </c>
      <c r="AE64" s="28"/>
      <c r="AF64" s="28">
        <f>H64+P64+X64</f>
        <v>313052.827287165</v>
      </c>
      <c r="AG64" s="28"/>
      <c r="AH64" s="28">
        <f>J64+R64+Z64</f>
        <v>229671.2008246329</v>
      </c>
      <c r="AI64" s="28"/>
      <c r="AJ64" s="28">
        <f>L64+T64+AB64</f>
        <v>294033.7130295702</v>
      </c>
      <c r="AK64" s="28"/>
      <c r="AL64" s="28">
        <f>F64+N64</f>
        <v>242412.2221263662</v>
      </c>
      <c r="AM64" s="28"/>
      <c r="AN64" s="28">
        <f>H64+P64</f>
        <v>218076.38901237608</v>
      </c>
      <c r="AO64" s="28"/>
      <c r="AP64" s="28">
        <f>J64+R64</f>
        <v>141241.6475659507</v>
      </c>
      <c r="AQ64" s="28"/>
      <c r="AR64" s="28">
        <f>L64+T64</f>
        <v>200576.75290156432</v>
      </c>
    </row>
    <row r="65" spans="2:44" ht="12.75">
      <c r="B65" s="7" t="s">
        <v>262</v>
      </c>
      <c r="C65" s="25"/>
      <c r="D65" s="7" t="s">
        <v>58</v>
      </c>
      <c r="F65" s="28">
        <f t="shared" si="17"/>
        <v>1591.5953977993738</v>
      </c>
      <c r="G65" s="28"/>
      <c r="H65" s="28">
        <f t="shared" si="17"/>
        <v>1549.1765339676988</v>
      </c>
      <c r="I65" s="28"/>
      <c r="J65" s="28">
        <f t="shared" si="17"/>
        <v>1339.8417160406389</v>
      </c>
      <c r="K65" s="28"/>
      <c r="L65" s="28">
        <f>AVERAGE(F65:J65)</f>
        <v>1493.5378826025706</v>
      </c>
      <c r="M65" s="39">
        <v>100</v>
      </c>
      <c r="N65" s="28">
        <f t="shared" si="18"/>
        <v>122.43041521533648</v>
      </c>
      <c r="O65" s="39">
        <v>100</v>
      </c>
      <c r="P65" s="28">
        <f t="shared" si="18"/>
        <v>119.16742568982298</v>
      </c>
      <c r="Q65" s="39">
        <v>100</v>
      </c>
      <c r="R65" s="28">
        <f>R48*454000000/60/R$56/0.028317*(21-7)/(21-R$57)</f>
        <v>111.65347633671993</v>
      </c>
      <c r="S65" s="28"/>
      <c r="T65" s="28">
        <f>AVERAGE(N65:R65)</f>
        <v>110.65026344837588</v>
      </c>
      <c r="U65" s="28"/>
      <c r="V65" s="28">
        <f t="shared" si="19"/>
        <v>39177.73286890767</v>
      </c>
      <c r="W65" s="28"/>
      <c r="X65" s="28">
        <f t="shared" si="19"/>
        <v>38133.57622074335</v>
      </c>
      <c r="Y65" s="28"/>
      <c r="Z65" s="28">
        <f t="shared" si="19"/>
        <v>35729.11242775037</v>
      </c>
      <c r="AA65" s="28"/>
      <c r="AB65" s="28">
        <f>AVERAGE(V65:Z65)</f>
        <v>37680.14050580046</v>
      </c>
      <c r="AC65" s="28">
        <f>AL65*AK65/100/AD65*100</f>
        <v>0.2994011976047905</v>
      </c>
      <c r="AD65" s="28">
        <f>F65+N65+V65</f>
        <v>40891.75868192238</v>
      </c>
      <c r="AE65" s="28">
        <f>AN65*AM65/100/AF65*100</f>
        <v>0.29940119760479045</v>
      </c>
      <c r="AF65" s="28">
        <f>H65+P65+X65</f>
        <v>39801.92018040087</v>
      </c>
      <c r="AG65" s="28">
        <f>AP65*AO65/100/AH65*100</f>
        <v>0.30030030030030036</v>
      </c>
      <c r="AH65" s="28">
        <f>J65+R65+Z65</f>
        <v>37180.60762012773</v>
      </c>
      <c r="AI65" s="28">
        <f>SUM((AH65*AG65/100),(AF65*AE65/100),(AD65*AC65/100))/AJ65*100/3</f>
        <v>0.29973896238411873</v>
      </c>
      <c r="AJ65" s="28">
        <f>L65+T65+AB65</f>
        <v>39284.32865185141</v>
      </c>
      <c r="AK65" s="28">
        <f>N65*M65/100/AL65*100</f>
        <v>7.142857142857145</v>
      </c>
      <c r="AL65" s="28">
        <f>F65+N65</f>
        <v>1714.0258130147104</v>
      </c>
      <c r="AM65" s="28">
        <f>P65*O65/100/AN65*100</f>
        <v>7.142857142857142</v>
      </c>
      <c r="AN65" s="28">
        <f>H65+P65</f>
        <v>1668.3439596575217</v>
      </c>
      <c r="AO65" s="28">
        <f>R65*Q65/100/AP65*100</f>
        <v>7.692307692307695</v>
      </c>
      <c r="AP65" s="28">
        <f>J65+R65</f>
        <v>1451.4951923773588</v>
      </c>
      <c r="AQ65" s="28">
        <f>SUM((AP65*AO65/100),(AN65*AM65/100),(AL65*AK65/100))/AR65*100/3</f>
        <v>7.3401888282552425</v>
      </c>
      <c r="AR65" s="28">
        <f>L65+T65</f>
        <v>1604.1881460509464</v>
      </c>
    </row>
    <row r="66" spans="2:44" ht="12.75">
      <c r="B66" s="7" t="s">
        <v>107</v>
      </c>
      <c r="C66" s="25"/>
      <c r="D66" s="7" t="s">
        <v>58</v>
      </c>
      <c r="F66" s="28">
        <f t="shared" si="17"/>
        <v>0</v>
      </c>
      <c r="G66" s="28"/>
      <c r="H66" s="28">
        <f t="shared" si="17"/>
        <v>0</v>
      </c>
      <c r="I66" s="28"/>
      <c r="J66" s="28">
        <f t="shared" si="17"/>
        <v>0</v>
      </c>
      <c r="K66" s="28"/>
      <c r="L66" s="28">
        <f>AVERAGE(F66:J66)</f>
        <v>0</v>
      </c>
      <c r="M66" s="39"/>
      <c r="N66" s="28">
        <f t="shared" si="18"/>
        <v>0</v>
      </c>
      <c r="O66" s="39"/>
      <c r="P66" s="28">
        <f t="shared" si="18"/>
        <v>0</v>
      </c>
      <c r="Q66" s="39"/>
      <c r="R66" s="28">
        <f t="shared" si="18"/>
        <v>0</v>
      </c>
      <c r="S66" s="28"/>
      <c r="T66" s="28">
        <f>AVERAGE(N66:R66)</f>
        <v>0</v>
      </c>
      <c r="U66" s="28"/>
      <c r="V66" s="28">
        <f t="shared" si="19"/>
        <v>40402.03702106103</v>
      </c>
      <c r="W66" s="28"/>
      <c r="X66" s="28">
        <f t="shared" si="19"/>
        <v>39325.25047764158</v>
      </c>
      <c r="Y66" s="28"/>
      <c r="Z66" s="28">
        <f t="shared" si="19"/>
        <v>36845.647191117576</v>
      </c>
      <c r="AA66" s="28"/>
      <c r="AB66" s="28">
        <f>AVERAGE(V66:Z66)</f>
        <v>38857.64489660673</v>
      </c>
      <c r="AC66" s="28"/>
      <c r="AD66" s="28">
        <f>F66+N66+V66</f>
        <v>40402.03702106103</v>
      </c>
      <c r="AE66" s="28"/>
      <c r="AF66" s="28">
        <f>H66+P66+X66</f>
        <v>39325.25047764158</v>
      </c>
      <c r="AG66" s="28"/>
      <c r="AH66" s="28">
        <f>J66+R66+Z66</f>
        <v>36845.647191117576</v>
      </c>
      <c r="AI66" s="28"/>
      <c r="AJ66" s="28">
        <f>L66+T66+AB66</f>
        <v>38857.64489660673</v>
      </c>
      <c r="AK66" s="28"/>
      <c r="AL66" s="28"/>
      <c r="AM66" s="28"/>
      <c r="AN66" s="28"/>
      <c r="AO66" s="28"/>
      <c r="AP66" s="28"/>
      <c r="AQ66" s="28"/>
      <c r="AR66" s="28"/>
    </row>
    <row r="67" spans="2:44" ht="12.75">
      <c r="B67" s="7" t="s">
        <v>60</v>
      </c>
      <c r="D67" s="7" t="s">
        <v>58</v>
      </c>
      <c r="F67" s="8">
        <f>F65</f>
        <v>1591.5953977993738</v>
      </c>
      <c r="G67" s="8"/>
      <c r="H67" s="8">
        <f>H65</f>
        <v>1549.1765339676988</v>
      </c>
      <c r="J67" s="8">
        <f>J65</f>
        <v>1339.8417160406389</v>
      </c>
      <c r="L67" s="8">
        <f>L65</f>
        <v>1493.5378826025706</v>
      </c>
      <c r="M67" s="39">
        <v>100</v>
      </c>
      <c r="N67" s="8">
        <f>N65</f>
        <v>122.43041521533648</v>
      </c>
      <c r="O67" s="39">
        <v>100</v>
      </c>
      <c r="P67" s="8">
        <f>P65</f>
        <v>119.16742568982298</v>
      </c>
      <c r="Q67" s="39">
        <v>100</v>
      </c>
      <c r="R67" s="8">
        <f>R65</f>
        <v>111.65347633671993</v>
      </c>
      <c r="T67" s="8">
        <f>T65</f>
        <v>110.65026344837588</v>
      </c>
      <c r="V67" s="8">
        <f>V65+V66</f>
        <v>79579.7698899687</v>
      </c>
      <c r="X67" s="8">
        <f>X65+X66</f>
        <v>77458.82669838493</v>
      </c>
      <c r="Z67" s="8">
        <f>Z65+Z66</f>
        <v>72574.75961886795</v>
      </c>
      <c r="AB67" s="8">
        <f>AB65+AB66</f>
        <v>76537.7854024072</v>
      </c>
      <c r="AC67" s="28">
        <f>AL67*AK67/100/AD67*100</f>
        <v>0.15060240963855426</v>
      </c>
      <c r="AD67" s="39">
        <f>AD66+AD65</f>
        <v>81293.7957029834</v>
      </c>
      <c r="AE67" s="28">
        <f>AN67*AM67/100/AF67*100</f>
        <v>0.15060240963855423</v>
      </c>
      <c r="AF67" s="39">
        <f>AF66+AF65</f>
        <v>79127.17065804245</v>
      </c>
      <c r="AG67" s="28">
        <f>AP67*AO67/100/AH67*100</f>
        <v>0.1508295625942685</v>
      </c>
      <c r="AH67" s="39">
        <f>AH66+AH65</f>
        <v>74026.25481124531</v>
      </c>
      <c r="AI67" s="39">
        <f>SUM((AH67*AG67/100),(AF67*AE67/100),(AD67*AC67/100))/AJ67*100/3</f>
        <v>0.1506878233726794</v>
      </c>
      <c r="AJ67" s="8">
        <f>AJ65+AJ66</f>
        <v>78141.97354845813</v>
      </c>
      <c r="AK67" s="28">
        <f>N67*M67/100/AL67*100</f>
        <v>7.142857142857145</v>
      </c>
      <c r="AL67" s="8">
        <f>AL65+AL66</f>
        <v>1714.0258130147104</v>
      </c>
      <c r="AM67" s="28">
        <f>P67*O67/100/AN67*100</f>
        <v>7.142857142857142</v>
      </c>
      <c r="AN67" s="8">
        <f>AN65+AN66</f>
        <v>1668.3439596575217</v>
      </c>
      <c r="AO67" s="28">
        <f>R67*Q67/100/AP67*100</f>
        <v>7.692307692307695</v>
      </c>
      <c r="AP67" s="8">
        <f>AP65+AP66</f>
        <v>1451.4951923773588</v>
      </c>
      <c r="AQ67" s="39">
        <f>SUM((AP67*AO67/100),(AN67*AM67/100),(AL67*AK67/100))/AR67*100/3</f>
        <v>7.3401888282552425</v>
      </c>
      <c r="AR67" s="8">
        <f>AR65+AR66</f>
        <v>1604.1881460509464</v>
      </c>
    </row>
    <row r="68" spans="2:44" ht="12.75">
      <c r="B68" s="7" t="s">
        <v>59</v>
      </c>
      <c r="D68" s="7" t="s">
        <v>58</v>
      </c>
      <c r="F68" s="8">
        <f>F64</f>
        <v>17507.549375793118</v>
      </c>
      <c r="G68" s="8"/>
      <c r="H68" s="8">
        <f>H64</f>
        <v>16921.77444795486</v>
      </c>
      <c r="J68" s="8">
        <f>J64</f>
        <v>15966.447116150952</v>
      </c>
      <c r="L68" s="8">
        <f>L64</f>
        <v>16798.590313299643</v>
      </c>
      <c r="N68" s="8">
        <f>N64</f>
        <v>224904.67275057308</v>
      </c>
      <c r="P68" s="8">
        <f>P64</f>
        <v>201154.6145644212</v>
      </c>
      <c r="R68" s="8">
        <f>R64</f>
        <v>125275.20044979976</v>
      </c>
      <c r="T68" s="8">
        <f>T64</f>
        <v>183778.16258826468</v>
      </c>
      <c r="V68" s="8">
        <f>V64</f>
        <v>96964.88885054647</v>
      </c>
      <c r="X68" s="8">
        <f>X64</f>
        <v>94976.43827478893</v>
      </c>
      <c r="Z68" s="8">
        <f>Z64</f>
        <v>88429.55325868218</v>
      </c>
      <c r="AB68" s="8">
        <f>AB64</f>
        <v>93456.96012800587</v>
      </c>
      <c r="AD68" s="28">
        <f>AD64</f>
        <v>339377.11097691266</v>
      </c>
      <c r="AE68" s="28"/>
      <c r="AF68" s="28">
        <f>AF64</f>
        <v>313052.827287165</v>
      </c>
      <c r="AG68" s="28"/>
      <c r="AH68" s="28">
        <f>AH64</f>
        <v>229671.2008246329</v>
      </c>
      <c r="AI68" s="28"/>
      <c r="AJ68" s="8">
        <f>AJ64</f>
        <v>294033.7130295702</v>
      </c>
      <c r="AK68" s="28"/>
      <c r="AL68" s="8">
        <f>AL64</f>
        <v>242412.2221263662</v>
      </c>
      <c r="AM68" s="28"/>
      <c r="AN68" s="8">
        <f>AN64</f>
        <v>218076.38901237608</v>
      </c>
      <c r="AO68" s="28"/>
      <c r="AP68" s="8">
        <f>AP64</f>
        <v>141241.6475659507</v>
      </c>
      <c r="AQ68" s="28"/>
      <c r="AR68" s="8">
        <f>AR64</f>
        <v>200576.75290156432</v>
      </c>
    </row>
    <row r="69" spans="2:7" ht="12.75">
      <c r="B69" s="43"/>
      <c r="F69" s="8"/>
      <c r="G69" s="8"/>
    </row>
    <row r="70" spans="2:7" ht="12.75">
      <c r="B70" s="43"/>
      <c r="F70" s="8"/>
      <c r="G70" s="8"/>
    </row>
    <row r="71" spans="6:29" ht="12.75">
      <c r="F71" s="8"/>
      <c r="G71" s="8"/>
      <c r="L71" s="28"/>
      <c r="M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6:31" ht="12.75">
      <c r="F72" s="8"/>
      <c r="G72" s="8"/>
      <c r="L72" s="28"/>
      <c r="M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6:31" ht="12.75">
      <c r="F73" s="8"/>
      <c r="G73" s="8"/>
      <c r="L73" s="28"/>
      <c r="M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30:31" ht="12.75">
      <c r="AD74" s="39"/>
      <c r="AE74" s="39"/>
    </row>
    <row r="75" spans="30:31" ht="12.75">
      <c r="AD75" s="30"/>
      <c r="AE75" s="30"/>
    </row>
    <row r="77" spans="2:7" ht="12.75">
      <c r="B77" s="43"/>
      <c r="F77" s="8"/>
      <c r="G77" s="8"/>
    </row>
    <row r="78" spans="6:31" ht="12.75">
      <c r="F78" s="8"/>
      <c r="G78" s="8"/>
      <c r="L78" s="28"/>
      <c r="M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6:31" ht="12.75">
      <c r="F79" s="8"/>
      <c r="G79" s="8"/>
      <c r="L79" s="28"/>
      <c r="M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30:31" ht="12.75">
      <c r="AD80" s="28"/>
      <c r="AE80" s="2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3"/>
  <headerFooter alignWithMargins="0">
    <oddFooter>&amp;C&amp;P, &amp;A, 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98"/>
  <sheetViews>
    <sheetView workbookViewId="0" topLeftCell="AY70">
      <selection activeCell="C16" sqref="C16"/>
    </sheetView>
  </sheetViews>
  <sheetFormatPr defaultColWidth="9.140625" defaultRowHeight="12.75"/>
  <cols>
    <col min="1" max="1" width="7.57421875" style="86" hidden="1" customWidth="1"/>
    <col min="2" max="2" width="20.8515625" style="86" customWidth="1"/>
    <col min="3" max="3" width="1.7109375" style="86" customWidth="1"/>
    <col min="4" max="4" width="7.140625" style="86" customWidth="1"/>
    <col min="5" max="5" width="2.140625" style="86" customWidth="1"/>
    <col min="6" max="6" width="9.28125" style="86" bestFit="1" customWidth="1"/>
    <col min="7" max="7" width="2.57421875" style="86" customWidth="1"/>
    <col min="8" max="8" width="9.28125" style="86" bestFit="1" customWidth="1"/>
    <col min="9" max="9" width="2.00390625" style="86" customWidth="1"/>
    <col min="10" max="10" width="9.28125" style="86" bestFit="1" customWidth="1"/>
    <col min="11" max="11" width="2.8515625" style="86" customWidth="1"/>
    <col min="12" max="12" width="9.28125" style="86" bestFit="1" customWidth="1"/>
    <col min="13" max="13" width="2.140625" style="86" customWidth="1"/>
    <col min="14" max="14" width="7.00390625" style="86" bestFit="1" customWidth="1"/>
    <col min="15" max="15" width="2.421875" style="86" customWidth="1"/>
    <col min="16" max="16" width="7.00390625" style="86" bestFit="1" customWidth="1"/>
    <col min="17" max="17" width="2.00390625" style="86" customWidth="1"/>
    <col min="18" max="18" width="7.00390625" style="86" bestFit="1" customWidth="1"/>
    <col min="19" max="19" width="1.7109375" style="86" customWidth="1"/>
    <col min="20" max="20" width="7.00390625" style="86" bestFit="1" customWidth="1"/>
    <col min="21" max="21" width="2.140625" style="86" customWidth="1"/>
    <col min="22" max="22" width="8.00390625" style="86" bestFit="1" customWidth="1"/>
    <col min="23" max="23" width="2.140625" style="86" customWidth="1"/>
    <col min="24" max="24" width="8.00390625" style="86" bestFit="1" customWidth="1"/>
    <col min="25" max="25" width="2.00390625" style="86" customWidth="1"/>
    <col min="26" max="26" width="8.00390625" style="86" bestFit="1" customWidth="1"/>
    <col min="27" max="27" width="2.7109375" style="86" customWidth="1"/>
    <col min="28" max="28" width="8.00390625" style="86" bestFit="1" customWidth="1"/>
    <col min="29" max="29" width="2.00390625" style="86" customWidth="1"/>
    <col min="30" max="30" width="9.00390625" style="86" bestFit="1" customWidth="1"/>
    <col min="31" max="31" width="2.421875" style="86" customWidth="1"/>
    <col min="32" max="32" width="9.00390625" style="86" bestFit="1" customWidth="1"/>
    <col min="33" max="33" width="2.57421875" style="86" customWidth="1"/>
    <col min="34" max="34" width="9.00390625" style="86" bestFit="1" customWidth="1"/>
    <col min="35" max="35" width="2.00390625" style="86" customWidth="1"/>
    <col min="36" max="36" width="9.00390625" style="86" bestFit="1" customWidth="1"/>
    <col min="37" max="37" width="2.57421875" style="86" customWidth="1"/>
    <col min="38" max="38" width="9.00390625" style="86" bestFit="1" customWidth="1"/>
    <col min="39" max="39" width="2.140625" style="86" customWidth="1"/>
    <col min="40" max="40" width="9.00390625" style="86" bestFit="1" customWidth="1"/>
    <col min="41" max="41" width="2.28125" style="86" customWidth="1"/>
    <col min="42" max="42" width="9.00390625" style="86" bestFit="1" customWidth="1"/>
    <col min="43" max="43" width="2.00390625" style="86" customWidth="1"/>
    <col min="44" max="44" width="9.00390625" style="86" bestFit="1" customWidth="1"/>
    <col min="45" max="45" width="2.00390625" style="86" customWidth="1"/>
    <col min="46" max="46" width="7.00390625" style="86" bestFit="1" customWidth="1"/>
    <col min="47" max="47" width="2.28125" style="86" customWidth="1"/>
    <col min="48" max="48" width="7.00390625" style="86" bestFit="1" customWidth="1"/>
    <col min="49" max="49" width="2.00390625" style="86" customWidth="1"/>
    <col min="50" max="50" width="7.00390625" style="86" bestFit="1" customWidth="1"/>
    <col min="51" max="51" width="2.140625" style="86" customWidth="1"/>
    <col min="52" max="52" width="7.00390625" style="86" bestFit="1" customWidth="1"/>
    <col min="53" max="53" width="1.57421875" style="86" customWidth="1"/>
    <col min="54" max="54" width="9.140625" style="86" customWidth="1"/>
    <col min="55" max="55" width="3.7109375" style="86" customWidth="1"/>
    <col min="56" max="56" width="9.140625" style="86" customWidth="1"/>
    <col min="57" max="57" width="4.00390625" style="86" customWidth="1"/>
    <col min="58" max="58" width="9.140625" style="86" customWidth="1"/>
    <col min="59" max="59" width="5.00390625" style="86" customWidth="1"/>
    <col min="60" max="60" width="9.140625" style="86" customWidth="1"/>
    <col min="61" max="61" width="4.00390625" style="86" customWidth="1"/>
    <col min="62" max="62" width="10.57421875" style="86" customWidth="1"/>
    <col min="63" max="63" width="2.140625" style="86" customWidth="1"/>
    <col min="64" max="64" width="9.140625" style="86" customWidth="1"/>
    <col min="65" max="65" width="2.140625" style="86" customWidth="1"/>
    <col min="66" max="66" width="9.140625" style="86" customWidth="1"/>
    <col min="67" max="67" width="2.140625" style="86" customWidth="1"/>
    <col min="68" max="68" width="9.140625" style="86" customWidth="1"/>
    <col min="69" max="69" width="2.140625" style="86" customWidth="1"/>
    <col min="70" max="70" width="9.140625" style="86" customWidth="1"/>
    <col min="71" max="71" width="2.140625" style="86" customWidth="1"/>
    <col min="72" max="16384" width="9.140625" style="86" customWidth="1"/>
  </cols>
  <sheetData>
    <row r="1" spans="2:3" ht="12.75">
      <c r="B1" s="14" t="s">
        <v>287</v>
      </c>
      <c r="C1" s="14"/>
    </row>
    <row r="4" spans="2:71" ht="12.75">
      <c r="B4" s="14" t="s">
        <v>248</v>
      </c>
      <c r="C4" s="14"/>
      <c r="F4" s="92" t="s">
        <v>257</v>
      </c>
      <c r="G4" s="92"/>
      <c r="H4" s="92" t="s">
        <v>258</v>
      </c>
      <c r="I4" s="92"/>
      <c r="J4" s="92" t="s">
        <v>259</v>
      </c>
      <c r="K4" s="92"/>
      <c r="L4" s="92" t="s">
        <v>260</v>
      </c>
      <c r="M4" s="92"/>
      <c r="N4" s="92" t="s">
        <v>257</v>
      </c>
      <c r="O4" s="92"/>
      <c r="P4" s="92" t="s">
        <v>258</v>
      </c>
      <c r="Q4" s="92"/>
      <c r="R4" s="92" t="s">
        <v>259</v>
      </c>
      <c r="S4" s="92"/>
      <c r="T4" s="92" t="s">
        <v>260</v>
      </c>
      <c r="U4" s="92"/>
      <c r="V4" s="92" t="s">
        <v>257</v>
      </c>
      <c r="W4" s="92"/>
      <c r="X4" s="92" t="s">
        <v>258</v>
      </c>
      <c r="Y4" s="92"/>
      <c r="Z4" s="92" t="s">
        <v>259</v>
      </c>
      <c r="AA4" s="92"/>
      <c r="AB4" s="92" t="s">
        <v>260</v>
      </c>
      <c r="AC4" s="92"/>
      <c r="AD4" s="92" t="s">
        <v>257</v>
      </c>
      <c r="AE4" s="92"/>
      <c r="AF4" s="92" t="s">
        <v>258</v>
      </c>
      <c r="AG4" s="92"/>
      <c r="AH4" s="92" t="s">
        <v>259</v>
      </c>
      <c r="AI4" s="92"/>
      <c r="AJ4" s="92" t="s">
        <v>260</v>
      </c>
      <c r="AK4" s="92"/>
      <c r="AL4" s="92" t="s">
        <v>257</v>
      </c>
      <c r="AM4" s="92"/>
      <c r="AN4" s="92" t="s">
        <v>258</v>
      </c>
      <c r="AO4" s="92"/>
      <c r="AP4" s="92" t="s">
        <v>259</v>
      </c>
      <c r="AQ4" s="92"/>
      <c r="AR4" s="92" t="s">
        <v>260</v>
      </c>
      <c r="AS4" s="92"/>
      <c r="AT4" s="92" t="s">
        <v>257</v>
      </c>
      <c r="AU4" s="92"/>
      <c r="AV4" s="92" t="s">
        <v>258</v>
      </c>
      <c r="AW4" s="92"/>
      <c r="AX4" s="92" t="s">
        <v>259</v>
      </c>
      <c r="AY4" s="92"/>
      <c r="AZ4" s="92" t="s">
        <v>260</v>
      </c>
      <c r="BA4" s="92"/>
      <c r="BB4" s="92" t="s">
        <v>257</v>
      </c>
      <c r="BC4" s="92"/>
      <c r="BD4" s="92" t="s">
        <v>258</v>
      </c>
      <c r="BE4" s="92"/>
      <c r="BF4" s="92" t="s">
        <v>259</v>
      </c>
      <c r="BG4" s="92"/>
      <c r="BH4" s="92" t="s">
        <v>260</v>
      </c>
      <c r="BI4" s="92"/>
      <c r="BJ4" s="92" t="s">
        <v>47</v>
      </c>
      <c r="BK4" s="92"/>
      <c r="BL4" s="92" t="s">
        <v>257</v>
      </c>
      <c r="BM4" s="92"/>
      <c r="BN4" s="92" t="s">
        <v>258</v>
      </c>
      <c r="BO4" s="92"/>
      <c r="BP4" s="92" t="s">
        <v>259</v>
      </c>
      <c r="BQ4" s="92"/>
      <c r="BR4" s="92" t="s">
        <v>260</v>
      </c>
      <c r="BS4" s="92"/>
    </row>
    <row r="6" spans="2:62" ht="12.75">
      <c r="B6" s="86" t="s">
        <v>322</v>
      </c>
      <c r="F6" s="86" t="s">
        <v>324</v>
      </c>
      <c r="H6" s="86" t="s">
        <v>324</v>
      </c>
      <c r="J6" s="86" t="s">
        <v>324</v>
      </c>
      <c r="L6" s="86" t="s">
        <v>324</v>
      </c>
      <c r="N6" s="86" t="s">
        <v>326</v>
      </c>
      <c r="P6" s="86" t="s">
        <v>326</v>
      </c>
      <c r="R6" s="86" t="s">
        <v>326</v>
      </c>
      <c r="T6" s="86" t="s">
        <v>326</v>
      </c>
      <c r="V6" s="86" t="s">
        <v>329</v>
      </c>
      <c r="X6" s="86" t="s">
        <v>329</v>
      </c>
      <c r="Z6" s="86" t="s">
        <v>329</v>
      </c>
      <c r="AB6" s="86" t="s">
        <v>329</v>
      </c>
      <c r="BB6" s="86" t="s">
        <v>328</v>
      </c>
      <c r="BD6" s="86" t="s">
        <v>328</v>
      </c>
      <c r="BF6" s="86" t="s">
        <v>328</v>
      </c>
      <c r="BH6" s="86" t="s">
        <v>328</v>
      </c>
      <c r="BJ6" s="86" t="s">
        <v>328</v>
      </c>
    </row>
    <row r="7" spans="2:62" ht="12.75">
      <c r="B7" s="86" t="s">
        <v>323</v>
      </c>
      <c r="F7" s="86" t="s">
        <v>325</v>
      </c>
      <c r="H7" s="86" t="s">
        <v>325</v>
      </c>
      <c r="J7" s="86" t="s">
        <v>325</v>
      </c>
      <c r="L7" s="86" t="s">
        <v>325</v>
      </c>
      <c r="N7" s="86" t="s">
        <v>325</v>
      </c>
      <c r="P7" s="86" t="s">
        <v>325</v>
      </c>
      <c r="R7" s="86" t="s">
        <v>325</v>
      </c>
      <c r="T7" s="86" t="s">
        <v>325</v>
      </c>
      <c r="V7" s="86" t="s">
        <v>325</v>
      </c>
      <c r="X7" s="86" t="s">
        <v>325</v>
      </c>
      <c r="Z7" s="86" t="s">
        <v>325</v>
      </c>
      <c r="AB7" s="86" t="s">
        <v>325</v>
      </c>
      <c r="BB7" s="86" t="s">
        <v>25</v>
      </c>
      <c r="BD7" s="86" t="s">
        <v>25</v>
      </c>
      <c r="BF7" s="86" t="s">
        <v>25</v>
      </c>
      <c r="BH7" s="86" t="s">
        <v>25</v>
      </c>
      <c r="BJ7" s="86" t="s">
        <v>25</v>
      </c>
    </row>
    <row r="8" spans="2:70" ht="12.75">
      <c r="B8" s="86" t="s">
        <v>334</v>
      </c>
      <c r="BB8" s="86" t="s">
        <v>25</v>
      </c>
      <c r="BD8" s="86" t="s">
        <v>25</v>
      </c>
      <c r="BF8" s="86" t="s">
        <v>25</v>
      </c>
      <c r="BH8" s="86" t="s">
        <v>25</v>
      </c>
      <c r="BJ8" s="86" t="s">
        <v>25</v>
      </c>
      <c r="BL8" s="86" t="s">
        <v>65</v>
      </c>
      <c r="BN8" s="86" t="s">
        <v>65</v>
      </c>
      <c r="BP8" s="86" t="s">
        <v>65</v>
      </c>
      <c r="BR8" s="86" t="s">
        <v>65</v>
      </c>
    </row>
    <row r="9" spans="2:62" ht="12.75">
      <c r="B9" s="86" t="s">
        <v>48</v>
      </c>
      <c r="F9" s="86" t="s">
        <v>268</v>
      </c>
      <c r="N9" s="86" t="s">
        <v>269</v>
      </c>
      <c r="V9" s="86" t="s">
        <v>270</v>
      </c>
      <c r="AD9" s="86" t="s">
        <v>271</v>
      </c>
      <c r="AL9" s="86" t="s">
        <v>272</v>
      </c>
      <c r="AT9" s="86" t="s">
        <v>273</v>
      </c>
      <c r="BB9" s="86" t="s">
        <v>25</v>
      </c>
      <c r="BD9" s="86" t="s">
        <v>25</v>
      </c>
      <c r="BF9" s="86" t="s">
        <v>25</v>
      </c>
      <c r="BH9" s="86" t="s">
        <v>25</v>
      </c>
      <c r="BJ9" s="86" t="s">
        <v>25</v>
      </c>
    </row>
    <row r="10" spans="1:53" ht="12.75">
      <c r="A10" s="86" t="s">
        <v>248</v>
      </c>
      <c r="B10" s="86" t="s">
        <v>90</v>
      </c>
      <c r="D10" s="86" t="s">
        <v>53</v>
      </c>
      <c r="F10" s="87">
        <v>1900</v>
      </c>
      <c r="G10" s="87"/>
      <c r="H10" s="87">
        <v>1782</v>
      </c>
      <c r="I10" s="87"/>
      <c r="J10" s="87">
        <v>1956</v>
      </c>
      <c r="K10" s="87"/>
      <c r="L10" s="87">
        <v>1668</v>
      </c>
      <c r="M10" s="87"/>
      <c r="N10" s="87">
        <v>1053</v>
      </c>
      <c r="O10" s="87"/>
      <c r="P10" s="87">
        <v>2117.4</v>
      </c>
      <c r="Q10" s="87"/>
      <c r="R10" s="87">
        <v>2142</v>
      </c>
      <c r="S10" s="87"/>
      <c r="T10" s="87">
        <v>2188.8</v>
      </c>
      <c r="U10" s="87"/>
      <c r="V10" s="87">
        <v>1511</v>
      </c>
      <c r="W10" s="87"/>
      <c r="X10" s="87">
        <v>666.6</v>
      </c>
      <c r="Y10" s="87"/>
      <c r="Z10" s="87">
        <v>745.8</v>
      </c>
      <c r="AA10" s="87"/>
      <c r="AB10" s="87">
        <v>890.4</v>
      </c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</row>
    <row r="11" spans="1:53" ht="12.75">
      <c r="A11" s="86" t="s">
        <v>248</v>
      </c>
      <c r="B11" s="86" t="s">
        <v>274</v>
      </c>
      <c r="D11" s="86" t="s">
        <v>275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86" t="s">
        <v>248</v>
      </c>
      <c r="B12" s="86" t="s">
        <v>49</v>
      </c>
      <c r="D12" s="86" t="s">
        <v>276</v>
      </c>
      <c r="F12">
        <v>0.0102</v>
      </c>
      <c r="G12"/>
      <c r="H12">
        <v>0.0105</v>
      </c>
      <c r="I12"/>
      <c r="J12">
        <v>0.0024</v>
      </c>
      <c r="K12"/>
      <c r="L12">
        <v>0.0019</v>
      </c>
      <c r="M12"/>
      <c r="N12" s="59">
        <v>7.6585</v>
      </c>
      <c r="O12" s="59"/>
      <c r="P12" s="59">
        <v>0.1975</v>
      </c>
      <c r="Q12" s="59"/>
      <c r="R12" s="59">
        <v>0.1961</v>
      </c>
      <c r="S12" s="59"/>
      <c r="T12" s="59">
        <v>3.1952</v>
      </c>
      <c r="U12" s="59"/>
      <c r="V12" s="59">
        <v>0.0271</v>
      </c>
      <c r="W12" s="59"/>
      <c r="X12" s="59">
        <v>0.0275</v>
      </c>
      <c r="Y12" s="59"/>
      <c r="Z12" s="59">
        <v>0.0319</v>
      </c>
      <c r="AA12" s="59"/>
      <c r="AB12" s="59">
        <v>0.0298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60" ht="12.75">
      <c r="B13" s="86" t="s">
        <v>224</v>
      </c>
      <c r="D13" s="86" t="s">
        <v>53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6">
        <v>126.22</v>
      </c>
      <c r="BD13" s="86">
        <v>143.73</v>
      </c>
      <c r="BF13" s="86">
        <v>134.63</v>
      </c>
      <c r="BH13" s="86">
        <v>144.69</v>
      </c>
    </row>
    <row r="14" spans="2:60" ht="12.75">
      <c r="B14" s="86" t="s">
        <v>262</v>
      </c>
      <c r="D14" s="86" t="s">
        <v>53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 s="86">
        <v>166.25</v>
      </c>
      <c r="BD14" s="86">
        <v>189.3</v>
      </c>
      <c r="BF14" s="86">
        <v>177.33</v>
      </c>
      <c r="BH14" s="86">
        <v>190.58</v>
      </c>
    </row>
    <row r="15" spans="2:60" ht="12.75">
      <c r="B15" s="86" t="s">
        <v>82</v>
      </c>
      <c r="D15" s="86" t="s">
        <v>53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 s="86">
        <v>281.2</v>
      </c>
      <c r="BD15" s="86">
        <v>320.2</v>
      </c>
      <c r="BF15" s="86">
        <v>299.9</v>
      </c>
      <c r="BH15" s="86">
        <v>322.4</v>
      </c>
    </row>
    <row r="16" spans="2:60" ht="12.75">
      <c r="B16" s="86" t="s">
        <v>84</v>
      </c>
      <c r="D16" s="86" t="s">
        <v>53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 s="86">
        <v>5.5</v>
      </c>
      <c r="BD16" s="86">
        <v>6.26</v>
      </c>
      <c r="BF16" s="86">
        <v>5.86</v>
      </c>
      <c r="BH16" s="86">
        <v>6.3</v>
      </c>
    </row>
    <row r="17" spans="6:53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60" ht="12.75">
      <c r="B18" s="86" t="s">
        <v>277</v>
      </c>
      <c r="D18" s="86" t="s">
        <v>17</v>
      </c>
      <c r="F18" s="86">
        <f>'emiss 2'!$G$30</f>
        <v>19205</v>
      </c>
      <c r="H18" s="86">
        <f>'emiss 2'!$I$30</f>
        <v>20652</v>
      </c>
      <c r="J18" s="86">
        <f>'emiss 2'!$K$30</f>
        <v>21018</v>
      </c>
      <c r="L18" s="86">
        <f>'emiss 2'!$M$30</f>
        <v>21654</v>
      </c>
      <c r="M18"/>
      <c r="N18" s="86">
        <f>'emiss 2'!$G$30</f>
        <v>19205</v>
      </c>
      <c r="P18" s="86">
        <f>'emiss 2'!$I$30</f>
        <v>20652</v>
      </c>
      <c r="R18" s="86">
        <f>'emiss 2'!$K$30</f>
        <v>21018</v>
      </c>
      <c r="T18" s="86">
        <f>'emiss 2'!$M$30</f>
        <v>21654</v>
      </c>
      <c r="U18"/>
      <c r="V18" s="86">
        <f>'emiss 2'!$G$30</f>
        <v>19205</v>
      </c>
      <c r="X18" s="86">
        <f>'emiss 2'!$I$30</f>
        <v>20652</v>
      </c>
      <c r="Z18" s="86">
        <f>'emiss 2'!$K$30</f>
        <v>21018</v>
      </c>
      <c r="AB18" s="86">
        <f>'emiss 2'!$M$30</f>
        <v>21654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 s="86">
        <f>'emiss 2'!$G$30</f>
        <v>19205</v>
      </c>
      <c r="BD18" s="86">
        <f>'emiss 2'!$I$30</f>
        <v>20652</v>
      </c>
      <c r="BF18" s="86">
        <f>'emiss 2'!$K$30</f>
        <v>21018</v>
      </c>
      <c r="BH18" s="86">
        <f>'emiss 2'!$M$30</f>
        <v>21654</v>
      </c>
    </row>
    <row r="19" spans="2:60" ht="12.75">
      <c r="B19" s="86" t="s">
        <v>226</v>
      </c>
      <c r="D19" s="86" t="s">
        <v>18</v>
      </c>
      <c r="F19" s="86">
        <f>'emiss 2'!$G$31</f>
        <v>12.65</v>
      </c>
      <c r="H19" s="86">
        <f>'emiss 2'!$I$31</f>
        <v>10.5</v>
      </c>
      <c r="J19" s="86">
        <f>'emiss 2'!$K$31</f>
        <v>10.46</v>
      </c>
      <c r="L19" s="86">
        <f>'emiss 2'!$M$31</f>
        <v>11.14</v>
      </c>
      <c r="M19"/>
      <c r="N19" s="86">
        <f>'emiss 2'!$G$31</f>
        <v>12.65</v>
      </c>
      <c r="P19" s="86">
        <f>'emiss 2'!$I$31</f>
        <v>10.5</v>
      </c>
      <c r="R19" s="86">
        <f>'emiss 2'!$K$31</f>
        <v>10.46</v>
      </c>
      <c r="T19" s="86">
        <f>'emiss 2'!$M$31</f>
        <v>11.14</v>
      </c>
      <c r="U19"/>
      <c r="V19" s="86">
        <f>'emiss 2'!$G$31</f>
        <v>12.65</v>
      </c>
      <c r="X19" s="86">
        <f>'emiss 2'!$I$31</f>
        <v>10.5</v>
      </c>
      <c r="Z19" s="86">
        <f>'emiss 2'!$K$31</f>
        <v>10.46</v>
      </c>
      <c r="AB19" s="86">
        <f>'emiss 2'!$M$31</f>
        <v>11.14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86">
        <f>'emiss 2'!$G$31</f>
        <v>12.65</v>
      </c>
      <c r="BD19" s="86">
        <f>'emiss 2'!$I$31</f>
        <v>10.5</v>
      </c>
      <c r="BF19" s="86">
        <f>'emiss 2'!$K$31</f>
        <v>10.46</v>
      </c>
      <c r="BH19" s="86">
        <f>'emiss 2'!$M$31</f>
        <v>11.14</v>
      </c>
    </row>
    <row r="20" spans="13:53" ht="12.75">
      <c r="M20"/>
      <c r="U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2.75">
      <c r="B21" s="5" t="s">
        <v>321</v>
      </c>
      <c r="C21" s="5"/>
      <c r="D21" s="5" t="s">
        <v>152</v>
      </c>
      <c r="M21"/>
      <c r="U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60" ht="12.75">
      <c r="B22" s="5" t="s">
        <v>340</v>
      </c>
      <c r="C22" s="5"/>
      <c r="D22" s="5" t="s">
        <v>152</v>
      </c>
      <c r="M22"/>
      <c r="U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 s="54">
        <f>BB18/9000*60*(21-BB19)/21</f>
        <v>50.90849206349206</v>
      </c>
      <c r="BD22" s="54">
        <f>BD18/9000*60*(21-BD19)/21</f>
        <v>68.84</v>
      </c>
      <c r="BF22" s="54">
        <f>BF18/9000*60*(21-BF19)/21</f>
        <v>70.32689523809523</v>
      </c>
      <c r="BH22" s="54">
        <f>BH18/9000*60*(21-BH19)/21</f>
        <v>67.78045714285714</v>
      </c>
    </row>
    <row r="23" spans="13:53" ht="12.75">
      <c r="M23"/>
      <c r="U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2.75">
      <c r="B24" s="99" t="s">
        <v>335</v>
      </c>
      <c r="C24" s="99"/>
      <c r="M24"/>
      <c r="U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70" ht="12.75">
      <c r="B25" s="86" t="s">
        <v>49</v>
      </c>
      <c r="D25" s="86" t="s">
        <v>64</v>
      </c>
      <c r="F25" s="88">
        <f>F12/100*F10*454/60/0.0283/F18*(21-7)/(21-F19)*1000</f>
        <v>4.523756168976634</v>
      </c>
      <c r="H25" s="88">
        <f>H12/100*H10*454/60/0.0283/H18*(21-7)/(21-H19)*1000</f>
        <v>3.2299201507875073</v>
      </c>
      <c r="J25" s="88">
        <f>J12/100*J10*454/60/0.0283/J18*(21-7)/(21-J19)*1000</f>
        <v>0.7932211696211249</v>
      </c>
      <c r="L25" s="88">
        <f>L12/100*L10*454/60/0.0283/L18*(21-7)/(21-L19)*1000</f>
        <v>0.5556237515670495</v>
      </c>
      <c r="M25"/>
      <c r="N25" s="88">
        <f>N12/100*N10*454/60/0.0283/N18*(21-7)/(21-N19)*1000</f>
        <v>1882.424226572407</v>
      </c>
      <c r="P25" s="88">
        <f>P12/100*P10*454/60/0.0283/P18*(21-7)/(21-P19)*1000</f>
        <v>72.18796446674685</v>
      </c>
      <c r="R25" s="88">
        <f>R12/100*R10*454/60/0.0283/R18*(21-7)/(21-R19)*1000</f>
        <v>70.97595817546629</v>
      </c>
      <c r="T25" s="88">
        <f>T12/100*T10*454/60/0.0283/T18*(21-7)/(21-T19)*1000</f>
        <v>1226.1265111991045</v>
      </c>
      <c r="U25"/>
      <c r="V25" s="88">
        <f>V12/100*V10*454/60/0.0283/V18*(21-7)/(21-V19)*1000</f>
        <v>9.558267284977921</v>
      </c>
      <c r="X25" s="88">
        <f>X12/100*X10*454/60/0.0283/X18*(21-7)/(21-X19)*1000</f>
        <v>3.1644103064593665</v>
      </c>
      <c r="Z25" s="88">
        <f>Z12/100*Z10*454/60/0.0283/Z18*(21-7)/(21-Z19)*1000</f>
        <v>4.02001122845935</v>
      </c>
      <c r="AB25" s="88">
        <f>AB12/100*AB10*454/60/0.0283/AB18*(21-7)/(21-AB19)*1000</f>
        <v>4.651923568780754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88">
        <f>SUM(V25,N25,F25)</f>
        <v>1896.5062500263616</v>
      </c>
      <c r="BD25" s="88">
        <f>SUM(X25,P25,H25)</f>
        <v>78.58229492399371</v>
      </c>
      <c r="BF25" s="88">
        <f>SUM(Z25,R25,J25)</f>
        <v>75.78919057354676</v>
      </c>
      <c r="BH25" s="88">
        <f>SUM(AB25,T25,L25)</f>
        <v>1231.3340585194524</v>
      </c>
      <c r="BJ25" s="88">
        <f>AVERAGE(BH25,BF25,BD25,BB25)</f>
        <v>820.5529485108386</v>
      </c>
      <c r="BL25" s="88">
        <f>F25+N25+V25+AD25+AL25+AT25</f>
        <v>1896.5062500263616</v>
      </c>
      <c r="BN25" s="88">
        <f>H25+P25+X25+AF25+AN25+AV25</f>
        <v>78.58229492399371</v>
      </c>
      <c r="BP25" s="88">
        <f>J25+R25+Z25+AH25+AP25+AX25</f>
        <v>75.78919057354676</v>
      </c>
      <c r="BR25" s="88">
        <f>L25+T25+AB25+AJ25+AR25+AZ25</f>
        <v>1231.3340585194524</v>
      </c>
    </row>
    <row r="26" spans="2:70" ht="12.75">
      <c r="B26" s="86" t="s">
        <v>224</v>
      </c>
      <c r="D26" s="86" t="s">
        <v>58</v>
      </c>
      <c r="M26"/>
      <c r="U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 s="100">
        <f>BB13*454/60/0.0283/BB$18*(21-7)/(21-BB$19)*1000000</f>
        <v>2946277.108608002</v>
      </c>
      <c r="BC26" s="100"/>
      <c r="BD26" s="100">
        <f>BD13*454/60/0.0283/BD$18*(21-7)/(21-BD$19)*1000000</f>
        <v>2481088.2543567335</v>
      </c>
      <c r="BE26" s="100"/>
      <c r="BF26" s="100">
        <f>BF13*454/60/0.0283/BF$18*(21-7)/(21-BF$19)*1000000</f>
        <v>2274867.204884374</v>
      </c>
      <c r="BG26" s="100"/>
      <c r="BH26" s="100">
        <f>BH13*454/60/0.0283/BH$18*(21-7)/(21-BH$19)*1000000</f>
        <v>2536703.28834521</v>
      </c>
      <c r="BI26" s="100"/>
      <c r="BJ26" s="100">
        <f>AVERAGE(BH26,BF26,BD26,BB26)</f>
        <v>2559733.96404858</v>
      </c>
      <c r="BL26" s="88"/>
      <c r="BN26" s="88"/>
      <c r="BP26" s="88"/>
      <c r="BR26" s="88"/>
    </row>
    <row r="27" spans="2:70" ht="12.75">
      <c r="B27" s="86" t="s">
        <v>262</v>
      </c>
      <c r="D27" s="86" t="s">
        <v>58</v>
      </c>
      <c r="M27"/>
      <c r="U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 s="100">
        <f aca="true" t="shared" si="0" ref="BB27:BD29">BB14*454/60/0.0283/BB$18*(21-7)/(21-BB$19)*1000000</f>
        <v>3880673.1841711323</v>
      </c>
      <c r="BC27" s="100"/>
      <c r="BD27" s="100">
        <f t="shared" si="0"/>
        <v>3267724.250676475</v>
      </c>
      <c r="BE27" s="100"/>
      <c r="BF27" s="100">
        <f>BF14*454/60/0.0283/BF$18*(21-7)/(21-BF$19)*1000000</f>
        <v>2996376.746951987</v>
      </c>
      <c r="BG27" s="100"/>
      <c r="BH27" s="100">
        <f>BH14*454/60/0.0283/BH$18*(21-7)/(21-BH$19)*1000000</f>
        <v>3341246.200102496</v>
      </c>
      <c r="BI27" s="100"/>
      <c r="BJ27" s="100"/>
      <c r="BL27" s="88"/>
      <c r="BN27" s="88"/>
      <c r="BP27" s="88"/>
      <c r="BR27" s="88"/>
    </row>
    <row r="28" spans="2:70" ht="12.75">
      <c r="B28" s="86" t="s">
        <v>82</v>
      </c>
      <c r="D28" s="86" t="s">
        <v>58</v>
      </c>
      <c r="M28"/>
      <c r="U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 s="100">
        <f t="shared" si="0"/>
        <v>6563881.500083743</v>
      </c>
      <c r="BC28" s="100"/>
      <c r="BD28" s="100">
        <f t="shared" si="0"/>
        <v>5527339.170980491</v>
      </c>
      <c r="BE28" s="100"/>
      <c r="BF28" s="100">
        <f>BF15*454/60/0.0283/BF$18*(21-7)/(21-BF$19)*1000000</f>
        <v>5067463.973444429</v>
      </c>
      <c r="BG28" s="100"/>
      <c r="BH28" s="100">
        <f>BH15*454/60/0.0283/BH$18*(21-7)/(21-BH$19)*1000000</f>
        <v>5652312.807813224</v>
      </c>
      <c r="BI28" s="100"/>
      <c r="BJ28" s="100"/>
      <c r="BL28" s="88"/>
      <c r="BN28" s="88"/>
      <c r="BP28" s="88"/>
      <c r="BR28" s="88"/>
    </row>
    <row r="29" spans="2:70" ht="12.75">
      <c r="B29" s="86" t="s">
        <v>84</v>
      </c>
      <c r="D29" s="86" t="s">
        <v>58</v>
      </c>
      <c r="M29"/>
      <c r="U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100">
        <f t="shared" si="0"/>
        <v>128383.1730101728</v>
      </c>
      <c r="BC29" s="100"/>
      <c r="BD29" s="100">
        <f t="shared" si="0"/>
        <v>108061.03438581475</v>
      </c>
      <c r="BE29" s="100"/>
      <c r="BF29" s="100">
        <f>BF16*454/60/0.0283/BF$18*(21-7)/(21-BF$19)*1000000</f>
        <v>99017.4687708715</v>
      </c>
      <c r="BG29" s="100"/>
      <c r="BH29" s="100">
        <f>BH16*454/60/0.0283/BH$18*(21-7)/(21-BH$19)*1000000</f>
        <v>110451.52198890607</v>
      </c>
      <c r="BI29" s="100"/>
      <c r="BJ29" s="100">
        <f>AVERAGE(BH29,BF29,BD29,BB29)</f>
        <v>111478.29953894128</v>
      </c>
      <c r="BL29" s="88"/>
      <c r="BN29" s="88"/>
      <c r="BP29" s="88"/>
      <c r="BR29" s="88"/>
    </row>
    <row r="30" spans="2:72" ht="12.75">
      <c r="B30" s="86" t="s">
        <v>60</v>
      </c>
      <c r="D30" s="86" t="s">
        <v>58</v>
      </c>
      <c r="M30"/>
      <c r="U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86">
        <f>BB27</f>
        <v>3880673.1841711323</v>
      </c>
      <c r="BD30" s="86">
        <f>BD27</f>
        <v>3267724.250676475</v>
      </c>
      <c r="BF30" s="86">
        <f>BF27</f>
        <v>2996376.746951987</v>
      </c>
      <c r="BH30" s="86">
        <f>BH27</f>
        <v>3341246.200102496</v>
      </c>
      <c r="BJ30" s="100">
        <f>AVERAGE(BH30,BF30,BD30,BB30)</f>
        <v>3371505.095475523</v>
      </c>
      <c r="BT30" s="86" t="s">
        <v>338</v>
      </c>
    </row>
    <row r="31" spans="2:72" ht="12.75">
      <c r="B31" s="86" t="s">
        <v>59</v>
      </c>
      <c r="D31" s="86" t="s">
        <v>58</v>
      </c>
      <c r="M31"/>
      <c r="U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 s="86">
        <f>BB28</f>
        <v>6563881.500083743</v>
      </c>
      <c r="BD31" s="86">
        <f>BD28</f>
        <v>5527339.170980491</v>
      </c>
      <c r="BF31" s="86">
        <f>BF28</f>
        <v>5067463.973444429</v>
      </c>
      <c r="BH31" s="86">
        <f>BH28</f>
        <v>5652312.807813224</v>
      </c>
      <c r="BJ31" s="100">
        <f>AVERAGE(BH31,BF31,BD31,BB31)</f>
        <v>5702749.363080472</v>
      </c>
      <c r="BT31" s="86" t="s">
        <v>337</v>
      </c>
    </row>
    <row r="32" spans="13:53" ht="12.75">
      <c r="M32"/>
      <c r="U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71" ht="12.75">
      <c r="B33" s="14" t="s">
        <v>253</v>
      </c>
      <c r="C33" s="14"/>
      <c r="F33" s="92" t="s">
        <v>257</v>
      </c>
      <c r="G33" s="92"/>
      <c r="H33" s="92" t="s">
        <v>258</v>
      </c>
      <c r="I33" s="92"/>
      <c r="J33" s="92" t="s">
        <v>259</v>
      </c>
      <c r="K33" s="92"/>
      <c r="L33" s="92" t="s">
        <v>260</v>
      </c>
      <c r="M33" s="92"/>
      <c r="N33" s="92" t="s">
        <v>257</v>
      </c>
      <c r="O33" s="92"/>
      <c r="P33" s="92" t="s">
        <v>258</v>
      </c>
      <c r="Q33" s="92"/>
      <c r="R33" s="92" t="s">
        <v>259</v>
      </c>
      <c r="S33" s="92"/>
      <c r="T33" s="92" t="s">
        <v>260</v>
      </c>
      <c r="U33" s="92"/>
      <c r="V33" s="92" t="s">
        <v>257</v>
      </c>
      <c r="W33" s="92"/>
      <c r="X33" s="92" t="s">
        <v>258</v>
      </c>
      <c r="Y33" s="92"/>
      <c r="Z33" s="92" t="s">
        <v>259</v>
      </c>
      <c r="AA33" s="92"/>
      <c r="AB33" s="92" t="s">
        <v>260</v>
      </c>
      <c r="AC33" s="92"/>
      <c r="AD33" s="92" t="s">
        <v>257</v>
      </c>
      <c r="AE33" s="92"/>
      <c r="AF33" s="92" t="s">
        <v>258</v>
      </c>
      <c r="AG33" s="92"/>
      <c r="AH33" s="92" t="s">
        <v>259</v>
      </c>
      <c r="AI33" s="92"/>
      <c r="AJ33" s="92" t="s">
        <v>260</v>
      </c>
      <c r="AK33" s="92"/>
      <c r="AL33" s="92" t="s">
        <v>257</v>
      </c>
      <c r="AM33" s="92"/>
      <c r="AN33" s="92" t="s">
        <v>258</v>
      </c>
      <c r="AO33" s="92"/>
      <c r="AP33" s="92" t="s">
        <v>259</v>
      </c>
      <c r="AQ33" s="92"/>
      <c r="AR33" s="92" t="s">
        <v>260</v>
      </c>
      <c r="AS33" s="92"/>
      <c r="AT33" s="92" t="s">
        <v>257</v>
      </c>
      <c r="AU33" s="92"/>
      <c r="AV33" s="92" t="s">
        <v>258</v>
      </c>
      <c r="AW33" s="92"/>
      <c r="AX33" s="92" t="s">
        <v>259</v>
      </c>
      <c r="AY33" s="92"/>
      <c r="AZ33" s="92" t="s">
        <v>260</v>
      </c>
      <c r="BA33" s="92"/>
      <c r="BB33" s="92" t="s">
        <v>257</v>
      </c>
      <c r="BC33" s="92"/>
      <c r="BD33" s="92" t="s">
        <v>258</v>
      </c>
      <c r="BE33" s="92"/>
      <c r="BF33" s="92" t="s">
        <v>259</v>
      </c>
      <c r="BG33" s="92"/>
      <c r="BH33" s="92" t="s">
        <v>260</v>
      </c>
      <c r="BI33" s="92"/>
      <c r="BJ33" s="92" t="s">
        <v>47</v>
      </c>
      <c r="BK33" s="92"/>
      <c r="BL33" s="92" t="s">
        <v>257</v>
      </c>
      <c r="BM33" s="92"/>
      <c r="BN33" s="92" t="s">
        <v>258</v>
      </c>
      <c r="BO33" s="92"/>
      <c r="BP33" s="92" t="s">
        <v>259</v>
      </c>
      <c r="BQ33" s="92"/>
      <c r="BR33" s="92" t="s">
        <v>260</v>
      </c>
      <c r="BS33" s="92"/>
    </row>
    <row r="34" spans="6:53" ht="12.75"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</row>
    <row r="35" spans="2:62" ht="12.75">
      <c r="B35" s="86" t="s">
        <v>322</v>
      </c>
      <c r="F35" s="87" t="s">
        <v>324</v>
      </c>
      <c r="G35" s="87"/>
      <c r="H35" s="87" t="s">
        <v>324</v>
      </c>
      <c r="I35" s="87"/>
      <c r="J35" s="87" t="s">
        <v>324</v>
      </c>
      <c r="K35" s="87"/>
      <c r="L35" s="87" t="s">
        <v>324</v>
      </c>
      <c r="M35" s="87"/>
      <c r="N35" s="87" t="s">
        <v>326</v>
      </c>
      <c r="O35" s="87"/>
      <c r="P35" s="87" t="s">
        <v>326</v>
      </c>
      <c r="Q35" s="87"/>
      <c r="R35" s="87" t="s">
        <v>326</v>
      </c>
      <c r="S35" s="87"/>
      <c r="T35" s="87" t="s">
        <v>326</v>
      </c>
      <c r="U35" s="87"/>
      <c r="V35" s="87" t="s">
        <v>329</v>
      </c>
      <c r="W35" s="87"/>
      <c r="X35" s="87" t="s">
        <v>329</v>
      </c>
      <c r="Y35" s="87"/>
      <c r="Z35" s="87" t="s">
        <v>329</v>
      </c>
      <c r="AA35" s="87"/>
      <c r="AB35" s="87" t="s">
        <v>329</v>
      </c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6" t="s">
        <v>328</v>
      </c>
      <c r="BD35" s="86" t="s">
        <v>328</v>
      </c>
      <c r="BF35" s="86" t="s">
        <v>328</v>
      </c>
      <c r="BH35" s="86" t="s">
        <v>328</v>
      </c>
      <c r="BJ35" s="86" t="s">
        <v>328</v>
      </c>
    </row>
    <row r="36" spans="2:62" ht="12.75">
      <c r="B36" s="86" t="s">
        <v>323</v>
      </c>
      <c r="F36" s="87" t="s">
        <v>325</v>
      </c>
      <c r="G36" s="87"/>
      <c r="H36" s="87" t="s">
        <v>325</v>
      </c>
      <c r="I36" s="87"/>
      <c r="J36" s="87" t="s">
        <v>325</v>
      </c>
      <c r="K36" s="87"/>
      <c r="L36" s="87" t="s">
        <v>325</v>
      </c>
      <c r="M36" s="87"/>
      <c r="N36" s="87" t="s">
        <v>325</v>
      </c>
      <c r="O36" s="87"/>
      <c r="P36" s="87" t="s">
        <v>325</v>
      </c>
      <c r="Q36" s="87"/>
      <c r="R36" s="87" t="s">
        <v>325</v>
      </c>
      <c r="S36" s="87"/>
      <c r="T36" s="87" t="s">
        <v>325</v>
      </c>
      <c r="U36" s="87"/>
      <c r="V36" s="87" t="s">
        <v>325</v>
      </c>
      <c r="W36" s="87"/>
      <c r="X36" s="87" t="s">
        <v>325</v>
      </c>
      <c r="Y36" s="87"/>
      <c r="Z36" s="87" t="s">
        <v>325</v>
      </c>
      <c r="AA36" s="87"/>
      <c r="AB36" s="87" t="s">
        <v>325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6" t="s">
        <v>25</v>
      </c>
      <c r="BD36" s="86" t="s">
        <v>25</v>
      </c>
      <c r="BF36" s="86" t="s">
        <v>25</v>
      </c>
      <c r="BH36" s="86" t="s">
        <v>25</v>
      </c>
      <c r="BJ36" s="86" t="s">
        <v>25</v>
      </c>
    </row>
    <row r="37" spans="2:70" ht="12.75">
      <c r="B37" s="86" t="s">
        <v>334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6" t="s">
        <v>25</v>
      </c>
      <c r="BD37" s="86" t="s">
        <v>25</v>
      </c>
      <c r="BF37" s="86" t="s">
        <v>25</v>
      </c>
      <c r="BH37" s="86" t="s">
        <v>25</v>
      </c>
      <c r="BJ37" s="86" t="s">
        <v>25</v>
      </c>
      <c r="BL37" s="86" t="s">
        <v>65</v>
      </c>
      <c r="BN37" s="86" t="s">
        <v>65</v>
      </c>
      <c r="BP37" s="86" t="s">
        <v>65</v>
      </c>
      <c r="BR37" s="86" t="s">
        <v>65</v>
      </c>
    </row>
    <row r="38" spans="2:62" ht="12.75">
      <c r="B38" s="86" t="s">
        <v>48</v>
      </c>
      <c r="F38" s="86" t="s">
        <v>268</v>
      </c>
      <c r="N38" s="86" t="s">
        <v>269</v>
      </c>
      <c r="V38" s="86" t="s">
        <v>270</v>
      </c>
      <c r="AD38" s="86" t="s">
        <v>271</v>
      </c>
      <c r="AL38" s="86" t="s">
        <v>272</v>
      </c>
      <c r="AT38" s="86" t="s">
        <v>273</v>
      </c>
      <c r="BB38" s="86" t="s">
        <v>25</v>
      </c>
      <c r="BD38" s="86" t="s">
        <v>25</v>
      </c>
      <c r="BF38" s="86" t="s">
        <v>25</v>
      </c>
      <c r="BH38" s="86" t="s">
        <v>25</v>
      </c>
      <c r="BJ38" s="86" t="s">
        <v>25</v>
      </c>
    </row>
    <row r="39" spans="1:53" ht="12.75">
      <c r="A39" s="86" t="s">
        <v>253</v>
      </c>
      <c r="B39" s="86" t="s">
        <v>90</v>
      </c>
      <c r="D39" s="86" t="s">
        <v>53</v>
      </c>
      <c r="F39" s="87">
        <v>1867.5</v>
      </c>
      <c r="G39" s="87"/>
      <c r="H39" s="87">
        <v>1989.6</v>
      </c>
      <c r="I39" s="87"/>
      <c r="J39" s="87">
        <v>1602</v>
      </c>
      <c r="K39" s="87"/>
      <c r="L39" s="87">
        <v>1693.2</v>
      </c>
      <c r="M39" s="87"/>
      <c r="N39" s="87">
        <v>2568.1</v>
      </c>
      <c r="O39" s="87"/>
      <c r="P39" s="87">
        <v>2290.8</v>
      </c>
      <c r="Q39" s="87"/>
      <c r="R39" s="87">
        <v>2574</v>
      </c>
      <c r="S39" s="87"/>
      <c r="T39" s="87">
        <v>2517.6</v>
      </c>
      <c r="U39" s="87"/>
      <c r="V39" s="87">
        <v>1327.7</v>
      </c>
      <c r="W39" s="87"/>
      <c r="X39" s="87">
        <v>765.6</v>
      </c>
      <c r="Y39" s="87"/>
      <c r="Z39" s="87">
        <v>1038</v>
      </c>
      <c r="AA39" s="87"/>
      <c r="AB39" s="87">
        <v>531.84</v>
      </c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</row>
    <row r="40" spans="1:53" ht="12.75">
      <c r="A40" s="86" t="s">
        <v>253</v>
      </c>
      <c r="B40" s="86" t="s">
        <v>274</v>
      </c>
      <c r="D40" s="86" t="s">
        <v>275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</row>
    <row r="41" spans="1:53" ht="12.75">
      <c r="A41" s="86" t="s">
        <v>253</v>
      </c>
      <c r="B41" s="86" t="s">
        <v>49</v>
      </c>
      <c r="D41" s="86" t="s">
        <v>276</v>
      </c>
      <c r="F41">
        <v>0.0056</v>
      </c>
      <c r="G41"/>
      <c r="H41">
        <v>0.0016</v>
      </c>
      <c r="I41"/>
      <c r="J41">
        <v>0.0042</v>
      </c>
      <c r="K41"/>
      <c r="L41">
        <v>0.0009</v>
      </c>
      <c r="M41"/>
      <c r="N41">
        <v>7.463</v>
      </c>
      <c r="O41"/>
      <c r="P41">
        <v>7.8822</v>
      </c>
      <c r="Q41"/>
      <c r="R41">
        <v>7.6046</v>
      </c>
      <c r="S41"/>
      <c r="T41">
        <v>7.8185</v>
      </c>
      <c r="U41"/>
      <c r="V41">
        <v>0.03</v>
      </c>
      <c r="W41"/>
      <c r="X41">
        <v>0.0301</v>
      </c>
      <c r="Y41"/>
      <c r="Z41">
        <v>0.0318</v>
      </c>
      <c r="AA41"/>
      <c r="AB41">
        <v>0.0319</v>
      </c>
      <c r="AC41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</row>
    <row r="42" spans="2:60" ht="12.75">
      <c r="B42" s="86" t="s">
        <v>224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6">
        <v>154.34</v>
      </c>
      <c r="BD42" s="86">
        <v>136.15</v>
      </c>
      <c r="BF42" s="86">
        <v>164.53</v>
      </c>
      <c r="BH42" s="86">
        <v>134.86</v>
      </c>
    </row>
    <row r="43" spans="2:60" ht="12.75">
      <c r="B43" s="86" t="s">
        <v>262</v>
      </c>
      <c r="D43" s="86" t="s">
        <v>53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6">
        <v>203.28</v>
      </c>
      <c r="BD43" s="86">
        <v>179.32</v>
      </c>
      <c r="BF43" s="86">
        <v>216.71</v>
      </c>
      <c r="BH43" s="86">
        <v>177.63</v>
      </c>
    </row>
    <row r="44" spans="2:60" ht="12.75">
      <c r="B44" s="86" t="s">
        <v>82</v>
      </c>
      <c r="D44" s="86" t="s">
        <v>53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6">
        <v>343.84</v>
      </c>
      <c r="BD44" s="86">
        <v>303.32</v>
      </c>
      <c r="BF44" s="86">
        <v>366.56</v>
      </c>
      <c r="BH44" s="86">
        <v>300.46</v>
      </c>
    </row>
    <row r="45" spans="2:60" ht="12.75">
      <c r="B45" s="86" t="s">
        <v>84</v>
      </c>
      <c r="D45" s="86" t="s">
        <v>53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6">
        <v>6.72</v>
      </c>
      <c r="BD45" s="86">
        <v>5.93</v>
      </c>
      <c r="BF45" s="86">
        <v>7.16</v>
      </c>
      <c r="BH45" s="86">
        <v>5.87</v>
      </c>
    </row>
    <row r="46" spans="6:53" ht="12.75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</row>
    <row r="47" spans="2:62" ht="12.75">
      <c r="B47" s="86" t="s">
        <v>277</v>
      </c>
      <c r="D47" s="86" t="s">
        <v>17</v>
      </c>
      <c r="F47" s="86">
        <f>'emiss 2'!$G$65</f>
        <v>23278</v>
      </c>
      <c r="H47" s="86">
        <f>'emiss 2'!$I$65</f>
        <v>23783</v>
      </c>
      <c r="J47" s="86">
        <f>'emiss 2'!$K$65</f>
        <v>21999</v>
      </c>
      <c r="L47" s="86">
        <f>'emiss 2'!$M$65</f>
        <v>22544</v>
      </c>
      <c r="M47"/>
      <c r="N47" s="86">
        <f>'emiss 2'!$G$65</f>
        <v>23278</v>
      </c>
      <c r="P47" s="86">
        <f>'emiss 2'!$I$65</f>
        <v>23783</v>
      </c>
      <c r="R47" s="86">
        <f>'emiss 2'!$K$65</f>
        <v>21999</v>
      </c>
      <c r="T47" s="86">
        <f>'emiss 2'!$M$65</f>
        <v>22544</v>
      </c>
      <c r="U47"/>
      <c r="V47" s="86">
        <f>'emiss 2'!$G$65</f>
        <v>23278</v>
      </c>
      <c r="X47" s="86">
        <f>'emiss 2'!$I$65</f>
        <v>23783</v>
      </c>
      <c r="Z47" s="86">
        <f>'emiss 2'!$K$65</f>
        <v>21999</v>
      </c>
      <c r="AB47" s="86">
        <f>'emiss 2'!$M$65</f>
        <v>22544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86">
        <f>'emiss 2'!$G$65</f>
        <v>23278</v>
      </c>
      <c r="BD47" s="86">
        <f>'emiss 2'!$I$65</f>
        <v>23783</v>
      </c>
      <c r="BF47" s="86">
        <f>'emiss 2'!$K$65</f>
        <v>21999</v>
      </c>
      <c r="BH47" s="86">
        <f>'emiss 2'!$M$65</f>
        <v>22544</v>
      </c>
      <c r="BJ47" s="86">
        <f>AVERAGE(BB47,BD47,BF47,BH47)</f>
        <v>22901</v>
      </c>
    </row>
    <row r="48" spans="2:62" ht="12.75">
      <c r="B48" s="86" t="s">
        <v>226</v>
      </c>
      <c r="D48" s="86" t="s">
        <v>18</v>
      </c>
      <c r="F48" s="86">
        <f>'emiss 2'!$G$66</f>
        <v>11.65</v>
      </c>
      <c r="H48" s="86">
        <f>'emiss 2'!$I$66</f>
        <v>11.44</v>
      </c>
      <c r="J48" s="86">
        <f>'emiss 2'!$K$66</f>
        <v>11.38</v>
      </c>
      <c r="L48" s="86">
        <f>'emiss 2'!$M$66</f>
        <v>11.46</v>
      </c>
      <c r="M48"/>
      <c r="N48" s="86">
        <f>'emiss 2'!$G$66</f>
        <v>11.65</v>
      </c>
      <c r="P48" s="86">
        <f>'emiss 2'!$I$66</f>
        <v>11.44</v>
      </c>
      <c r="R48" s="86">
        <f>'emiss 2'!$K$66</f>
        <v>11.38</v>
      </c>
      <c r="T48" s="86">
        <f>'emiss 2'!$M$66</f>
        <v>11.46</v>
      </c>
      <c r="U48"/>
      <c r="V48" s="86">
        <f>'emiss 2'!$G$66</f>
        <v>11.65</v>
      </c>
      <c r="X48" s="86">
        <f>'emiss 2'!$I$66</f>
        <v>11.44</v>
      </c>
      <c r="Z48" s="86">
        <f>'emiss 2'!$K$66</f>
        <v>11.38</v>
      </c>
      <c r="AB48" s="86">
        <f>'emiss 2'!$M$66</f>
        <v>11.46</v>
      </c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86">
        <f>'emiss 2'!$G$66</f>
        <v>11.65</v>
      </c>
      <c r="BD48" s="86">
        <f>'emiss 2'!$I$66</f>
        <v>11.44</v>
      </c>
      <c r="BF48" s="86">
        <f>'emiss 2'!$K$66</f>
        <v>11.38</v>
      </c>
      <c r="BH48" s="86">
        <f>'emiss 2'!$M$66</f>
        <v>11.46</v>
      </c>
      <c r="BJ48" s="86">
        <f>AVERAGE(BB48,BD48,BF48,BH48)</f>
        <v>11.4825</v>
      </c>
    </row>
    <row r="49" spans="13:53" ht="12.75">
      <c r="M49"/>
      <c r="U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2.75">
      <c r="B50" s="5" t="s">
        <v>321</v>
      </c>
      <c r="C50" s="5"/>
      <c r="D50" s="5" t="s">
        <v>152</v>
      </c>
      <c r="M50"/>
      <c r="U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62" ht="12.75">
      <c r="B51" s="5" t="s">
        <v>340</v>
      </c>
      <c r="C51" s="5"/>
      <c r="D51" s="5" t="s">
        <v>152</v>
      </c>
      <c r="M51"/>
      <c r="U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54">
        <f>BB47/9000*60*(21-BB48)/21</f>
        <v>69.09501587301587</v>
      </c>
      <c r="BD51" s="54">
        <f>BD47/9000*60*(21-BD48)/21</f>
        <v>72.17951746031747</v>
      </c>
      <c r="BF51" s="54">
        <f>BF47/9000*60*(21-BF48)/21</f>
        <v>67.18424761904761</v>
      </c>
      <c r="BH51" s="54">
        <f>BH47/9000*60*(21-BH48)/21</f>
        <v>68.27611428571429</v>
      </c>
      <c r="BJ51" s="54">
        <f>BJ47/9000*60*(21-BJ48)/21</f>
        <v>69.19373571428572</v>
      </c>
    </row>
    <row r="52" spans="13:53" ht="12.75">
      <c r="M52"/>
      <c r="U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2.75">
      <c r="B53" s="99" t="s">
        <v>335</v>
      </c>
      <c r="C53" s="99"/>
      <c r="M53"/>
      <c r="U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70" ht="12.75">
      <c r="B54" s="86" t="s">
        <v>49</v>
      </c>
      <c r="D54" s="86" t="s">
        <v>64</v>
      </c>
      <c r="F54" s="88">
        <f>F41/100*F39*454/60/0.0283/F47*(21-7)/(21-F48)*1000</f>
        <v>1.7986123262556724</v>
      </c>
      <c r="H54" s="88">
        <f>H41/100*H39*454/60/0.0283/H47*(21-7)/(21-H48)*1000</f>
        <v>0.5240918780345528</v>
      </c>
      <c r="J54" s="88">
        <f>J41/100*J39*454/60/0.0283/J47*(21-7)/(21-J48)*1000</f>
        <v>1.1900905126215564</v>
      </c>
      <c r="L54" s="88">
        <f>L41/100*L39*454/60/0.0283/L47*(21-7)/(21-L48)*1000</f>
        <v>0.2652269318546006</v>
      </c>
      <c r="M54"/>
      <c r="N54" s="88">
        <f>N41/100*N39*454/60/0.0283/N47*(21-7)/(21-N48)*1000</f>
        <v>3296.2056568437397</v>
      </c>
      <c r="P54" s="88">
        <f>P41/100*P39*454/60/0.0283/P47*(21-7)/(21-P48)*1000</f>
        <v>2972.7357037820066</v>
      </c>
      <c r="R54" s="88">
        <f>R41/100*R39*454/60/0.0283/R47*(21-7)/(21-R48)*1000</f>
        <v>3462.2076261538523</v>
      </c>
      <c r="T54" s="88">
        <f>T41/100*T39*454/60/0.0283/T47*(21-7)/(21-T48)*1000</f>
        <v>3425.9184633022273</v>
      </c>
      <c r="U54"/>
      <c r="V54" s="88">
        <f>V41/100*V39*454/60/0.0283/V47*(21-7)/(21-V48)*1000</f>
        <v>6.850308621829193</v>
      </c>
      <c r="X54" s="88">
        <f>X41/100*X39*454/60/0.0283/X47*(21-7)/(21-X48)*1000</f>
        <v>3.7939368242611367</v>
      </c>
      <c r="Z54" s="88">
        <f>Z41/100*Z39*454/60/0.0283/Z47*(21-7)/(21-Z48)*1000</f>
        <v>5.838384114621214</v>
      </c>
      <c r="AB54" s="88">
        <f>AB41/100*AB39*454/60/0.0283/AB47*(21-7)/(21-AB48)*1000</f>
        <v>2.9528306013976633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100">
        <f>SUM(V54,N54,F54)</f>
        <v>3304.854577791825</v>
      </c>
      <c r="BC54" s="100"/>
      <c r="BD54" s="100">
        <f>SUM(X54,P54,H54)</f>
        <v>2977.053732484302</v>
      </c>
      <c r="BE54" s="100"/>
      <c r="BF54" s="100">
        <f>SUM(Z54,R54,J54)</f>
        <v>3469.236100781095</v>
      </c>
      <c r="BG54" s="100"/>
      <c r="BH54" s="100">
        <f>SUM(AB54,T54,L54)</f>
        <v>3429.1365208354796</v>
      </c>
      <c r="BI54" s="100"/>
      <c r="BJ54" s="100">
        <f>AVERAGE(BH54,BF54,BD54,BB54)</f>
        <v>3295.0702329731753</v>
      </c>
      <c r="BL54" s="88">
        <f>F54+N54+V54+AD54+AL54+AT54</f>
        <v>3304.854577791825</v>
      </c>
      <c r="BN54" s="88">
        <f>H54+P54+X54+AF54+AN54+AV54</f>
        <v>2977.053732484302</v>
      </c>
      <c r="BP54" s="88">
        <f>J54+R54+Z54+AH54+AP54+AX54</f>
        <v>3469.236100781095</v>
      </c>
      <c r="BR54" s="88">
        <f>L54+T54+AB54+AJ54+AR54+AZ54</f>
        <v>3429.1365208354796</v>
      </c>
    </row>
    <row r="55" spans="2:70" ht="12.75">
      <c r="B55" s="86" t="s">
        <v>224</v>
      </c>
      <c r="D55" s="86" t="s">
        <v>58</v>
      </c>
      <c r="M55"/>
      <c r="U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100">
        <f>BB42*454/60/0.0283/BB$47*(21-7)/(21-BB$48)*1000000</f>
        <v>2654406.4489797335</v>
      </c>
      <c r="BC55" s="100"/>
      <c r="BD55" s="100">
        <f>BD42*454/60/0.0283/BD$47*(21-7)/(21-BD$48)*1000000</f>
        <v>2241502.9778097477</v>
      </c>
      <c r="BE55" s="100"/>
      <c r="BF55" s="100">
        <f>BF42*454/60/0.0283/BF$47*(21-7)/(21-BF$48)*1000000</f>
        <v>2910136.0210692678</v>
      </c>
      <c r="BG55" s="100"/>
      <c r="BH55" s="100">
        <f>BH42*454/60/0.0283/BH$47*(21-7)/(21-BH$48)*1000000</f>
        <v>2347199.518985186</v>
      </c>
      <c r="BI55" s="100"/>
      <c r="BJ55" s="100">
        <f>AVERAGE(BH55,BF55,BD55,BB55)</f>
        <v>2538311.2417109837</v>
      </c>
      <c r="BL55" s="88"/>
      <c r="BN55" s="88"/>
      <c r="BP55" s="88"/>
      <c r="BR55" s="88"/>
    </row>
    <row r="56" spans="2:70" ht="12.75">
      <c r="B56" s="86" t="s">
        <v>262</v>
      </c>
      <c r="D56" s="86" t="s">
        <v>58</v>
      </c>
      <c r="M56"/>
      <c r="U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 s="100">
        <f aca="true" t="shared" si="1" ref="BB56:BD58">BB43*454/60/0.0283/BB$47*(21-7)/(21-BB$48)*1000000</f>
        <v>3496097.855051186</v>
      </c>
      <c r="BC56" s="100"/>
      <c r="BD56" s="100">
        <f t="shared" si="1"/>
        <v>2952231.465154931</v>
      </c>
      <c r="BE56" s="100"/>
      <c r="BF56" s="100">
        <f>BF43*454/60/0.0283/BF$47*(21-7)/(21-BF$48)*1000000</f>
        <v>3833073.464571331</v>
      </c>
      <c r="BG56" s="100"/>
      <c r="BH56" s="100">
        <f>BH43*454/60/0.0283/BH$47*(21-7)/(21-BH$48)*1000000</f>
        <v>3091599.0698304786</v>
      </c>
      <c r="BI56" s="100"/>
      <c r="BJ56" s="100">
        <f>AVERAGE(BH56,BF56,BD56,BB56)</f>
        <v>3343250.4636519817</v>
      </c>
      <c r="BL56" s="88"/>
      <c r="BN56" s="88"/>
      <c r="BP56" s="88"/>
      <c r="BR56" s="88"/>
    </row>
    <row r="57" spans="2:70" ht="12.75">
      <c r="B57" s="86" t="s">
        <v>82</v>
      </c>
      <c r="D57" s="86" t="s">
        <v>58</v>
      </c>
      <c r="M57"/>
      <c r="U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 s="100">
        <f t="shared" si="1"/>
        <v>5913509.870527353</v>
      </c>
      <c r="BC57" s="100"/>
      <c r="BD57" s="100">
        <f t="shared" si="1"/>
        <v>4993703.145275451</v>
      </c>
      <c r="BE57" s="100"/>
      <c r="BF57" s="100">
        <f>BF44*454/60/0.0283/BF$47*(21-7)/(21-BF$48)*1000000</f>
        <v>6483555.946533464</v>
      </c>
      <c r="BG57" s="100"/>
      <c r="BH57" s="100">
        <f>BH44*454/60/0.0283/BH$47*(21-7)/(21-BH$48)*1000000</f>
        <v>5229419.898222517</v>
      </c>
      <c r="BI57" s="100"/>
      <c r="BJ57" s="100">
        <f>AVERAGE(BH57,BF57,BD57,BB57)</f>
        <v>5655047.215139696</v>
      </c>
      <c r="BL57" s="88"/>
      <c r="BN57" s="88"/>
      <c r="BP57" s="88"/>
      <c r="BR57" s="88"/>
    </row>
    <row r="58" spans="2:70" ht="12.75">
      <c r="B58" s="86" t="s">
        <v>84</v>
      </c>
      <c r="D58" s="86" t="s">
        <v>58</v>
      </c>
      <c r="M58"/>
      <c r="U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 s="100">
        <f t="shared" si="1"/>
        <v>115573.48281160947</v>
      </c>
      <c r="BC58" s="100"/>
      <c r="BD58" s="100">
        <f t="shared" si="1"/>
        <v>97628.44405737642</v>
      </c>
      <c r="BE58" s="100"/>
      <c r="BF58" s="100">
        <f>BF45*454/60/0.0283/BF$47*(21-7)/(21-BF$48)*1000000</f>
        <v>126643.00681247165</v>
      </c>
      <c r="BG58" s="100"/>
      <c r="BH58" s="100">
        <f>BH45*454/60/0.0283/BH$47*(21-7)/(21-BH$48)*1000000</f>
        <v>102165.66199349724</v>
      </c>
      <c r="BI58" s="100"/>
      <c r="BJ58" s="100">
        <f>AVERAGE(BH58,BF58,BD58,BB58)</f>
        <v>110502.64891873869</v>
      </c>
      <c r="BL58" s="88"/>
      <c r="BN58" s="88"/>
      <c r="BP58" s="88"/>
      <c r="BR58" s="88"/>
    </row>
    <row r="59" spans="2:72" ht="12.75">
      <c r="B59" s="86" t="s">
        <v>60</v>
      </c>
      <c r="D59" s="86" t="s">
        <v>58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100">
        <f>BB56</f>
        <v>3496097.855051186</v>
      </c>
      <c r="BC59" s="100"/>
      <c r="BD59" s="100">
        <f>BD56</f>
        <v>2952231.465154931</v>
      </c>
      <c r="BE59" s="100"/>
      <c r="BF59" s="100">
        <f>BF56</f>
        <v>3833073.464571331</v>
      </c>
      <c r="BG59" s="100"/>
      <c r="BH59" s="100">
        <f>BH56</f>
        <v>3091599.0698304786</v>
      </c>
      <c r="BI59" s="100"/>
      <c r="BJ59" s="100">
        <f>BJ56</f>
        <v>3343250.4636519817</v>
      </c>
      <c r="BT59" s="86" t="s">
        <v>338</v>
      </c>
    </row>
    <row r="60" spans="2:72" ht="12.75">
      <c r="B60" s="86" t="s">
        <v>59</v>
      </c>
      <c r="D60" s="86" t="s">
        <v>58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100">
        <f>BB57</f>
        <v>5913509.870527353</v>
      </c>
      <c r="BC60" s="100"/>
      <c r="BD60" s="100">
        <f>BD57</f>
        <v>4993703.145275451</v>
      </c>
      <c r="BE60" s="100"/>
      <c r="BF60" s="100">
        <f>BF57</f>
        <v>6483555.946533464</v>
      </c>
      <c r="BG60" s="100"/>
      <c r="BH60" s="100">
        <f>BH57</f>
        <v>5229419.898222517</v>
      </c>
      <c r="BI60" s="100"/>
      <c r="BJ60" s="100">
        <f>BJ57</f>
        <v>5655047.215139696</v>
      </c>
      <c r="BT60" s="86" t="s">
        <v>337</v>
      </c>
    </row>
    <row r="61" spans="6:53" ht="12.75"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</row>
    <row r="62" spans="2:71" ht="12.75">
      <c r="B62" s="14" t="s">
        <v>255</v>
      </c>
      <c r="C62" s="14"/>
      <c r="F62" s="92" t="s">
        <v>257</v>
      </c>
      <c r="G62" s="92"/>
      <c r="H62" s="92" t="s">
        <v>258</v>
      </c>
      <c r="I62" s="92"/>
      <c r="J62" s="92" t="s">
        <v>259</v>
      </c>
      <c r="K62" s="92"/>
      <c r="L62" s="92" t="s">
        <v>260</v>
      </c>
      <c r="M62" s="92"/>
      <c r="N62" s="92" t="s">
        <v>257</v>
      </c>
      <c r="O62" s="92"/>
      <c r="P62" s="92" t="s">
        <v>258</v>
      </c>
      <c r="Q62" s="92"/>
      <c r="R62" s="92" t="s">
        <v>259</v>
      </c>
      <c r="S62" s="92"/>
      <c r="T62" s="92" t="s">
        <v>260</v>
      </c>
      <c r="U62" s="92"/>
      <c r="V62" s="92" t="s">
        <v>257</v>
      </c>
      <c r="W62" s="92"/>
      <c r="X62" s="92" t="s">
        <v>258</v>
      </c>
      <c r="Y62" s="92"/>
      <c r="Z62" s="92" t="s">
        <v>259</v>
      </c>
      <c r="AA62" s="92"/>
      <c r="AB62" s="92" t="s">
        <v>260</v>
      </c>
      <c r="AC62" s="92"/>
      <c r="AD62" s="92" t="s">
        <v>257</v>
      </c>
      <c r="AE62" s="92"/>
      <c r="AF62" s="92" t="s">
        <v>258</v>
      </c>
      <c r="AG62" s="92"/>
      <c r="AH62" s="92" t="s">
        <v>259</v>
      </c>
      <c r="AI62" s="92"/>
      <c r="AJ62" s="92" t="s">
        <v>260</v>
      </c>
      <c r="AK62" s="92"/>
      <c r="AL62" s="92" t="s">
        <v>257</v>
      </c>
      <c r="AM62" s="92"/>
      <c r="AN62" s="92" t="s">
        <v>258</v>
      </c>
      <c r="AO62" s="92"/>
      <c r="AP62" s="92" t="s">
        <v>259</v>
      </c>
      <c r="AQ62" s="92"/>
      <c r="AR62" s="92" t="s">
        <v>260</v>
      </c>
      <c r="AS62" s="92"/>
      <c r="AT62" s="92" t="s">
        <v>257</v>
      </c>
      <c r="AU62" s="92"/>
      <c r="AV62" s="92" t="s">
        <v>258</v>
      </c>
      <c r="AW62" s="92"/>
      <c r="AX62" s="92" t="s">
        <v>259</v>
      </c>
      <c r="AY62" s="92"/>
      <c r="AZ62" s="92" t="s">
        <v>260</v>
      </c>
      <c r="BA62" s="92"/>
      <c r="BB62" s="92" t="s">
        <v>257</v>
      </c>
      <c r="BC62" s="92"/>
      <c r="BD62" s="92" t="s">
        <v>258</v>
      </c>
      <c r="BE62" s="92"/>
      <c r="BF62" s="92" t="s">
        <v>259</v>
      </c>
      <c r="BG62" s="92"/>
      <c r="BH62" s="92" t="s">
        <v>260</v>
      </c>
      <c r="BI62" s="92"/>
      <c r="BJ62" s="92" t="s">
        <v>47</v>
      </c>
      <c r="BK62" s="92"/>
      <c r="BL62" s="92" t="s">
        <v>257</v>
      </c>
      <c r="BM62" s="92"/>
      <c r="BN62" s="92" t="s">
        <v>258</v>
      </c>
      <c r="BO62" s="92"/>
      <c r="BP62" s="92" t="s">
        <v>259</v>
      </c>
      <c r="BQ62" s="92"/>
      <c r="BR62" s="92" t="s">
        <v>260</v>
      </c>
      <c r="BS62" s="92"/>
    </row>
    <row r="63" spans="2:71" ht="12.75">
      <c r="B63" s="14"/>
      <c r="C63" s="14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S63" s="92"/>
    </row>
    <row r="64" spans="2:71" ht="12.75">
      <c r="B64" s="86" t="s">
        <v>322</v>
      </c>
      <c r="F64" s="86" t="s">
        <v>324</v>
      </c>
      <c r="H64" s="86" t="s">
        <v>324</v>
      </c>
      <c r="J64" s="86" t="s">
        <v>324</v>
      </c>
      <c r="L64" s="86" t="s">
        <v>324</v>
      </c>
      <c r="N64" s="86" t="s">
        <v>326</v>
      </c>
      <c r="P64" s="86" t="s">
        <v>326</v>
      </c>
      <c r="R64" s="86" t="s">
        <v>326</v>
      </c>
      <c r="T64" s="86" t="s">
        <v>326</v>
      </c>
      <c r="V64" s="86" t="s">
        <v>329</v>
      </c>
      <c r="X64" s="86" t="s">
        <v>329</v>
      </c>
      <c r="Z64" s="86" t="s">
        <v>329</v>
      </c>
      <c r="AB64" s="86" t="s">
        <v>329</v>
      </c>
      <c r="AC64" s="92"/>
      <c r="AD64" s="92" t="s">
        <v>328</v>
      </c>
      <c r="AE64" s="92"/>
      <c r="AF64" s="92" t="s">
        <v>328</v>
      </c>
      <c r="AG64" s="92"/>
      <c r="AH64" s="92" t="s">
        <v>328</v>
      </c>
      <c r="AI64" s="92"/>
      <c r="AJ64" s="92" t="s">
        <v>328</v>
      </c>
      <c r="AK64" s="92"/>
      <c r="AL64" s="92" t="s">
        <v>331</v>
      </c>
      <c r="AM64" s="92"/>
      <c r="AN64" s="92" t="s">
        <v>331</v>
      </c>
      <c r="AO64" s="92"/>
      <c r="AP64" s="92" t="s">
        <v>331</v>
      </c>
      <c r="AQ64" s="92"/>
      <c r="AR64" s="92" t="s">
        <v>331</v>
      </c>
      <c r="AS64" s="92"/>
      <c r="AT64" s="92" t="s">
        <v>332</v>
      </c>
      <c r="AU64" s="92"/>
      <c r="AV64" s="92" t="s">
        <v>332</v>
      </c>
      <c r="AW64" s="92"/>
      <c r="AX64" s="92" t="s">
        <v>332</v>
      </c>
      <c r="AY64" s="92"/>
      <c r="AZ64" s="92" t="s">
        <v>332</v>
      </c>
      <c r="BA64" s="92"/>
      <c r="BB64" s="92" t="s">
        <v>333</v>
      </c>
      <c r="BC64" s="92"/>
      <c r="BD64" s="92" t="s">
        <v>333</v>
      </c>
      <c r="BE64" s="92"/>
      <c r="BF64" s="92" t="s">
        <v>333</v>
      </c>
      <c r="BG64" s="92"/>
      <c r="BH64" s="92" t="s">
        <v>333</v>
      </c>
      <c r="BI64" s="92"/>
      <c r="BJ64" s="92" t="s">
        <v>333</v>
      </c>
      <c r="BK64" s="92"/>
      <c r="BS64" s="92"/>
    </row>
    <row r="65" spans="2:62" ht="12.75">
      <c r="B65" s="86" t="s">
        <v>323</v>
      </c>
      <c r="F65" s="86" t="s">
        <v>325</v>
      </c>
      <c r="H65" s="86" t="s">
        <v>325</v>
      </c>
      <c r="J65" s="86" t="s">
        <v>325</v>
      </c>
      <c r="L65" s="86" t="s">
        <v>325</v>
      </c>
      <c r="N65" s="86" t="s">
        <v>325</v>
      </c>
      <c r="P65" s="86" t="s">
        <v>325</v>
      </c>
      <c r="R65" s="86" t="s">
        <v>325</v>
      </c>
      <c r="T65" s="86" t="s">
        <v>325</v>
      </c>
      <c r="V65" s="86" t="s">
        <v>325</v>
      </c>
      <c r="X65" s="86" t="s">
        <v>325</v>
      </c>
      <c r="Z65" s="86" t="s">
        <v>325</v>
      </c>
      <c r="AB65" s="86" t="s">
        <v>325</v>
      </c>
      <c r="AC65" s="87"/>
      <c r="AD65" s="87" t="s">
        <v>330</v>
      </c>
      <c r="AE65" s="87"/>
      <c r="AF65" s="87" t="s">
        <v>330</v>
      </c>
      <c r="AG65" s="87"/>
      <c r="AH65" s="87" t="s">
        <v>330</v>
      </c>
      <c r="AI65" s="87"/>
      <c r="AJ65" s="87" t="s">
        <v>330</v>
      </c>
      <c r="AK65" s="87"/>
      <c r="AL65" s="87" t="s">
        <v>330</v>
      </c>
      <c r="AM65" s="87"/>
      <c r="AN65" s="87" t="s">
        <v>330</v>
      </c>
      <c r="AO65" s="87"/>
      <c r="AP65" s="87" t="s">
        <v>330</v>
      </c>
      <c r="AQ65" s="87"/>
      <c r="AR65" s="87" t="s">
        <v>330</v>
      </c>
      <c r="AS65" s="87"/>
      <c r="AT65" s="87" t="s">
        <v>325</v>
      </c>
      <c r="AU65" s="87"/>
      <c r="AV65" s="87" t="s">
        <v>325</v>
      </c>
      <c r="AW65" s="87"/>
      <c r="AX65" s="87" t="s">
        <v>325</v>
      </c>
      <c r="AY65" s="87"/>
      <c r="AZ65" s="87" t="s">
        <v>325</v>
      </c>
      <c r="BA65" s="87"/>
      <c r="BB65" s="86" t="s">
        <v>25</v>
      </c>
      <c r="BD65" s="86" t="s">
        <v>25</v>
      </c>
      <c r="BF65" s="86" t="s">
        <v>25</v>
      </c>
      <c r="BH65" s="86" t="s">
        <v>25</v>
      </c>
      <c r="BJ65" s="86" t="s">
        <v>25</v>
      </c>
    </row>
    <row r="66" spans="2:70" ht="12.75">
      <c r="B66" s="86" t="s">
        <v>334</v>
      </c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92" t="s">
        <v>25</v>
      </c>
      <c r="BD66" s="92" t="s">
        <v>25</v>
      </c>
      <c r="BF66" s="92" t="s">
        <v>25</v>
      </c>
      <c r="BH66" s="92" t="s">
        <v>25</v>
      </c>
      <c r="BJ66" s="92" t="s">
        <v>25</v>
      </c>
      <c r="BL66" s="86" t="s">
        <v>65</v>
      </c>
      <c r="BN66" s="86" t="s">
        <v>65</v>
      </c>
      <c r="BP66" s="86" t="s">
        <v>65</v>
      </c>
      <c r="BR66" s="86" t="s">
        <v>65</v>
      </c>
    </row>
    <row r="67" spans="2:62" ht="12.75">
      <c r="B67" s="86" t="s">
        <v>48</v>
      </c>
      <c r="F67" s="86" t="s">
        <v>268</v>
      </c>
      <c r="N67" s="86" t="s">
        <v>269</v>
      </c>
      <c r="V67" s="86" t="s">
        <v>270</v>
      </c>
      <c r="AD67" s="86" t="s">
        <v>271</v>
      </c>
      <c r="AL67" s="86" t="s">
        <v>272</v>
      </c>
      <c r="AT67" s="86" t="s">
        <v>273</v>
      </c>
      <c r="BB67" s="86" t="s">
        <v>25</v>
      </c>
      <c r="BD67" s="86" t="s">
        <v>25</v>
      </c>
      <c r="BF67" s="86" t="s">
        <v>25</v>
      </c>
      <c r="BH67" s="86" t="s">
        <v>25</v>
      </c>
      <c r="BJ67" s="86" t="s">
        <v>25</v>
      </c>
    </row>
    <row r="68" spans="1:53" ht="12.75">
      <c r="A68" s="86" t="s">
        <v>255</v>
      </c>
      <c r="B68" s="86" t="s">
        <v>90</v>
      </c>
      <c r="D68" s="86" t="s">
        <v>53</v>
      </c>
      <c r="F68" s="87">
        <v>859.9</v>
      </c>
      <c r="G68" s="87"/>
      <c r="H68" s="87">
        <v>662.4</v>
      </c>
      <c r="I68" s="87"/>
      <c r="J68" s="87">
        <v>681.9</v>
      </c>
      <c r="K68" s="87"/>
      <c r="L68" s="87">
        <v>369.6</v>
      </c>
      <c r="M68" s="87"/>
      <c r="N68" s="87">
        <v>2720.3</v>
      </c>
      <c r="O68" s="87"/>
      <c r="P68" s="87">
        <v>2709</v>
      </c>
      <c r="Q68" s="87"/>
      <c r="R68" s="87">
        <v>2517.2</v>
      </c>
      <c r="S68" s="87"/>
      <c r="T68" s="87">
        <v>2517</v>
      </c>
      <c r="U68" s="87"/>
      <c r="V68" s="87">
        <v>1185.5</v>
      </c>
      <c r="W68" s="87"/>
      <c r="X68" s="87">
        <v>1207.8</v>
      </c>
      <c r="Y68" s="87"/>
      <c r="Z68" s="87">
        <v>1201.9</v>
      </c>
      <c r="AA68" s="87"/>
      <c r="AB68" s="87">
        <v>1131</v>
      </c>
      <c r="AC68" s="87"/>
      <c r="AD68" s="87">
        <v>1705.1</v>
      </c>
      <c r="AE68" s="87"/>
      <c r="AF68" s="87">
        <v>1797.6</v>
      </c>
      <c r="AG68" s="87"/>
      <c r="AH68" s="87">
        <v>1697.7</v>
      </c>
      <c r="AI68" s="87"/>
      <c r="AJ68" s="87">
        <v>1665</v>
      </c>
      <c r="AK68" s="87"/>
      <c r="AL68" s="87">
        <v>933.9</v>
      </c>
      <c r="AM68" s="87"/>
      <c r="AN68" s="87">
        <v>1054.8</v>
      </c>
      <c r="AO68" s="87"/>
      <c r="AP68" s="87">
        <v>1971.2</v>
      </c>
      <c r="AQ68" s="87"/>
      <c r="AR68" s="87">
        <v>2110.8</v>
      </c>
      <c r="AS68" s="87"/>
      <c r="AT68" s="87">
        <v>1368.4</v>
      </c>
      <c r="AU68" s="87"/>
      <c r="AV68" s="87">
        <v>1443.6</v>
      </c>
      <c r="AW68" s="87"/>
      <c r="AX68" s="87">
        <v>1372.6</v>
      </c>
      <c r="AY68" s="87"/>
      <c r="AZ68" s="87">
        <v>1447.6</v>
      </c>
      <c r="BA68" s="87"/>
    </row>
    <row r="69" spans="1:53" ht="12.75">
      <c r="A69" s="86" t="s">
        <v>255</v>
      </c>
      <c r="B69" s="86" t="s">
        <v>274</v>
      </c>
      <c r="D69" s="86" t="s">
        <v>275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ht="12.75">
      <c r="A70" s="86" t="s">
        <v>255</v>
      </c>
      <c r="B70" s="86" t="s">
        <v>49</v>
      </c>
      <c r="D70" s="86" t="s">
        <v>276</v>
      </c>
      <c r="F70">
        <v>0.0001</v>
      </c>
      <c r="G70"/>
      <c r="H70">
        <v>0.0036</v>
      </c>
      <c r="I70"/>
      <c r="J70">
        <v>0.0036</v>
      </c>
      <c r="K70"/>
      <c r="L70">
        <v>0.0032</v>
      </c>
      <c r="M70"/>
      <c r="N70">
        <v>7.1855</v>
      </c>
      <c r="O70"/>
      <c r="P70">
        <v>7.7425</v>
      </c>
      <c r="Q70"/>
      <c r="R70">
        <v>7.6332</v>
      </c>
      <c r="S70"/>
      <c r="T70">
        <v>7.6632</v>
      </c>
      <c r="U70"/>
      <c r="V70">
        <v>0.0322</v>
      </c>
      <c r="W70"/>
      <c r="X70">
        <v>0.0285</v>
      </c>
      <c r="Y70"/>
      <c r="Z70">
        <v>0.0304</v>
      </c>
      <c r="AA70"/>
      <c r="AB70">
        <v>0.0318</v>
      </c>
      <c r="AC70"/>
      <c r="AD70">
        <v>2.2776</v>
      </c>
      <c r="AE70"/>
      <c r="AF70">
        <v>1.7351</v>
      </c>
      <c r="AG70"/>
      <c r="AH70">
        <v>2.1049</v>
      </c>
      <c r="AI70"/>
      <c r="AJ70">
        <v>2.1656</v>
      </c>
      <c r="AK70"/>
      <c r="AL70">
        <v>3.7342</v>
      </c>
      <c r="AM70"/>
      <c r="AN70">
        <v>3.3939</v>
      </c>
      <c r="AO70"/>
      <c r="AP70">
        <v>3.6182</v>
      </c>
      <c r="AQ70"/>
      <c r="AR70">
        <v>3.6763</v>
      </c>
      <c r="AS70"/>
      <c r="AT70"/>
      <c r="AU70"/>
      <c r="AV70"/>
      <c r="AW70"/>
      <c r="AX70"/>
      <c r="AY70"/>
      <c r="AZ70"/>
      <c r="BA70"/>
    </row>
    <row r="71" spans="2:60" ht="12.75">
      <c r="B71" s="86" t="s">
        <v>224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 s="86">
        <v>187.76</v>
      </c>
      <c r="BD71" s="86">
        <v>201.93</v>
      </c>
      <c r="BF71" s="86">
        <v>188.7</v>
      </c>
      <c r="BH71" s="86">
        <v>188.78</v>
      </c>
    </row>
    <row r="72" spans="1:53" ht="12.75">
      <c r="A72" s="86" t="s">
        <v>255</v>
      </c>
      <c r="B72" s="86" t="s">
        <v>83</v>
      </c>
      <c r="D72" s="86" t="s">
        <v>278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>
        <v>5</v>
      </c>
      <c r="AE72" s="87"/>
      <c r="AF72" s="87">
        <v>5</v>
      </c>
      <c r="AG72" s="87"/>
      <c r="AH72" s="87">
        <v>5</v>
      </c>
      <c r="AI72" s="87"/>
      <c r="AJ72" s="87">
        <v>5</v>
      </c>
      <c r="AK72" s="87"/>
      <c r="AL72" s="87">
        <v>5</v>
      </c>
      <c r="AM72" s="87"/>
      <c r="AN72" s="87">
        <v>5</v>
      </c>
      <c r="AO72" s="87"/>
      <c r="AP72" s="87">
        <v>5</v>
      </c>
      <c r="AQ72" s="87"/>
      <c r="AR72" s="87">
        <v>5</v>
      </c>
      <c r="AS72" s="87"/>
      <c r="AT72" s="87"/>
      <c r="AU72" s="87"/>
      <c r="AV72" s="87"/>
      <c r="AW72" s="87"/>
      <c r="AX72" s="87"/>
      <c r="AY72" s="87"/>
      <c r="AZ72" s="87"/>
      <c r="BA72" s="87"/>
    </row>
    <row r="73" spans="1:53" ht="12.75">
      <c r="A73" s="86" t="s">
        <v>255</v>
      </c>
      <c r="B73" s="86" t="s">
        <v>262</v>
      </c>
      <c r="D73" s="86" t="s">
        <v>278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>
        <v>190</v>
      </c>
      <c r="AE73" s="87"/>
      <c r="AF73" s="87">
        <v>160</v>
      </c>
      <c r="AG73" s="87"/>
      <c r="AH73" s="87">
        <v>190</v>
      </c>
      <c r="AI73" s="87"/>
      <c r="AJ73" s="87">
        <v>190</v>
      </c>
      <c r="AK73" s="87"/>
      <c r="AL73" s="87">
        <v>1250</v>
      </c>
      <c r="AM73" s="87"/>
      <c r="AN73" s="87">
        <v>940</v>
      </c>
      <c r="AO73" s="87"/>
      <c r="AP73" s="87">
        <v>1150</v>
      </c>
      <c r="AQ73" s="87"/>
      <c r="AR73" s="87">
        <v>1300</v>
      </c>
      <c r="AS73" s="87"/>
      <c r="AT73" s="87"/>
      <c r="AU73" s="87"/>
      <c r="AV73" s="87"/>
      <c r="AW73" s="87"/>
      <c r="AX73" s="87"/>
      <c r="AY73" s="87"/>
      <c r="AZ73" s="87"/>
      <c r="BA73" s="87"/>
    </row>
    <row r="74" spans="1:53" ht="12.75">
      <c r="A74" s="86" t="s">
        <v>255</v>
      </c>
      <c r="B74" s="86" t="s">
        <v>279</v>
      </c>
      <c r="D74" s="86" t="s">
        <v>278</v>
      </c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>
        <v>75</v>
      </c>
      <c r="AE74" s="87"/>
      <c r="AF74" s="87">
        <v>49</v>
      </c>
      <c r="AG74" s="87"/>
      <c r="AH74" s="87">
        <v>49</v>
      </c>
      <c r="AI74" s="87"/>
      <c r="AJ74" s="87">
        <v>49</v>
      </c>
      <c r="AK74" s="87"/>
      <c r="AL74" s="87">
        <v>62</v>
      </c>
      <c r="AM74" s="87"/>
      <c r="AN74" s="87">
        <v>35</v>
      </c>
      <c r="AO74" s="87"/>
      <c r="AP74" s="87">
        <v>49</v>
      </c>
      <c r="AQ74" s="87"/>
      <c r="AR74" s="87">
        <v>35</v>
      </c>
      <c r="AS74" s="87"/>
      <c r="AT74" s="87"/>
      <c r="AU74" s="87"/>
      <c r="AV74" s="87"/>
      <c r="AW74" s="87"/>
      <c r="AX74" s="87"/>
      <c r="AY74" s="87"/>
      <c r="AZ74" s="87"/>
      <c r="BA74" s="87"/>
    </row>
    <row r="75" spans="1:53" ht="12.75">
      <c r="A75" s="86" t="s">
        <v>255</v>
      </c>
      <c r="B75" s="86" t="s">
        <v>82</v>
      </c>
      <c r="D75" s="86" t="s">
        <v>278</v>
      </c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>
        <v>280</v>
      </c>
      <c r="AE75" s="87"/>
      <c r="AF75" s="87">
        <v>200</v>
      </c>
      <c r="AG75" s="87"/>
      <c r="AH75" s="87">
        <v>240</v>
      </c>
      <c r="AI75" s="87"/>
      <c r="AJ75" s="87">
        <v>230</v>
      </c>
      <c r="AK75" s="87"/>
      <c r="AL75" s="87">
        <v>30</v>
      </c>
      <c r="AM75" s="87"/>
      <c r="AN75" s="87">
        <v>10</v>
      </c>
      <c r="AO75" s="87"/>
      <c r="AP75" s="87">
        <v>10</v>
      </c>
      <c r="AQ75" s="87"/>
      <c r="AR75" s="87">
        <v>10</v>
      </c>
      <c r="AS75" s="87"/>
      <c r="AT75" s="87"/>
      <c r="AU75" s="87"/>
      <c r="AV75" s="87"/>
      <c r="AW75" s="87"/>
      <c r="AX75" s="87"/>
      <c r="AY75" s="87"/>
      <c r="AZ75" s="87"/>
      <c r="BA75" s="87"/>
    </row>
    <row r="76" spans="1:53" ht="12.75">
      <c r="A76" s="86" t="s">
        <v>255</v>
      </c>
      <c r="B76" s="86" t="s">
        <v>84</v>
      </c>
      <c r="D76" s="86" t="s">
        <v>278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>
        <v>0.15</v>
      </c>
      <c r="AE76" s="87"/>
      <c r="AF76" s="87">
        <v>0.125</v>
      </c>
      <c r="AG76" s="87"/>
      <c r="AH76" s="87">
        <v>0.055</v>
      </c>
      <c r="AI76" s="87"/>
      <c r="AJ76" s="87">
        <v>0.25</v>
      </c>
      <c r="AK76" s="87"/>
      <c r="AL76" s="87">
        <v>0.175</v>
      </c>
      <c r="AM76" s="87"/>
      <c r="AN76" s="87">
        <v>0.125</v>
      </c>
      <c r="AO76" s="87"/>
      <c r="AP76" s="87">
        <v>0.15</v>
      </c>
      <c r="AQ76" s="87"/>
      <c r="AR76" s="87">
        <v>0.125</v>
      </c>
      <c r="AS76" s="87"/>
      <c r="AT76" s="87"/>
      <c r="AU76" s="87"/>
      <c r="AV76" s="87"/>
      <c r="AW76" s="87"/>
      <c r="AX76" s="87"/>
      <c r="AY76" s="87"/>
      <c r="AZ76" s="87"/>
      <c r="BA76" s="87"/>
    </row>
    <row r="77" spans="6:53" ht="12.75"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</row>
    <row r="78" spans="2:60" ht="12.75">
      <c r="B78" s="86" t="s">
        <v>83</v>
      </c>
      <c r="D78" s="86" t="s">
        <v>53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C78" s="86" t="s">
        <v>101</v>
      </c>
      <c r="BD78" s="86">
        <v>0.0143</v>
      </c>
      <c r="BE78" s="86" t="s">
        <v>101</v>
      </c>
      <c r="BF78" s="86">
        <v>0.0183</v>
      </c>
      <c r="BG78" s="86" t="s">
        <v>101</v>
      </c>
      <c r="BH78" s="86">
        <v>0.0189</v>
      </c>
    </row>
    <row r="79" spans="2:60" ht="12.75">
      <c r="B79" s="86" t="s">
        <v>262</v>
      </c>
      <c r="D79" s="86" t="s">
        <v>53</v>
      </c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D79" s="86">
        <v>1.28</v>
      </c>
      <c r="BF79" s="86">
        <v>2.59</v>
      </c>
      <c r="BH79" s="86">
        <v>3.06</v>
      </c>
    </row>
    <row r="80" spans="2:60" ht="12.75">
      <c r="B80" s="86" t="s">
        <v>82</v>
      </c>
      <c r="D80" s="86" t="s">
        <v>53</v>
      </c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D80" s="86">
        <v>0.37</v>
      </c>
      <c r="BF80" s="86">
        <v>0.43</v>
      </c>
      <c r="BH80" s="86">
        <v>0.4</v>
      </c>
    </row>
    <row r="81" spans="2:60" ht="12.75">
      <c r="B81" s="86" t="s">
        <v>84</v>
      </c>
      <c r="D81" s="86" t="s">
        <v>53</v>
      </c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D81" s="86">
        <v>0.00036</v>
      </c>
      <c r="BF81" s="86">
        <v>0.00039</v>
      </c>
      <c r="BH81" s="86">
        <v>0.00068</v>
      </c>
    </row>
    <row r="82" spans="6:53" ht="12.75"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</row>
    <row r="83" spans="2:62" ht="12.75">
      <c r="B83" s="86" t="s">
        <v>277</v>
      </c>
      <c r="D83" s="86" t="s">
        <v>17</v>
      </c>
      <c r="F83" s="86">
        <f>'emiss 2'!$G$106</f>
        <v>20336</v>
      </c>
      <c r="H83" s="86">
        <f>'emiss 2'!$I$106</f>
        <v>21378</v>
      </c>
      <c r="J83" s="86">
        <f>'emiss 2'!$K$106</f>
        <v>18678</v>
      </c>
      <c r="L83" s="86">
        <f>'emiss 2'!$M$106</f>
        <v>20820</v>
      </c>
      <c r="M83"/>
      <c r="N83" s="86">
        <f>'emiss 2'!$G$106</f>
        <v>20336</v>
      </c>
      <c r="P83" s="86">
        <f>'emiss 2'!$I$106</f>
        <v>21378</v>
      </c>
      <c r="R83" s="86">
        <f>'emiss 2'!$K$106</f>
        <v>18678</v>
      </c>
      <c r="T83" s="86">
        <f>'emiss 2'!$M$106</f>
        <v>20820</v>
      </c>
      <c r="U83"/>
      <c r="V83" s="86">
        <f>'emiss 2'!$G$106</f>
        <v>20336</v>
      </c>
      <c r="X83" s="86">
        <f>'emiss 2'!$I$106</f>
        <v>21378</v>
      </c>
      <c r="Z83" s="86">
        <f>'emiss 2'!$K$106</f>
        <v>18678</v>
      </c>
      <c r="AB83" s="86">
        <f>'emiss 2'!$M$106</f>
        <v>20820</v>
      </c>
      <c r="AC83"/>
      <c r="AD83" s="86">
        <f>'emiss 2'!$G$106</f>
        <v>20336</v>
      </c>
      <c r="AF83" s="86">
        <f>'emiss 2'!$I$106</f>
        <v>21378</v>
      </c>
      <c r="AH83" s="86">
        <f>'emiss 2'!$K$106</f>
        <v>18678</v>
      </c>
      <c r="AJ83" s="86">
        <f>'emiss 2'!$M$106</f>
        <v>20820</v>
      </c>
      <c r="AK83"/>
      <c r="AL83" s="86">
        <f>'emiss 2'!$G$106</f>
        <v>20336</v>
      </c>
      <c r="AN83" s="86">
        <f>'emiss 2'!$I$106</f>
        <v>21378</v>
      </c>
      <c r="AP83" s="86">
        <f>'emiss 2'!$K$106</f>
        <v>18678</v>
      </c>
      <c r="AR83" s="86">
        <f>'emiss 2'!$M$106</f>
        <v>20820</v>
      </c>
      <c r="AS83"/>
      <c r="AT83"/>
      <c r="AU83"/>
      <c r="AV83"/>
      <c r="AW83"/>
      <c r="AX83"/>
      <c r="AY83"/>
      <c r="AZ83"/>
      <c r="BA83"/>
      <c r="BB83" s="86">
        <f>'emiss 2'!$G$106</f>
        <v>20336</v>
      </c>
      <c r="BD83" s="86">
        <f>'emiss 2'!$I$106</f>
        <v>21378</v>
      </c>
      <c r="BF83" s="86">
        <f>'emiss 2'!$K$106</f>
        <v>18678</v>
      </c>
      <c r="BH83" s="86">
        <f>'emiss 2'!$M$106</f>
        <v>20820</v>
      </c>
      <c r="BJ83" s="86">
        <f>AVERAGE(BB83,BD83,BF83,BH83)</f>
        <v>20303</v>
      </c>
    </row>
    <row r="84" spans="2:62" ht="12.75">
      <c r="B84" s="86" t="s">
        <v>226</v>
      </c>
      <c r="D84" s="86" t="s">
        <v>18</v>
      </c>
      <c r="F84" s="86">
        <f>'emiss 2'!$G$107</f>
        <v>9.85</v>
      </c>
      <c r="H84" s="86">
        <f>'emiss 2'!$I$107</f>
        <v>9.67</v>
      </c>
      <c r="J84" s="86">
        <f>'emiss 2'!$K$107</f>
        <v>10.05</v>
      </c>
      <c r="L84" s="86">
        <f>'emiss 2'!$M$107</f>
        <v>9.95</v>
      </c>
      <c r="M84"/>
      <c r="N84" s="86">
        <f>'emiss 2'!$G$107</f>
        <v>9.85</v>
      </c>
      <c r="P84" s="86">
        <f>'emiss 2'!$I$107</f>
        <v>9.67</v>
      </c>
      <c r="R84" s="86">
        <f>'emiss 2'!$K$107</f>
        <v>10.05</v>
      </c>
      <c r="T84" s="86">
        <f>'emiss 2'!$M$107</f>
        <v>9.95</v>
      </c>
      <c r="U84"/>
      <c r="V84" s="86">
        <f>'emiss 2'!$G$107</f>
        <v>9.85</v>
      </c>
      <c r="X84" s="86">
        <f>'emiss 2'!$I$107</f>
        <v>9.67</v>
      </c>
      <c r="Z84" s="86">
        <f>'emiss 2'!$K$107</f>
        <v>10.05</v>
      </c>
      <c r="AB84" s="86">
        <f>'emiss 2'!$M$107</f>
        <v>9.95</v>
      </c>
      <c r="AC84"/>
      <c r="AD84" s="86">
        <f>'emiss 2'!$G$107</f>
        <v>9.85</v>
      </c>
      <c r="AF84" s="86">
        <f>'emiss 2'!$I$107</f>
        <v>9.67</v>
      </c>
      <c r="AH84" s="86">
        <f>'emiss 2'!$K$107</f>
        <v>10.05</v>
      </c>
      <c r="AJ84" s="86">
        <f>'emiss 2'!$M$107</f>
        <v>9.95</v>
      </c>
      <c r="AK84"/>
      <c r="AL84" s="86">
        <f>'emiss 2'!$G$107</f>
        <v>9.85</v>
      </c>
      <c r="AN84" s="86">
        <f>'emiss 2'!$I$107</f>
        <v>9.67</v>
      </c>
      <c r="AP84" s="86">
        <f>'emiss 2'!$K$107</f>
        <v>10.05</v>
      </c>
      <c r="AR84" s="86">
        <f>'emiss 2'!$M$107</f>
        <v>9.95</v>
      </c>
      <c r="AS84"/>
      <c r="AT84"/>
      <c r="AU84"/>
      <c r="AV84"/>
      <c r="AW84"/>
      <c r="AX84"/>
      <c r="AY84"/>
      <c r="AZ84"/>
      <c r="BA84"/>
      <c r="BB84" s="86">
        <f>'emiss 2'!$G$107</f>
        <v>9.85</v>
      </c>
      <c r="BD84" s="86">
        <f>'emiss 2'!$I$107</f>
        <v>9.67</v>
      </c>
      <c r="BF84" s="86">
        <f>'emiss 2'!$K$107</f>
        <v>10.05</v>
      </c>
      <c r="BH84" s="86">
        <f>'emiss 2'!$M$107</f>
        <v>9.95</v>
      </c>
      <c r="BJ84" s="86">
        <f>AVERAGE(BB84,BD84,BF84,BH84)</f>
        <v>9.879999999999999</v>
      </c>
    </row>
    <row r="85" spans="13:53" ht="12.75">
      <c r="M85"/>
      <c r="U85"/>
      <c r="AC85"/>
      <c r="AK85"/>
      <c r="AS85"/>
      <c r="AT85"/>
      <c r="AU85"/>
      <c r="AV85"/>
      <c r="AW85"/>
      <c r="AX85"/>
      <c r="AY85"/>
      <c r="AZ85"/>
      <c r="BA85"/>
    </row>
    <row r="86" spans="2:53" ht="12.75">
      <c r="B86" s="5" t="s">
        <v>321</v>
      </c>
      <c r="C86" s="5"/>
      <c r="D86" s="5" t="s">
        <v>152</v>
      </c>
      <c r="M86"/>
      <c r="U86"/>
      <c r="AC86"/>
      <c r="AK86"/>
      <c r="AS86"/>
      <c r="AT86"/>
      <c r="AU86"/>
      <c r="AV86"/>
      <c r="AW86"/>
      <c r="AX86"/>
      <c r="AY86"/>
      <c r="AZ86"/>
      <c r="BA86"/>
    </row>
    <row r="87" spans="2:62" ht="12.75">
      <c r="B87" s="5" t="s">
        <v>340</v>
      </c>
      <c r="C87" s="5"/>
      <c r="D87" s="5" t="s">
        <v>152</v>
      </c>
      <c r="M87"/>
      <c r="U87"/>
      <c r="AC87"/>
      <c r="AK87"/>
      <c r="AS87"/>
      <c r="AT87"/>
      <c r="AU87"/>
      <c r="AV87"/>
      <c r="AW87"/>
      <c r="AX87"/>
      <c r="AY87"/>
      <c r="AZ87"/>
      <c r="BA87"/>
      <c r="BB87" s="54">
        <f>BB83/9000*60*(21-BB84)/21</f>
        <v>71.98298412698412</v>
      </c>
      <c r="BD87" s="54">
        <f>BD83/9000*60*(21-BD84)/21</f>
        <v>76.89293333333333</v>
      </c>
      <c r="BF87" s="54">
        <f>BF83/9000*60*(21-BF84)/21</f>
        <v>64.9282857142857</v>
      </c>
      <c r="BH87" s="54">
        <f>BH83/9000*60*(21-BH84)/21</f>
        <v>73.0352380952381</v>
      </c>
      <c r="BJ87" s="54">
        <f>BJ83/9000*60*(21-BJ84)/21</f>
        <v>71.6728126984127</v>
      </c>
    </row>
    <row r="88" spans="13:53" ht="12.75">
      <c r="M88"/>
      <c r="U88"/>
      <c r="AC88"/>
      <c r="AK88"/>
      <c r="AS88"/>
      <c r="AT88"/>
      <c r="AU88"/>
      <c r="AV88"/>
      <c r="AW88"/>
      <c r="AX88"/>
      <c r="AY88"/>
      <c r="AZ88"/>
      <c r="BA88"/>
    </row>
    <row r="89" spans="2:3" ht="12.75">
      <c r="B89" s="99" t="s">
        <v>335</v>
      </c>
      <c r="C89" s="99"/>
    </row>
    <row r="90" spans="2:70" ht="12.75">
      <c r="B90" s="86" t="s">
        <v>49</v>
      </c>
      <c r="D90" s="86" t="s">
        <v>64</v>
      </c>
      <c r="F90" s="101">
        <f>F70/100*F68*454/60/0.0283/F83*(21-7)/(21-F84)*1000</f>
        <v>0.014195599920688053</v>
      </c>
      <c r="G90" s="101"/>
      <c r="H90" s="101">
        <f>H70/100*H68*454/60/0.0283/H83*(21-7)/(21-H84)*1000</f>
        <v>0.36852931894942526</v>
      </c>
      <c r="I90" s="101"/>
      <c r="J90" s="101">
        <f>J70/100*J68*454/60/0.0283/J83*(21-7)/(21-J84)*1000</f>
        <v>0.4492880873017561</v>
      </c>
      <c r="K90" s="101"/>
      <c r="L90" s="101">
        <f>L70/100*L68*454/60/0.0283/L83*(21-7)/(21-L84)*1000</f>
        <v>0.19243547682230167</v>
      </c>
      <c r="N90" s="86">
        <f>N70/100*N68*454/60/0.0283/N83*(21-7)/(21-N84)*1000</f>
        <v>3226.85608943891</v>
      </c>
      <c r="P90" s="86">
        <f>P70/100*P68*454/60/0.0283/P83*(21-7)/(21-P84)*1000</f>
        <v>3241.450837265034</v>
      </c>
      <c r="R90" s="86">
        <f>R70/100*R68*454/60/0.0283/R83*(21-7)/(21-R84)*1000</f>
        <v>3516.625144702249</v>
      </c>
      <c r="T90" s="86">
        <f>T70/100*T68*454/60/0.0283/T83*(21-7)/(21-T84)*1000</f>
        <v>3138.315308140045</v>
      </c>
      <c r="V90" s="88">
        <f>V70/100*V68*454/60/0.0283/V83*(21-7)/(21-V84)*1000</f>
        <v>6.3017799201351</v>
      </c>
      <c r="W90" s="88"/>
      <c r="X90" s="88">
        <f>X70/100*X68*454/60/0.0283/X83*(21-7)/(21-X84)*1000</f>
        <v>5.319724057162841</v>
      </c>
      <c r="Y90" s="88"/>
      <c r="Z90" s="88">
        <f>Z70/100*Z68*454/60/0.0283/Z83*(21-7)/(21-Z84)*1000</f>
        <v>6.6871895132434735</v>
      </c>
      <c r="AA90" s="88"/>
      <c r="AB90" s="88">
        <f>AB70/100*AB68*454/60/0.0283/AB83*(21-7)/(21-AB84)*1000</f>
        <v>5.851846482933863</v>
      </c>
      <c r="AC90" s="88"/>
      <c r="AD90" s="88">
        <f>AD70/100*AD68*454/60/0.0283/AD83*(21-7)/(21-AD84)*1000</f>
        <v>641.1108259872686</v>
      </c>
      <c r="AE90" s="88"/>
      <c r="AF90" s="88">
        <f>AF70/100*AF68*454/60/0.0283/AF83*(21-7)/(21-AF84)*1000</f>
        <v>482.0219210553057</v>
      </c>
      <c r="AG90" s="88"/>
      <c r="AH90" s="88">
        <f>AH70/100*AH68*454/60/0.0283/AH83*(21-7)/(21-AH84)*1000</f>
        <v>654.0246682048855</v>
      </c>
      <c r="AI90" s="88"/>
      <c r="AJ90" s="88">
        <f>AJ70/100*AJ68*454/60/0.0283/AJ83*(21-7)/(21-AJ84)*1000</f>
        <v>586.6724306933314</v>
      </c>
      <c r="AK90" s="88"/>
      <c r="AL90" s="88">
        <f>AL70/100*AL68*454/60/0.0283/AL83*(21-7)/(21-AL84)*1000</f>
        <v>575.7099720216064</v>
      </c>
      <c r="AM90" s="88"/>
      <c r="AN90" s="88">
        <f>AN70/100*AN68*454/60/0.0283/AN83*(21-7)/(21-AN84)*1000</f>
        <v>553.2461278467074</v>
      </c>
      <c r="AO90" s="88"/>
      <c r="AP90" s="88">
        <f>AP70/100*AP68*454/60/0.0283/AP83*(21-7)/(21-AP84)*1000</f>
        <v>1305.34398462431</v>
      </c>
      <c r="AQ90" s="88"/>
      <c r="AR90" s="88">
        <f>AR70/100*AR68*454/60/0.0283/AR83*(21-7)/(21-AR84)*1000</f>
        <v>1262.5867551888953</v>
      </c>
      <c r="BB90" s="88">
        <f>SUM(V90,N90,F90,AL90,AF83)</f>
        <v>25186.882036980573</v>
      </c>
      <c r="BD90" s="100">
        <f>SUM(X90,P90,H90,AN90,AH83)</f>
        <v>22478.385218487856</v>
      </c>
      <c r="BF90" s="100">
        <f>SUM(Z90,R90,J90,AP90,AJ83)</f>
        <v>25649.105606927104</v>
      </c>
      <c r="BH90" s="100">
        <f>SUM(AB90,T90,L90)</f>
        <v>3144.359590099801</v>
      </c>
      <c r="BJ90" s="100">
        <f>AVERAGE(BH90,BF90,BD90,BB90)</f>
        <v>19114.683113123832</v>
      </c>
      <c r="BL90" s="88">
        <f>F90+N90+V90+AD90+AL90+AT90</f>
        <v>4449.992862967841</v>
      </c>
      <c r="BN90" s="88">
        <f>H90+P90+X90+AF90+AN90+AV90</f>
        <v>4282.407139543159</v>
      </c>
      <c r="BP90" s="88">
        <f>J90+R90+Z90+AH90+AP90+AX90</f>
        <v>5483.13027513199</v>
      </c>
      <c r="BR90" s="88">
        <f>L90+T90+AB90+AJ90+AR90+AZ90</f>
        <v>4993.618775982028</v>
      </c>
    </row>
    <row r="91" spans="2:70" ht="12.75">
      <c r="B91" s="86" t="s">
        <v>224</v>
      </c>
      <c r="D91" s="86" t="s">
        <v>58</v>
      </c>
      <c r="BB91" s="86">
        <f>BB71*454/60/0.0283/BB$83*(21-7)/(21-BB$84)*1000000</f>
        <v>3099623.027222222</v>
      </c>
      <c r="BD91" s="100">
        <f>BD71*454/60/0.0283/BD$83*(21-7)/(21-BD$84)*1000000</f>
        <v>3120685.94737392</v>
      </c>
      <c r="BF91" s="100">
        <f>BF71*454/60/0.0283/BF$83*(21-7)/(21-BF$84)*1000000</f>
        <v>3453612.5398739367</v>
      </c>
      <c r="BH91" s="100">
        <f>BH71*454/60/0.0283/BH$83*(21-7)/(21-BH$84)*1000000</f>
        <v>3071561.2583294534</v>
      </c>
      <c r="BJ91" s="100">
        <f>AVERAGE(BH91,BF91,BD91,BB91)</f>
        <v>3186370.6931998827</v>
      </c>
      <c r="BL91" s="88"/>
      <c r="BN91" s="88"/>
      <c r="BP91" s="88"/>
      <c r="BR91" s="88"/>
    </row>
    <row r="92" spans="2:70" ht="12.75">
      <c r="B92" s="86" t="s">
        <v>83</v>
      </c>
      <c r="D92" s="86" t="s">
        <v>58</v>
      </c>
      <c r="BC92" s="86">
        <v>100</v>
      </c>
      <c r="BD92" s="100">
        <f>BD78*454/60/0.0283/BD$83*(21-7)/(21-BD$84)*1000000</f>
        <v>220.99642969071982</v>
      </c>
      <c r="BE92" s="86">
        <v>100</v>
      </c>
      <c r="BF92" s="100">
        <f>BF78*454/60/0.0283/BF$83*(21-7)/(21-BF$84)*1000000</f>
        <v>334.92903804818786</v>
      </c>
      <c r="BG92" s="86">
        <v>100</v>
      </c>
      <c r="BH92" s="100">
        <f>BH78*454/60/0.0283/BH$83*(21-7)/(21-BH$84)*1000000</f>
        <v>307.5140787288201</v>
      </c>
      <c r="BI92" s="86">
        <v>100</v>
      </c>
      <c r="BJ92" s="100">
        <f>AVERAGE(BH92,BF92,BD92)</f>
        <v>287.81318215590926</v>
      </c>
      <c r="BL92" s="88"/>
      <c r="BN92" s="88"/>
      <c r="BP92" s="88"/>
      <c r="BR92" s="88"/>
    </row>
    <row r="93" spans="2:70" ht="12.75">
      <c r="B93" s="86" t="s">
        <v>262</v>
      </c>
      <c r="D93" s="86" t="s">
        <v>58</v>
      </c>
      <c r="BD93" s="100">
        <f aca="true" t="shared" si="2" ref="BD93:BF95">BD79*454/60/0.0283/BD$83*(21-7)/(21-BD$84)*1000000</f>
        <v>19781.498601686806</v>
      </c>
      <c r="BF93" s="100">
        <f t="shared" si="2"/>
        <v>47402.525057093255</v>
      </c>
      <c r="BH93" s="100">
        <f>BH79*454/60/0.0283/BH$83*(21-7)/(21-BH$84)*1000000</f>
        <v>49787.99369895184</v>
      </c>
      <c r="BJ93" s="100">
        <f>AVERAGE(BH93,BF93,BD93)</f>
        <v>38990.672452577295</v>
      </c>
      <c r="BL93" s="88"/>
      <c r="BN93" s="88"/>
      <c r="BP93" s="88"/>
      <c r="BR93" s="88"/>
    </row>
    <row r="94" spans="2:70" ht="12.75">
      <c r="B94" s="86" t="s">
        <v>82</v>
      </c>
      <c r="D94" s="86" t="s">
        <v>58</v>
      </c>
      <c r="BD94" s="100">
        <f t="shared" si="2"/>
        <v>5718.089439550092</v>
      </c>
      <c r="BF94" s="100">
        <f t="shared" si="2"/>
        <v>7869.917287471082</v>
      </c>
      <c r="BH94" s="100">
        <f>BH80*454/60/0.0283/BH$83*(21-7)/(21-BH$84)*1000000</f>
        <v>6508.234470451221</v>
      </c>
      <c r="BJ94" s="100">
        <f>AVERAGE(BH94,BF94,BD94)</f>
        <v>6698.747065824132</v>
      </c>
      <c r="BL94" s="88"/>
      <c r="BN94" s="88"/>
      <c r="BP94" s="88"/>
      <c r="BR94" s="88"/>
    </row>
    <row r="95" spans="2:70" ht="12.75">
      <c r="B95" s="86" t="s">
        <v>84</v>
      </c>
      <c r="D95" s="86" t="s">
        <v>58</v>
      </c>
      <c r="BD95" s="100">
        <f t="shared" si="2"/>
        <v>5.563546481724414</v>
      </c>
      <c r="BF95" s="100">
        <f t="shared" si="2"/>
        <v>7.137831958404005</v>
      </c>
      <c r="BH95" s="100">
        <f>BH81*454/60/0.0283/BH$83*(21-7)/(21-BH$84)*1000000</f>
        <v>11.063998599767075</v>
      </c>
      <c r="BJ95" s="100">
        <f>AVERAGE(BH95,BF95,BD95)</f>
        <v>7.9217923466318325</v>
      </c>
      <c r="BL95" s="88"/>
      <c r="BN95" s="88"/>
      <c r="BP95" s="88"/>
      <c r="BR95" s="88"/>
    </row>
    <row r="96" spans="56:62" ht="12.75">
      <c r="BD96" s="100"/>
      <c r="BF96" s="100"/>
      <c r="BH96" s="100"/>
      <c r="BJ96" s="100"/>
    </row>
    <row r="97" spans="2:72" ht="12.75">
      <c r="B97" s="86" t="s">
        <v>59</v>
      </c>
      <c r="D97" s="86" t="s">
        <v>58</v>
      </c>
      <c r="BD97" s="100">
        <f>BD94</f>
        <v>5718.089439550092</v>
      </c>
      <c r="BF97" s="100">
        <f>BF94</f>
        <v>7869.917287471082</v>
      </c>
      <c r="BH97" s="100">
        <f>BH94</f>
        <v>6508.234470451221</v>
      </c>
      <c r="BJ97" s="100">
        <f>AVERAGE(BD97,BF97,BH97)</f>
        <v>6698.747065824132</v>
      </c>
      <c r="BL97" s="88"/>
      <c r="BN97" s="88"/>
      <c r="BP97" s="88"/>
      <c r="BR97" s="88"/>
      <c r="BT97" s="86" t="s">
        <v>339</v>
      </c>
    </row>
    <row r="98" spans="2:72" ht="12.75">
      <c r="B98" s="86" t="s">
        <v>60</v>
      </c>
      <c r="D98" s="86" t="s">
        <v>58</v>
      </c>
      <c r="BC98" s="86">
        <f>BD92*BC92/100/BD98*100</f>
        <v>1.1048443173916405</v>
      </c>
      <c r="BD98" s="100">
        <f>BD93+BD92</f>
        <v>20002.495031377526</v>
      </c>
      <c r="BE98" s="86">
        <f>BF92*BE92/100/BF98*100</f>
        <v>0.7040763326472116</v>
      </c>
      <c r="BF98" s="100">
        <f>BF93+BF92/2</f>
        <v>47569.98957611735</v>
      </c>
      <c r="BG98" s="86">
        <f>BH92*BG92/100/BH98*100</f>
        <v>0.6138555977784272</v>
      </c>
      <c r="BH98" s="100">
        <f>BH93+BH92</f>
        <v>50095.50777768066</v>
      </c>
      <c r="BI98" s="86">
        <f>BJ92*BI92/100/BJ98*100</f>
        <v>0.7337930468307273</v>
      </c>
      <c r="BJ98" s="100">
        <f>AVERAGE(BD98,BF98,BH98)</f>
        <v>39222.66412839184</v>
      </c>
      <c r="BL98" s="88"/>
      <c r="BN98" s="88"/>
      <c r="BP98" s="88"/>
      <c r="BR98" s="88"/>
      <c r="BT98" s="86" t="s">
        <v>337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B1">
      <selection activeCell="C16" sqref="C16"/>
    </sheetView>
  </sheetViews>
  <sheetFormatPr defaultColWidth="9.140625" defaultRowHeight="12.75"/>
  <cols>
    <col min="1" max="1" width="3.8515625" style="0" hidden="1" customWidth="1"/>
    <col min="2" max="2" width="28.421875" style="0" customWidth="1"/>
    <col min="3" max="3" width="8.421875" style="0" customWidth="1"/>
    <col min="4" max="4" width="3.57421875" style="0" hidden="1" customWidth="1"/>
    <col min="5" max="5" width="9.00390625" style="0" bestFit="1" customWidth="1"/>
    <col min="6" max="6" width="7.00390625" style="0" bestFit="1" customWidth="1"/>
    <col min="7" max="9" width="9.00390625" style="0" bestFit="1" customWidth="1"/>
    <col min="10" max="10" width="7.00390625" style="0" bestFit="1" customWidth="1"/>
    <col min="11" max="13" width="9.00390625" style="0" bestFit="1" customWidth="1"/>
    <col min="14" max="14" width="7.00390625" style="0" bestFit="1" customWidth="1"/>
    <col min="15" max="16" width="9.00390625" style="0" bestFit="1" customWidth="1"/>
    <col min="17" max="17" width="8.00390625" style="0" customWidth="1"/>
    <col min="18" max="18" width="6.7109375" style="0" customWidth="1"/>
    <col min="19" max="19" width="9.00390625" style="0" bestFit="1" customWidth="1"/>
    <col min="20" max="20" width="9.00390625" style="0" customWidth="1"/>
  </cols>
  <sheetData>
    <row r="1" spans="2:6" ht="12.75">
      <c r="B1" s="3" t="s">
        <v>69</v>
      </c>
      <c r="C1" s="10"/>
      <c r="D1" s="10"/>
      <c r="E1" s="10"/>
      <c r="F1" s="10"/>
    </row>
    <row r="2" spans="2:6" ht="12.75">
      <c r="B2" s="10"/>
      <c r="C2" s="10"/>
      <c r="D2" s="10"/>
      <c r="E2" s="10"/>
      <c r="F2" s="10"/>
    </row>
    <row r="3" spans="1:20" ht="12.75">
      <c r="A3" t="s">
        <v>89</v>
      </c>
      <c r="B3" s="3" t="s">
        <v>222</v>
      </c>
      <c r="C3" s="10"/>
      <c r="D3" s="10"/>
      <c r="E3" s="102" t="s">
        <v>54</v>
      </c>
      <c r="F3" s="102"/>
      <c r="G3" s="103"/>
      <c r="H3" s="103"/>
      <c r="I3" s="102" t="s">
        <v>117</v>
      </c>
      <c r="J3" s="102"/>
      <c r="K3" s="103"/>
      <c r="L3" s="103"/>
      <c r="M3" s="102" t="s">
        <v>55</v>
      </c>
      <c r="N3" s="102"/>
      <c r="O3" s="103"/>
      <c r="P3" s="103"/>
      <c r="Q3" s="102" t="s">
        <v>203</v>
      </c>
      <c r="R3" s="102"/>
      <c r="S3" s="103"/>
      <c r="T3" s="103"/>
    </row>
    <row r="4" spans="2:20" ht="12.75">
      <c r="B4" s="10"/>
      <c r="C4" s="10"/>
      <c r="D4" s="10"/>
      <c r="E4" t="s">
        <v>122</v>
      </c>
      <c r="F4" s="10" t="s">
        <v>200</v>
      </c>
      <c r="G4" t="s">
        <v>201</v>
      </c>
      <c r="H4" t="s">
        <v>202</v>
      </c>
      <c r="I4" t="s">
        <v>122</v>
      </c>
      <c r="J4" s="10" t="s">
        <v>200</v>
      </c>
      <c r="K4" t="s">
        <v>201</v>
      </c>
      <c r="L4" t="s">
        <v>202</v>
      </c>
      <c r="M4" t="s">
        <v>122</v>
      </c>
      <c r="N4" s="10" t="s">
        <v>200</v>
      </c>
      <c r="O4" t="s">
        <v>201</v>
      </c>
      <c r="P4" t="s">
        <v>202</v>
      </c>
      <c r="Q4" t="s">
        <v>122</v>
      </c>
      <c r="R4" s="10" t="s">
        <v>200</v>
      </c>
      <c r="S4" t="s">
        <v>201</v>
      </c>
      <c r="T4" t="s">
        <v>202</v>
      </c>
    </row>
    <row r="5" spans="2:20" ht="14.25">
      <c r="B5" s="10" t="s">
        <v>154</v>
      </c>
      <c r="C5" s="4" t="s">
        <v>56</v>
      </c>
      <c r="D5" s="4"/>
      <c r="E5">
        <v>1644.09</v>
      </c>
      <c r="F5" s="10">
        <v>35.18</v>
      </c>
      <c r="G5">
        <v>1781.12</v>
      </c>
      <c r="H5">
        <v>1617.64</v>
      </c>
      <c r="I5">
        <v>1649.91</v>
      </c>
      <c r="J5">
        <v>42.96</v>
      </c>
      <c r="K5">
        <v>1762.11</v>
      </c>
      <c r="L5">
        <v>1573.68</v>
      </c>
      <c r="M5">
        <v>1648.98</v>
      </c>
      <c r="N5">
        <v>37.43</v>
      </c>
      <c r="O5">
        <v>1764.71</v>
      </c>
      <c r="P5">
        <v>1567.4</v>
      </c>
      <c r="Q5">
        <f>AVERAGE(E5,I5,M5)</f>
        <v>1647.6599999999999</v>
      </c>
      <c r="R5">
        <f>AVERAGE(F5,J5,N5)</f>
        <v>38.52333333333333</v>
      </c>
      <c r="S5">
        <f>MAX(G5,K5,O5)</f>
        <v>1781.12</v>
      </c>
      <c r="T5">
        <f>MIN(H5,L5,P5)</f>
        <v>1567.4</v>
      </c>
    </row>
    <row r="6" spans="2:20" ht="14.25">
      <c r="B6" s="10" t="s">
        <v>155</v>
      </c>
      <c r="C6" s="4" t="s">
        <v>56</v>
      </c>
      <c r="D6" s="4"/>
      <c r="E6">
        <v>1438.77</v>
      </c>
      <c r="F6" s="10">
        <v>49.76</v>
      </c>
      <c r="G6">
        <v>1644.68</v>
      </c>
      <c r="H6">
        <v>1378.53</v>
      </c>
      <c r="I6">
        <v>1443.12</v>
      </c>
      <c r="J6">
        <v>50.61</v>
      </c>
      <c r="K6">
        <v>1598</v>
      </c>
      <c r="L6">
        <v>1357.34</v>
      </c>
      <c r="M6">
        <v>1456.61</v>
      </c>
      <c r="N6">
        <v>49.18</v>
      </c>
      <c r="O6">
        <v>1575.65</v>
      </c>
      <c r="P6">
        <v>1364.68</v>
      </c>
      <c r="Q6">
        <f aca="true" t="shared" si="0" ref="Q6:Q41">AVERAGE(E6,I6,M6)</f>
        <v>1446.1666666666667</v>
      </c>
      <c r="R6">
        <f aca="true" t="shared" si="1" ref="R6:R40">AVERAGE(F6,J6,N6)</f>
        <v>49.85</v>
      </c>
      <c r="S6">
        <f aca="true" t="shared" si="2" ref="S6:S41">MAX(G6,K6,O6)</f>
        <v>1644.68</v>
      </c>
      <c r="T6">
        <f aca="true" t="shared" si="3" ref="T6:T41">MIN(H6,L6,P6)</f>
        <v>1357.34</v>
      </c>
    </row>
    <row r="7" spans="2:20" s="10" customFormat="1" ht="14.25">
      <c r="B7" s="10" t="s">
        <v>156</v>
      </c>
      <c r="C7" s="4" t="s">
        <v>56</v>
      </c>
      <c r="E7">
        <v>1383.09</v>
      </c>
      <c r="F7" s="10">
        <v>31.07</v>
      </c>
      <c r="G7" s="10">
        <v>1490.75</v>
      </c>
      <c r="H7" s="10">
        <v>1335.46</v>
      </c>
      <c r="I7" s="10">
        <v>1384.95</v>
      </c>
      <c r="J7" s="10">
        <v>32.14</v>
      </c>
      <c r="K7" s="10">
        <v>1452.44</v>
      </c>
      <c r="L7" s="10">
        <v>1330.91</v>
      </c>
      <c r="M7" s="10">
        <v>1396.45</v>
      </c>
      <c r="N7" s="10">
        <v>33.47</v>
      </c>
      <c r="O7" s="10">
        <v>1478.74</v>
      </c>
      <c r="P7" s="10">
        <v>1347.7</v>
      </c>
      <c r="Q7">
        <f t="shared" si="0"/>
        <v>1388.1633333333332</v>
      </c>
      <c r="R7">
        <f t="shared" si="1"/>
        <v>32.22666666666667</v>
      </c>
      <c r="S7">
        <f t="shared" si="2"/>
        <v>1490.75</v>
      </c>
      <c r="T7">
        <f t="shared" si="3"/>
        <v>1330.91</v>
      </c>
    </row>
    <row r="8" spans="2:20" s="10" customFormat="1" ht="14.25">
      <c r="B8" s="10" t="s">
        <v>157</v>
      </c>
      <c r="C8" s="4" t="s">
        <v>56</v>
      </c>
      <c r="E8">
        <v>523.05</v>
      </c>
      <c r="F8" s="10">
        <v>4.43</v>
      </c>
      <c r="G8" s="10">
        <v>535.26</v>
      </c>
      <c r="H8" s="15">
        <v>516.77</v>
      </c>
      <c r="I8" s="15">
        <v>527.61</v>
      </c>
      <c r="J8" s="15">
        <v>4.21</v>
      </c>
      <c r="K8" s="15">
        <v>539.34</v>
      </c>
      <c r="L8" s="15">
        <v>520.22</v>
      </c>
      <c r="M8" s="15">
        <v>525.05</v>
      </c>
      <c r="N8" s="15">
        <v>3.58</v>
      </c>
      <c r="O8" s="15">
        <v>532.45</v>
      </c>
      <c r="P8" s="15">
        <v>518.4</v>
      </c>
      <c r="Q8">
        <f t="shared" si="0"/>
        <v>525.2366666666666</v>
      </c>
      <c r="R8">
        <f t="shared" si="1"/>
        <v>4.073333333333333</v>
      </c>
      <c r="S8">
        <f t="shared" si="2"/>
        <v>539.34</v>
      </c>
      <c r="T8">
        <f t="shared" si="3"/>
        <v>516.77</v>
      </c>
    </row>
    <row r="9" spans="2:20" s="10" customFormat="1" ht="12.75">
      <c r="B9" s="10" t="s">
        <v>158</v>
      </c>
      <c r="C9" s="10" t="s">
        <v>159</v>
      </c>
      <c r="E9">
        <v>6823.8</v>
      </c>
      <c r="F9" s="10">
        <v>16.21</v>
      </c>
      <c r="G9" s="10">
        <v>6853.96</v>
      </c>
      <c r="H9" s="15">
        <v>6780.4</v>
      </c>
      <c r="I9" s="15">
        <v>6848.64</v>
      </c>
      <c r="J9" s="15">
        <v>10.1</v>
      </c>
      <c r="K9" s="15">
        <v>6871.86</v>
      </c>
      <c r="L9" s="15">
        <v>6818.86</v>
      </c>
      <c r="M9" s="15">
        <v>6826.52</v>
      </c>
      <c r="N9" s="15">
        <v>15.7</v>
      </c>
      <c r="O9" s="15">
        <v>6864.03</v>
      </c>
      <c r="P9" s="15">
        <v>6796.03</v>
      </c>
      <c r="Q9">
        <f t="shared" si="0"/>
        <v>6832.986666666667</v>
      </c>
      <c r="R9">
        <f t="shared" si="1"/>
        <v>14.003333333333336</v>
      </c>
      <c r="S9">
        <f t="shared" si="2"/>
        <v>6871.86</v>
      </c>
      <c r="T9">
        <f t="shared" si="3"/>
        <v>6780.4</v>
      </c>
    </row>
    <row r="10" spans="2:20" ht="12.75">
      <c r="B10" t="s">
        <v>160</v>
      </c>
      <c r="C10" t="s">
        <v>159</v>
      </c>
      <c r="E10">
        <v>2965</v>
      </c>
      <c r="G10" s="10">
        <v>3267</v>
      </c>
      <c r="H10" s="15">
        <v>2523</v>
      </c>
      <c r="I10" s="15">
        <v>3203</v>
      </c>
      <c r="K10" s="15">
        <v>3215</v>
      </c>
      <c r="L10" s="15">
        <v>3195</v>
      </c>
      <c r="M10" s="15">
        <v>3084</v>
      </c>
      <c r="O10" s="15">
        <v>3107</v>
      </c>
      <c r="P10" s="15">
        <v>3048</v>
      </c>
      <c r="Q10">
        <f t="shared" si="0"/>
        <v>3084</v>
      </c>
      <c r="S10">
        <f t="shared" si="2"/>
        <v>3267</v>
      </c>
      <c r="T10">
        <f t="shared" si="3"/>
        <v>2523</v>
      </c>
    </row>
    <row r="11" spans="2:20" ht="12.75">
      <c r="B11" t="s">
        <v>161</v>
      </c>
      <c r="C11" t="s">
        <v>159</v>
      </c>
      <c r="E11">
        <v>6304.52</v>
      </c>
      <c r="F11">
        <v>302.33</v>
      </c>
      <c r="G11" s="10">
        <v>6884.16</v>
      </c>
      <c r="H11" s="15">
        <v>5582.54</v>
      </c>
      <c r="I11" s="15">
        <v>6436.7</v>
      </c>
      <c r="J11" s="15">
        <v>70.11</v>
      </c>
      <c r="K11" s="15">
        <v>6872.62</v>
      </c>
      <c r="L11" s="15">
        <v>6368.31</v>
      </c>
      <c r="M11" s="15">
        <v>6272.5</v>
      </c>
      <c r="N11" s="15">
        <v>180.03</v>
      </c>
      <c r="O11" s="15">
        <v>6447.54</v>
      </c>
      <c r="P11" s="15">
        <v>5520.68</v>
      </c>
      <c r="Q11">
        <f t="shared" si="0"/>
        <v>6337.906666666667</v>
      </c>
      <c r="R11">
        <f t="shared" si="1"/>
        <v>184.15666666666667</v>
      </c>
      <c r="S11">
        <f t="shared" si="2"/>
        <v>6884.16</v>
      </c>
      <c r="T11">
        <f t="shared" si="3"/>
        <v>5520.68</v>
      </c>
    </row>
    <row r="12" spans="2:20" ht="12.75">
      <c r="B12" t="s">
        <v>162</v>
      </c>
      <c r="C12" t="s">
        <v>159</v>
      </c>
      <c r="E12">
        <v>2804</v>
      </c>
      <c r="G12" s="10">
        <v>4636</v>
      </c>
      <c r="H12" s="15">
        <v>1886</v>
      </c>
      <c r="I12" s="15">
        <v>2806</v>
      </c>
      <c r="K12" s="15">
        <v>4434</v>
      </c>
      <c r="L12" s="15">
        <v>1966</v>
      </c>
      <c r="M12" s="15">
        <v>2016</v>
      </c>
      <c r="O12" s="15">
        <v>2071</v>
      </c>
      <c r="P12" s="15">
        <v>1966</v>
      </c>
      <c r="Q12">
        <f t="shared" si="0"/>
        <v>2542</v>
      </c>
      <c r="S12">
        <f t="shared" si="2"/>
        <v>4636</v>
      </c>
      <c r="T12">
        <f t="shared" si="3"/>
        <v>1886</v>
      </c>
    </row>
    <row r="13" spans="2:20" ht="12.75">
      <c r="B13" t="s">
        <v>163</v>
      </c>
      <c r="C13" t="s">
        <v>159</v>
      </c>
      <c r="E13">
        <v>31894.17</v>
      </c>
      <c r="F13">
        <v>791.27</v>
      </c>
      <c r="G13" s="10">
        <v>35560.04</v>
      </c>
      <c r="H13" s="15">
        <v>30806.13</v>
      </c>
      <c r="I13" s="15">
        <v>32603.22</v>
      </c>
      <c r="J13" s="15">
        <v>622.1</v>
      </c>
      <c r="K13" s="15">
        <v>34752.99</v>
      </c>
      <c r="L13" s="15">
        <v>31634.31</v>
      </c>
      <c r="M13" s="15">
        <v>32019.98</v>
      </c>
      <c r="N13" s="15">
        <v>915.64</v>
      </c>
      <c r="O13" s="15">
        <v>34623.21</v>
      </c>
      <c r="P13" s="15">
        <v>30639.57</v>
      </c>
      <c r="Q13">
        <f t="shared" si="0"/>
        <v>32172.456666666665</v>
      </c>
      <c r="R13">
        <f t="shared" si="1"/>
        <v>776.3366666666666</v>
      </c>
      <c r="S13">
        <f t="shared" si="2"/>
        <v>35560.04</v>
      </c>
      <c r="T13">
        <f t="shared" si="3"/>
        <v>30639.57</v>
      </c>
    </row>
    <row r="14" spans="2:17" ht="12.75">
      <c r="B14" t="s">
        <v>164</v>
      </c>
      <c r="C14" t="s">
        <v>152</v>
      </c>
      <c r="E14">
        <v>50.56</v>
      </c>
      <c r="I14" s="15">
        <v>54.22</v>
      </c>
      <c r="M14" s="15">
        <v>53.29</v>
      </c>
      <c r="Q14">
        <f t="shared" si="0"/>
        <v>52.69</v>
      </c>
    </row>
    <row r="15" spans="2:20" ht="12.75">
      <c r="B15" t="s">
        <v>165</v>
      </c>
      <c r="C15" t="s">
        <v>53</v>
      </c>
      <c r="E15">
        <v>36510</v>
      </c>
      <c r="F15">
        <v>1747</v>
      </c>
      <c r="G15">
        <v>42815</v>
      </c>
      <c r="H15">
        <v>33480</v>
      </c>
      <c r="I15" s="15">
        <v>37258</v>
      </c>
      <c r="J15" s="15">
        <v>1971</v>
      </c>
      <c r="K15" s="15">
        <v>41550</v>
      </c>
      <c r="L15" s="15">
        <v>33588</v>
      </c>
      <c r="M15" s="15">
        <v>37160</v>
      </c>
      <c r="N15" s="15">
        <v>2125</v>
      </c>
      <c r="O15" s="15">
        <v>42488</v>
      </c>
      <c r="P15" s="15">
        <v>33254</v>
      </c>
      <c r="Q15">
        <f t="shared" si="0"/>
        <v>36976</v>
      </c>
      <c r="R15">
        <f t="shared" si="1"/>
        <v>1947.6666666666667</v>
      </c>
      <c r="S15">
        <f t="shared" si="2"/>
        <v>42815</v>
      </c>
      <c r="T15">
        <f t="shared" si="3"/>
        <v>33254</v>
      </c>
    </row>
    <row r="16" spans="2:20" ht="12.75">
      <c r="B16" t="s">
        <v>166</v>
      </c>
      <c r="C16" t="s">
        <v>167</v>
      </c>
      <c r="E16">
        <v>0.19</v>
      </c>
      <c r="F16">
        <v>0</v>
      </c>
      <c r="G16">
        <v>0.19</v>
      </c>
      <c r="H16">
        <v>0.19</v>
      </c>
      <c r="I16" s="15">
        <v>0.17</v>
      </c>
      <c r="J16" s="15">
        <v>0.04</v>
      </c>
      <c r="K16" s="15">
        <v>0.22</v>
      </c>
      <c r="L16" s="15">
        <v>0.13</v>
      </c>
      <c r="M16" s="15">
        <v>0.22</v>
      </c>
      <c r="N16" s="15">
        <v>0</v>
      </c>
      <c r="O16" s="15">
        <v>0.22</v>
      </c>
      <c r="P16" s="15">
        <v>0.22</v>
      </c>
      <c r="Q16">
        <f t="shared" si="0"/>
        <v>0.19333333333333333</v>
      </c>
      <c r="R16">
        <f t="shared" si="1"/>
        <v>0.013333333333333334</v>
      </c>
      <c r="S16">
        <f t="shared" si="2"/>
        <v>0.22</v>
      </c>
      <c r="T16">
        <f t="shared" si="3"/>
        <v>0.13</v>
      </c>
    </row>
    <row r="17" spans="2:20" ht="12.75">
      <c r="B17" t="s">
        <v>169</v>
      </c>
      <c r="C17" t="s">
        <v>168</v>
      </c>
      <c r="E17">
        <v>-0.5</v>
      </c>
      <c r="F17">
        <v>0.03</v>
      </c>
      <c r="G17">
        <v>-0.37</v>
      </c>
      <c r="H17">
        <v>-0.62</v>
      </c>
      <c r="I17" s="15">
        <v>-0.49</v>
      </c>
      <c r="J17" s="15">
        <v>0.04</v>
      </c>
      <c r="K17" s="15">
        <v>-0.37</v>
      </c>
      <c r="L17" s="15">
        <v>-0.62</v>
      </c>
      <c r="M17" s="15">
        <v>-0.49</v>
      </c>
      <c r="N17" s="15">
        <v>0.05</v>
      </c>
      <c r="O17" s="15">
        <v>-0.34</v>
      </c>
      <c r="P17" s="15">
        <v>-0.59</v>
      </c>
      <c r="Q17">
        <f t="shared" si="0"/>
        <v>-0.49333333333333335</v>
      </c>
      <c r="R17">
        <f t="shared" si="1"/>
        <v>0.04</v>
      </c>
      <c r="S17">
        <f t="shared" si="2"/>
        <v>-0.34</v>
      </c>
      <c r="T17">
        <f t="shared" si="3"/>
        <v>-0.62</v>
      </c>
    </row>
    <row r="18" spans="2:20" ht="12.75">
      <c r="B18" t="s">
        <v>170</v>
      </c>
      <c r="C18" t="s">
        <v>168</v>
      </c>
      <c r="E18">
        <v>-1.26</v>
      </c>
      <c r="F18">
        <v>0.05</v>
      </c>
      <c r="G18">
        <v>-1.2</v>
      </c>
      <c r="H18">
        <v>-1.5</v>
      </c>
      <c r="I18" s="15">
        <v>-1.3</v>
      </c>
      <c r="J18" s="15">
        <v>0.04</v>
      </c>
      <c r="K18" s="15">
        <v>-1.25</v>
      </c>
      <c r="L18" s="15">
        <v>-1.42</v>
      </c>
      <c r="M18" s="15">
        <v>-1.27</v>
      </c>
      <c r="N18" s="15">
        <v>0.06</v>
      </c>
      <c r="O18" s="15">
        <v>-1.19</v>
      </c>
      <c r="P18" s="15">
        <v>-1.46</v>
      </c>
      <c r="Q18">
        <f t="shared" si="0"/>
        <v>-1.2766666666666666</v>
      </c>
      <c r="R18">
        <f t="shared" si="1"/>
        <v>0.049999999999999996</v>
      </c>
      <c r="S18">
        <f t="shared" si="2"/>
        <v>-1.19</v>
      </c>
      <c r="T18">
        <f t="shared" si="3"/>
        <v>-1.5</v>
      </c>
    </row>
    <row r="19" spans="2:20" ht="12.75">
      <c r="B19" t="s">
        <v>171</v>
      </c>
      <c r="C19" t="s">
        <v>168</v>
      </c>
      <c r="E19">
        <v>2.52</v>
      </c>
      <c r="F19">
        <v>0.1</v>
      </c>
      <c r="G19">
        <v>2.91</v>
      </c>
      <c r="H19">
        <v>2.38</v>
      </c>
      <c r="I19" s="15">
        <v>2.68</v>
      </c>
      <c r="J19">
        <v>0.06</v>
      </c>
      <c r="K19" s="15">
        <v>2.86</v>
      </c>
      <c r="L19" s="15">
        <v>2.58</v>
      </c>
      <c r="M19" s="15">
        <v>2.59</v>
      </c>
      <c r="N19" s="15">
        <v>0.11</v>
      </c>
      <c r="O19" s="15">
        <v>2.88</v>
      </c>
      <c r="P19" s="15">
        <v>2.32</v>
      </c>
      <c r="Q19">
        <f t="shared" si="0"/>
        <v>2.5966666666666667</v>
      </c>
      <c r="R19">
        <f t="shared" si="1"/>
        <v>0.09000000000000001</v>
      </c>
      <c r="S19">
        <f t="shared" si="2"/>
        <v>2.91</v>
      </c>
      <c r="T19">
        <f t="shared" si="3"/>
        <v>2.32</v>
      </c>
    </row>
    <row r="20" spans="2:20" ht="12.75">
      <c r="B20" t="s">
        <v>204</v>
      </c>
      <c r="C20" t="s">
        <v>205</v>
      </c>
      <c r="E20">
        <v>3</v>
      </c>
      <c r="F20">
        <v>0</v>
      </c>
      <c r="G20">
        <v>3</v>
      </c>
      <c r="H20">
        <v>3</v>
      </c>
      <c r="I20" s="15">
        <v>3</v>
      </c>
      <c r="J20" s="15">
        <v>0</v>
      </c>
      <c r="K20" s="15">
        <v>3</v>
      </c>
      <c r="L20" s="15">
        <v>3</v>
      </c>
      <c r="M20" s="15">
        <v>3</v>
      </c>
      <c r="N20" s="15">
        <v>0</v>
      </c>
      <c r="O20" s="15">
        <v>3</v>
      </c>
      <c r="P20" s="15">
        <v>3</v>
      </c>
      <c r="Q20">
        <f t="shared" si="0"/>
        <v>3</v>
      </c>
      <c r="R20">
        <f t="shared" si="1"/>
        <v>0</v>
      </c>
      <c r="S20">
        <f t="shared" si="2"/>
        <v>3</v>
      </c>
      <c r="T20">
        <f t="shared" si="3"/>
        <v>3</v>
      </c>
    </row>
    <row r="21" spans="2:20" ht="12.75">
      <c r="B21" t="s">
        <v>172</v>
      </c>
      <c r="C21" t="s">
        <v>174</v>
      </c>
      <c r="E21">
        <v>370</v>
      </c>
      <c r="G21">
        <v>370</v>
      </c>
      <c r="H21">
        <v>360</v>
      </c>
      <c r="I21" s="15">
        <v>295</v>
      </c>
      <c r="K21" s="15">
        <v>320</v>
      </c>
      <c r="L21" s="15">
        <v>265</v>
      </c>
      <c r="M21" s="15">
        <v>365</v>
      </c>
      <c r="O21" s="15">
        <v>380</v>
      </c>
      <c r="P21" s="15">
        <v>350</v>
      </c>
      <c r="Q21">
        <f t="shared" si="0"/>
        <v>343.3333333333333</v>
      </c>
      <c r="S21">
        <f t="shared" si="2"/>
        <v>380</v>
      </c>
      <c r="T21">
        <f t="shared" si="3"/>
        <v>265</v>
      </c>
    </row>
    <row r="22" spans="2:20" ht="12.75">
      <c r="B22" t="s">
        <v>173</v>
      </c>
      <c r="C22" t="s">
        <v>175</v>
      </c>
      <c r="E22">
        <v>51</v>
      </c>
      <c r="G22">
        <v>52</v>
      </c>
      <c r="H22">
        <v>48</v>
      </c>
      <c r="I22" s="15">
        <v>39</v>
      </c>
      <c r="K22" s="15">
        <v>52</v>
      </c>
      <c r="L22" s="15">
        <v>30</v>
      </c>
      <c r="M22" s="15">
        <v>50</v>
      </c>
      <c r="O22" s="15">
        <v>52</v>
      </c>
      <c r="P22" s="15">
        <v>42</v>
      </c>
      <c r="Q22">
        <f t="shared" si="0"/>
        <v>46.666666666666664</v>
      </c>
      <c r="S22">
        <f t="shared" si="2"/>
        <v>52</v>
      </c>
      <c r="T22">
        <f t="shared" si="3"/>
        <v>30</v>
      </c>
    </row>
    <row r="23" spans="2:20" ht="12.75">
      <c r="B23" t="s">
        <v>176</v>
      </c>
      <c r="C23" t="s">
        <v>177</v>
      </c>
      <c r="E23">
        <v>50</v>
      </c>
      <c r="G23">
        <v>50</v>
      </c>
      <c r="H23">
        <v>49</v>
      </c>
      <c r="I23" s="15">
        <v>48</v>
      </c>
      <c r="K23" s="15">
        <v>50</v>
      </c>
      <c r="L23" s="15">
        <v>44</v>
      </c>
      <c r="M23" s="15">
        <v>50</v>
      </c>
      <c r="O23" s="15">
        <v>52</v>
      </c>
      <c r="P23" s="15">
        <v>46</v>
      </c>
      <c r="Q23">
        <f t="shared" si="0"/>
        <v>49.333333333333336</v>
      </c>
      <c r="S23">
        <f t="shared" si="2"/>
        <v>52</v>
      </c>
      <c r="T23">
        <f t="shared" si="3"/>
        <v>44</v>
      </c>
    </row>
    <row r="24" spans="2:20" ht="12.75">
      <c r="B24" t="s">
        <v>178</v>
      </c>
      <c r="C24" t="s">
        <v>179</v>
      </c>
      <c r="E24">
        <v>265</v>
      </c>
      <c r="G24">
        <v>280</v>
      </c>
      <c r="H24">
        <v>235</v>
      </c>
      <c r="I24" s="15">
        <v>195</v>
      </c>
      <c r="K24" s="15">
        <v>290</v>
      </c>
      <c r="L24" s="15">
        <v>120</v>
      </c>
      <c r="M24" s="15">
        <v>260</v>
      </c>
      <c r="O24" s="15">
        <v>280</v>
      </c>
      <c r="P24" s="15">
        <v>225</v>
      </c>
      <c r="Q24">
        <f t="shared" si="0"/>
        <v>240</v>
      </c>
      <c r="S24">
        <f t="shared" si="2"/>
        <v>290</v>
      </c>
      <c r="T24">
        <f t="shared" si="3"/>
        <v>120</v>
      </c>
    </row>
    <row r="25" spans="2:20" ht="12.75">
      <c r="B25" t="s">
        <v>180</v>
      </c>
      <c r="C25" t="s">
        <v>174</v>
      </c>
      <c r="E25">
        <v>320</v>
      </c>
      <c r="G25">
        <v>340</v>
      </c>
      <c r="H25">
        <v>310</v>
      </c>
      <c r="I25" s="15">
        <v>300</v>
      </c>
      <c r="K25" s="15">
        <v>340</v>
      </c>
      <c r="L25" s="15">
        <v>210</v>
      </c>
      <c r="M25" s="15">
        <v>325</v>
      </c>
      <c r="O25" s="15">
        <v>340</v>
      </c>
      <c r="P25" s="15">
        <v>300</v>
      </c>
      <c r="Q25">
        <f t="shared" si="0"/>
        <v>315</v>
      </c>
      <c r="S25">
        <f t="shared" si="2"/>
        <v>340</v>
      </c>
      <c r="T25">
        <f t="shared" si="3"/>
        <v>210</v>
      </c>
    </row>
    <row r="26" spans="2:20" ht="12.75">
      <c r="B26" t="s">
        <v>181</v>
      </c>
      <c r="C26" t="s">
        <v>175</v>
      </c>
      <c r="E26">
        <v>51</v>
      </c>
      <c r="G26">
        <v>51</v>
      </c>
      <c r="H26">
        <v>51</v>
      </c>
      <c r="I26" s="15">
        <v>45</v>
      </c>
      <c r="K26" s="15">
        <v>52</v>
      </c>
      <c r="L26" s="15">
        <v>32</v>
      </c>
      <c r="M26" s="15">
        <v>51</v>
      </c>
      <c r="O26" s="15">
        <v>52</v>
      </c>
      <c r="P26" s="15">
        <v>48</v>
      </c>
      <c r="Q26">
        <f t="shared" si="0"/>
        <v>49</v>
      </c>
      <c r="S26">
        <f t="shared" si="2"/>
        <v>52</v>
      </c>
      <c r="T26">
        <f t="shared" si="3"/>
        <v>32</v>
      </c>
    </row>
    <row r="27" spans="2:20" ht="12.75">
      <c r="B27" t="s">
        <v>182</v>
      </c>
      <c r="C27" t="s">
        <v>177</v>
      </c>
      <c r="E27">
        <v>42</v>
      </c>
      <c r="G27">
        <v>43</v>
      </c>
      <c r="H27">
        <v>40</v>
      </c>
      <c r="I27" s="15">
        <v>40</v>
      </c>
      <c r="K27" s="15">
        <v>42</v>
      </c>
      <c r="L27" s="15">
        <v>36</v>
      </c>
      <c r="M27" s="15">
        <v>42</v>
      </c>
      <c r="O27" s="15">
        <v>42</v>
      </c>
      <c r="P27" s="15">
        <v>41</v>
      </c>
      <c r="Q27">
        <f t="shared" si="0"/>
        <v>41.333333333333336</v>
      </c>
      <c r="S27">
        <f t="shared" si="2"/>
        <v>43</v>
      </c>
      <c r="T27">
        <f t="shared" si="3"/>
        <v>36</v>
      </c>
    </row>
    <row r="28" spans="2:20" ht="12.75">
      <c r="B28" t="s">
        <v>183</v>
      </c>
      <c r="C28" t="s">
        <v>179</v>
      </c>
      <c r="E28">
        <v>255</v>
      </c>
      <c r="G28">
        <v>270</v>
      </c>
      <c r="H28">
        <v>250</v>
      </c>
      <c r="I28" s="15">
        <v>220</v>
      </c>
      <c r="K28" s="15">
        <v>265</v>
      </c>
      <c r="L28" s="15">
        <v>120</v>
      </c>
      <c r="M28" s="15">
        <v>265</v>
      </c>
      <c r="O28" s="15">
        <v>265</v>
      </c>
      <c r="P28" s="15">
        <v>270</v>
      </c>
      <c r="Q28">
        <f t="shared" si="0"/>
        <v>246.66666666666666</v>
      </c>
      <c r="S28">
        <f t="shared" si="2"/>
        <v>270</v>
      </c>
      <c r="T28">
        <f t="shared" si="3"/>
        <v>120</v>
      </c>
    </row>
    <row r="29" spans="2:20" ht="12.75">
      <c r="B29" t="s">
        <v>184</v>
      </c>
      <c r="C29" t="s">
        <v>174</v>
      </c>
      <c r="E29">
        <v>285</v>
      </c>
      <c r="G29">
        <v>300</v>
      </c>
      <c r="H29">
        <v>280</v>
      </c>
      <c r="I29" s="15">
        <v>265</v>
      </c>
      <c r="K29" s="15">
        <v>290</v>
      </c>
      <c r="L29" s="15">
        <v>220</v>
      </c>
      <c r="M29" s="15">
        <v>295</v>
      </c>
      <c r="O29" s="15">
        <v>300</v>
      </c>
      <c r="P29" s="15">
        <v>290</v>
      </c>
      <c r="Q29">
        <f t="shared" si="0"/>
        <v>281.6666666666667</v>
      </c>
      <c r="S29">
        <f t="shared" si="2"/>
        <v>300</v>
      </c>
      <c r="T29">
        <f t="shared" si="3"/>
        <v>220</v>
      </c>
    </row>
    <row r="30" spans="2:20" ht="12.75">
      <c r="B30" t="s">
        <v>185</v>
      </c>
      <c r="C30" t="s">
        <v>175</v>
      </c>
      <c r="E30">
        <v>53</v>
      </c>
      <c r="G30">
        <v>53</v>
      </c>
      <c r="H30">
        <v>52</v>
      </c>
      <c r="I30" s="15">
        <v>46</v>
      </c>
      <c r="K30" s="15">
        <v>53</v>
      </c>
      <c r="L30" s="15">
        <v>32</v>
      </c>
      <c r="M30" s="15">
        <v>52</v>
      </c>
      <c r="O30" s="15">
        <v>53</v>
      </c>
      <c r="P30" s="15">
        <v>52</v>
      </c>
      <c r="Q30">
        <f t="shared" si="0"/>
        <v>50.333333333333336</v>
      </c>
      <c r="S30">
        <f t="shared" si="2"/>
        <v>53</v>
      </c>
      <c r="T30">
        <f t="shared" si="3"/>
        <v>32</v>
      </c>
    </row>
    <row r="31" spans="2:20" ht="12.75">
      <c r="B31" t="s">
        <v>186</v>
      </c>
      <c r="C31" t="s">
        <v>177</v>
      </c>
      <c r="E31">
        <v>39</v>
      </c>
      <c r="G31">
        <v>40</v>
      </c>
      <c r="H31">
        <v>38</v>
      </c>
      <c r="I31" s="15">
        <v>38</v>
      </c>
      <c r="K31" s="15">
        <v>40</v>
      </c>
      <c r="L31" s="15">
        <v>36</v>
      </c>
      <c r="M31" s="15">
        <v>40</v>
      </c>
      <c r="O31" s="15">
        <v>40</v>
      </c>
      <c r="P31" s="15">
        <v>39</v>
      </c>
      <c r="Q31">
        <f t="shared" si="0"/>
        <v>39</v>
      </c>
      <c r="S31">
        <f t="shared" si="2"/>
        <v>40</v>
      </c>
      <c r="T31">
        <f t="shared" si="3"/>
        <v>36</v>
      </c>
    </row>
    <row r="32" spans="2:20" ht="12.75">
      <c r="B32" t="s">
        <v>187</v>
      </c>
      <c r="C32" t="s">
        <v>179</v>
      </c>
      <c r="E32">
        <v>280</v>
      </c>
      <c r="G32">
        <v>285</v>
      </c>
      <c r="H32">
        <v>270</v>
      </c>
      <c r="I32" s="15">
        <v>240</v>
      </c>
      <c r="K32" s="15">
        <v>285</v>
      </c>
      <c r="L32" s="15">
        <v>150</v>
      </c>
      <c r="M32" s="15">
        <v>280</v>
      </c>
      <c r="O32" s="15">
        <v>285</v>
      </c>
      <c r="P32" s="15">
        <v>280</v>
      </c>
      <c r="Q32">
        <f t="shared" si="0"/>
        <v>266.6666666666667</v>
      </c>
      <c r="S32">
        <f t="shared" si="2"/>
        <v>285</v>
      </c>
      <c r="T32">
        <f t="shared" si="3"/>
        <v>150</v>
      </c>
    </row>
    <row r="33" spans="2:20" ht="12.75">
      <c r="B33" t="s">
        <v>188</v>
      </c>
      <c r="C33" t="s">
        <v>189</v>
      </c>
      <c r="E33">
        <v>171.41</v>
      </c>
      <c r="F33">
        <v>0.26</v>
      </c>
      <c r="G33">
        <v>171.85</v>
      </c>
      <c r="H33">
        <v>170.8</v>
      </c>
      <c r="I33" s="15">
        <v>172.4</v>
      </c>
      <c r="J33" s="15">
        <v>0.22</v>
      </c>
      <c r="K33" s="15">
        <v>172.89</v>
      </c>
      <c r="L33" s="15">
        <v>171.87</v>
      </c>
      <c r="M33" s="15">
        <v>180.18</v>
      </c>
      <c r="N33" s="15">
        <v>4.37</v>
      </c>
      <c r="O33" s="15">
        <v>183.06</v>
      </c>
      <c r="P33" s="15">
        <v>171.82</v>
      </c>
      <c r="Q33">
        <f t="shared" si="0"/>
        <v>174.66333333333333</v>
      </c>
      <c r="R33">
        <f t="shared" si="1"/>
        <v>1.6166666666666665</v>
      </c>
      <c r="S33">
        <f t="shared" si="2"/>
        <v>183.06</v>
      </c>
      <c r="T33">
        <f t="shared" si="3"/>
        <v>170.8</v>
      </c>
    </row>
    <row r="34" spans="2:20" ht="12.75">
      <c r="B34" t="s">
        <v>190</v>
      </c>
      <c r="C34" t="s">
        <v>189</v>
      </c>
      <c r="E34">
        <v>602.94</v>
      </c>
      <c r="F34">
        <v>5.33</v>
      </c>
      <c r="G34">
        <v>611.7</v>
      </c>
      <c r="H34">
        <v>592.34</v>
      </c>
      <c r="I34" s="15">
        <v>612.9</v>
      </c>
      <c r="J34" s="15">
        <v>1.3</v>
      </c>
      <c r="K34" s="15">
        <v>614.85</v>
      </c>
      <c r="L34" s="15">
        <v>610.05</v>
      </c>
      <c r="M34" s="15">
        <v>632.79</v>
      </c>
      <c r="N34" s="15">
        <v>0.82</v>
      </c>
      <c r="O34" s="15">
        <v>634.81</v>
      </c>
      <c r="P34" s="15">
        <v>631.03</v>
      </c>
      <c r="Q34">
        <f t="shared" si="0"/>
        <v>616.21</v>
      </c>
      <c r="R34">
        <f t="shared" si="1"/>
        <v>2.4833333333333334</v>
      </c>
      <c r="S34">
        <f t="shared" si="2"/>
        <v>634.81</v>
      </c>
      <c r="T34">
        <f t="shared" si="3"/>
        <v>592.34</v>
      </c>
    </row>
    <row r="35" spans="2:20" ht="14.25">
      <c r="B35" t="s">
        <v>206</v>
      </c>
      <c r="C35" s="4" t="s">
        <v>56</v>
      </c>
      <c r="E35">
        <v>141.63</v>
      </c>
      <c r="F35">
        <v>0.9</v>
      </c>
      <c r="G35">
        <v>143.41</v>
      </c>
      <c r="H35">
        <v>139.8</v>
      </c>
      <c r="I35" s="15">
        <v>143.58</v>
      </c>
      <c r="J35" s="15">
        <v>0.73</v>
      </c>
      <c r="K35" s="15">
        <v>145.16</v>
      </c>
      <c r="L35" s="15">
        <v>142.27</v>
      </c>
      <c r="M35" s="15">
        <v>143.53</v>
      </c>
      <c r="N35" s="15">
        <v>1.16</v>
      </c>
      <c r="O35" s="15">
        <v>146.76</v>
      </c>
      <c r="P35" s="15">
        <v>141.42</v>
      </c>
      <c r="Q35">
        <f t="shared" si="0"/>
        <v>142.91333333333333</v>
      </c>
      <c r="R35">
        <f t="shared" si="1"/>
        <v>0.93</v>
      </c>
      <c r="S35">
        <f t="shared" si="2"/>
        <v>146.76</v>
      </c>
      <c r="T35">
        <f t="shared" si="3"/>
        <v>139.8</v>
      </c>
    </row>
    <row r="36" spans="2:20" ht="12.75">
      <c r="B36" t="s">
        <v>191</v>
      </c>
      <c r="C36" t="s">
        <v>192</v>
      </c>
      <c r="E36">
        <v>42.52</v>
      </c>
      <c r="F36">
        <v>12.43</v>
      </c>
      <c r="G36">
        <v>67.77</v>
      </c>
      <c r="H36">
        <v>24.07</v>
      </c>
      <c r="I36" s="15">
        <v>52.81</v>
      </c>
      <c r="J36" s="15">
        <v>23.35</v>
      </c>
      <c r="K36" s="15">
        <v>121.92</v>
      </c>
      <c r="L36" s="15">
        <v>15.4</v>
      </c>
      <c r="M36" s="15">
        <v>57.51</v>
      </c>
      <c r="N36" s="15">
        <v>29.32</v>
      </c>
      <c r="O36" s="15">
        <v>126.1</v>
      </c>
      <c r="P36" s="15">
        <v>18.22</v>
      </c>
      <c r="Q36">
        <f t="shared" si="0"/>
        <v>50.946666666666665</v>
      </c>
      <c r="R36">
        <f t="shared" si="1"/>
        <v>21.7</v>
      </c>
      <c r="S36">
        <f t="shared" si="2"/>
        <v>126.1</v>
      </c>
      <c r="T36">
        <f t="shared" si="3"/>
        <v>15.4</v>
      </c>
    </row>
    <row r="37" spans="2:20" ht="12.75">
      <c r="B37" t="s">
        <v>193</v>
      </c>
      <c r="C37" t="s">
        <v>194</v>
      </c>
      <c r="E37">
        <v>13.07</v>
      </c>
      <c r="F37">
        <v>0.48</v>
      </c>
      <c r="G37">
        <v>13.93</v>
      </c>
      <c r="H37">
        <v>11.76</v>
      </c>
      <c r="I37" s="15">
        <v>13.03</v>
      </c>
      <c r="J37" s="15">
        <v>0.44</v>
      </c>
      <c r="K37" s="15">
        <v>14.06</v>
      </c>
      <c r="L37" s="15">
        <v>12.25</v>
      </c>
      <c r="M37" s="15">
        <v>12.93</v>
      </c>
      <c r="N37" s="15">
        <v>0.51</v>
      </c>
      <c r="O37" s="15">
        <v>13.92</v>
      </c>
      <c r="P37" s="15">
        <v>11.7</v>
      </c>
      <c r="Q37">
        <f t="shared" si="0"/>
        <v>13.01</v>
      </c>
      <c r="R37">
        <f t="shared" si="1"/>
        <v>0.4766666666666666</v>
      </c>
      <c r="S37">
        <f t="shared" si="2"/>
        <v>14.06</v>
      </c>
      <c r="T37">
        <f t="shared" si="3"/>
        <v>11.7</v>
      </c>
    </row>
    <row r="38" spans="2:20" ht="12.75">
      <c r="B38" t="s">
        <v>195</v>
      </c>
      <c r="C38" t="s">
        <v>194</v>
      </c>
      <c r="E38">
        <v>3.98</v>
      </c>
      <c r="F38">
        <v>0.1</v>
      </c>
      <c r="G38">
        <v>4.34</v>
      </c>
      <c r="H38">
        <v>3.82</v>
      </c>
      <c r="I38" s="15">
        <v>1.03</v>
      </c>
      <c r="J38" s="15">
        <v>0.1</v>
      </c>
      <c r="K38" s="15">
        <v>4.28</v>
      </c>
      <c r="L38" s="15">
        <v>3.79</v>
      </c>
      <c r="M38" s="15">
        <v>3.95</v>
      </c>
      <c r="N38" s="15">
        <v>0.12</v>
      </c>
      <c r="O38" s="15">
        <v>4.33</v>
      </c>
      <c r="P38" s="15">
        <v>3.71</v>
      </c>
      <c r="Q38">
        <f t="shared" si="0"/>
        <v>2.986666666666667</v>
      </c>
      <c r="R38">
        <f t="shared" si="1"/>
        <v>0.10666666666666667</v>
      </c>
      <c r="S38">
        <f t="shared" si="2"/>
        <v>4.34</v>
      </c>
      <c r="T38">
        <f t="shared" si="3"/>
        <v>3.71</v>
      </c>
    </row>
    <row r="39" spans="2:20" ht="12.75">
      <c r="B39" t="s">
        <v>196</v>
      </c>
      <c r="C39" t="s">
        <v>192</v>
      </c>
      <c r="E39">
        <v>43.58</v>
      </c>
      <c r="F39">
        <v>9.87</v>
      </c>
      <c r="G39">
        <v>71.5</v>
      </c>
      <c r="H39">
        <v>29.93</v>
      </c>
      <c r="I39" s="15">
        <v>50.79</v>
      </c>
      <c r="J39" s="15">
        <v>17.66</v>
      </c>
      <c r="K39" s="15">
        <v>101.31</v>
      </c>
      <c r="L39" s="15">
        <v>21.85</v>
      </c>
      <c r="M39" s="15">
        <v>52.96</v>
      </c>
      <c r="N39" s="15">
        <v>21.36</v>
      </c>
      <c r="O39" s="15">
        <v>105.38</v>
      </c>
      <c r="P39" s="15">
        <v>25.79</v>
      </c>
      <c r="Q39">
        <f t="shared" si="0"/>
        <v>49.11000000000001</v>
      </c>
      <c r="R39">
        <f t="shared" si="1"/>
        <v>16.296666666666667</v>
      </c>
      <c r="S39">
        <f t="shared" si="2"/>
        <v>105.38</v>
      </c>
      <c r="T39">
        <f t="shared" si="3"/>
        <v>21.85</v>
      </c>
    </row>
    <row r="40" spans="2:20" ht="12.75">
      <c r="B40" t="s">
        <v>198</v>
      </c>
      <c r="C40" t="s">
        <v>197</v>
      </c>
      <c r="E40">
        <v>6.51</v>
      </c>
      <c r="F40">
        <v>0.06</v>
      </c>
      <c r="G40">
        <v>6.75</v>
      </c>
      <c r="H40">
        <v>6.46</v>
      </c>
      <c r="I40" s="15">
        <v>6.49</v>
      </c>
      <c r="J40" s="15">
        <v>0.02</v>
      </c>
      <c r="K40" s="15">
        <v>6.53</v>
      </c>
      <c r="L40" s="15">
        <v>6.45</v>
      </c>
      <c r="M40" s="15">
        <v>6.49</v>
      </c>
      <c r="N40" s="15">
        <v>0.01</v>
      </c>
      <c r="O40" s="15">
        <v>6.53</v>
      </c>
      <c r="P40" s="15">
        <v>6.45</v>
      </c>
      <c r="Q40">
        <f t="shared" si="0"/>
        <v>6.496666666666667</v>
      </c>
      <c r="R40">
        <f t="shared" si="1"/>
        <v>0.03</v>
      </c>
      <c r="S40">
        <f t="shared" si="2"/>
        <v>6.75</v>
      </c>
      <c r="T40">
        <f t="shared" si="3"/>
        <v>6.45</v>
      </c>
    </row>
    <row r="41" spans="2:20" ht="12.75">
      <c r="B41" t="s">
        <v>199</v>
      </c>
      <c r="C41" t="s">
        <v>194</v>
      </c>
      <c r="E41">
        <v>6.29</v>
      </c>
      <c r="G41">
        <v>6.61</v>
      </c>
      <c r="H41">
        <v>6.03</v>
      </c>
      <c r="I41" s="15">
        <v>7.37</v>
      </c>
      <c r="K41" s="15">
        <v>7.81</v>
      </c>
      <c r="L41" s="15">
        <v>6.92</v>
      </c>
      <c r="M41" s="15">
        <v>10.15</v>
      </c>
      <c r="O41" s="15">
        <v>10.47</v>
      </c>
      <c r="P41" s="15">
        <v>9.81</v>
      </c>
      <c r="Q41">
        <f t="shared" si="0"/>
        <v>7.936666666666667</v>
      </c>
      <c r="S41">
        <f t="shared" si="2"/>
        <v>10.47</v>
      </c>
      <c r="T41">
        <f t="shared" si="3"/>
        <v>6.03</v>
      </c>
    </row>
    <row r="44" spans="1:20" ht="12.75">
      <c r="A44" t="s">
        <v>89</v>
      </c>
      <c r="B44" s="3" t="s">
        <v>223</v>
      </c>
      <c r="C44" s="10"/>
      <c r="E44" s="102" t="s">
        <v>54</v>
      </c>
      <c r="F44" s="102"/>
      <c r="G44" s="103"/>
      <c r="H44" s="103"/>
      <c r="I44" s="102" t="s">
        <v>117</v>
      </c>
      <c r="J44" s="102"/>
      <c r="K44" s="103"/>
      <c r="L44" s="103"/>
      <c r="M44" s="102" t="s">
        <v>55</v>
      </c>
      <c r="N44" s="102"/>
      <c r="O44" s="103"/>
      <c r="P44" s="103"/>
      <c r="Q44" s="102" t="s">
        <v>203</v>
      </c>
      <c r="R44" s="102"/>
      <c r="S44" s="103"/>
      <c r="T44" s="103"/>
    </row>
    <row r="45" spans="2:20" ht="12.75">
      <c r="B45" s="10"/>
      <c r="C45" s="10"/>
      <c r="E45" t="s">
        <v>122</v>
      </c>
      <c r="F45" s="10" t="s">
        <v>200</v>
      </c>
      <c r="G45" t="s">
        <v>201</v>
      </c>
      <c r="H45" t="s">
        <v>202</v>
      </c>
      <c r="I45" t="s">
        <v>122</v>
      </c>
      <c r="J45" s="10" t="s">
        <v>200</v>
      </c>
      <c r="K45" t="s">
        <v>201</v>
      </c>
      <c r="L45" t="s">
        <v>202</v>
      </c>
      <c r="M45" t="s">
        <v>122</v>
      </c>
      <c r="N45" s="10" t="s">
        <v>200</v>
      </c>
      <c r="O45" t="s">
        <v>201</v>
      </c>
      <c r="P45" t="s">
        <v>202</v>
      </c>
      <c r="Q45" t="s">
        <v>122</v>
      </c>
      <c r="R45" s="10" t="s">
        <v>200</v>
      </c>
      <c r="S45" t="s">
        <v>201</v>
      </c>
      <c r="T45" t="s">
        <v>202</v>
      </c>
    </row>
    <row r="46" spans="2:20" ht="14.25">
      <c r="B46" s="10" t="s">
        <v>154</v>
      </c>
      <c r="C46" s="4" t="s">
        <v>56</v>
      </c>
      <c r="E46">
        <v>2147.92</v>
      </c>
      <c r="F46">
        <v>23.61</v>
      </c>
      <c r="G46">
        <v>2188.54</v>
      </c>
      <c r="H46">
        <v>2099.53</v>
      </c>
      <c r="I46">
        <v>2087.75</v>
      </c>
      <c r="J46">
        <v>26.81</v>
      </c>
      <c r="K46">
        <v>2125.05</v>
      </c>
      <c r="L46">
        <v>2001.55</v>
      </c>
      <c r="M46">
        <v>2151.14</v>
      </c>
      <c r="N46">
        <v>24.62</v>
      </c>
      <c r="O46">
        <v>2194.55</v>
      </c>
      <c r="P46">
        <v>2093.71</v>
      </c>
      <c r="Q46">
        <f>AVERAGE(E46,I46,M46)</f>
        <v>2128.9366666666665</v>
      </c>
      <c r="R46">
        <f>AVERAGE(F46,J46,N46)</f>
        <v>25.013333333333335</v>
      </c>
      <c r="S46">
        <f>MAX(G46,K46,O46)</f>
        <v>2194.55</v>
      </c>
      <c r="T46">
        <f>MIN(H46,L46,P46)</f>
        <v>2001.55</v>
      </c>
    </row>
    <row r="47" spans="2:20" ht="14.25">
      <c r="B47" s="10" t="s">
        <v>155</v>
      </c>
      <c r="C47" s="4" t="s">
        <v>56</v>
      </c>
      <c r="E47">
        <v>2176.59</v>
      </c>
      <c r="F47">
        <v>28.9</v>
      </c>
      <c r="G47">
        <v>2238.03</v>
      </c>
      <c r="H47">
        <v>2103.65</v>
      </c>
      <c r="I47">
        <v>2169.22</v>
      </c>
      <c r="J47">
        <v>50.79</v>
      </c>
      <c r="K47">
        <v>2254.09</v>
      </c>
      <c r="L47">
        <v>2046</v>
      </c>
      <c r="M47">
        <v>2208.11</v>
      </c>
      <c r="N47">
        <v>37.65</v>
      </c>
      <c r="O47">
        <v>2298</v>
      </c>
      <c r="P47">
        <v>2118.59</v>
      </c>
      <c r="Q47">
        <f aca="true" t="shared" si="4" ref="Q47:Q82">AVERAGE(E47,I47,M47)</f>
        <v>2184.64</v>
      </c>
      <c r="R47">
        <f>AVERAGE(F47,J47,N47)</f>
        <v>39.11333333333334</v>
      </c>
      <c r="S47">
        <f>MAX(G47,K47,O47)</f>
        <v>2298</v>
      </c>
      <c r="T47">
        <f>MIN(H47,L47,P47)</f>
        <v>2046</v>
      </c>
    </row>
    <row r="48" spans="1:20" ht="14.25">
      <c r="A48" s="10"/>
      <c r="B48" s="10" t="s">
        <v>156</v>
      </c>
      <c r="C48" s="4" t="s">
        <v>56</v>
      </c>
      <c r="E48" s="10">
        <v>1791.96</v>
      </c>
      <c r="F48" s="10">
        <v>18.24</v>
      </c>
      <c r="G48" s="10">
        <v>1831.63</v>
      </c>
      <c r="H48" s="10">
        <v>1752.42</v>
      </c>
      <c r="I48" s="10">
        <v>1770.05</v>
      </c>
      <c r="J48" s="10">
        <v>29.48</v>
      </c>
      <c r="K48" s="10">
        <v>1860.88</v>
      </c>
      <c r="L48" s="10">
        <v>1713.82</v>
      </c>
      <c r="M48" s="10">
        <v>1799.17</v>
      </c>
      <c r="N48" s="10">
        <v>21.37</v>
      </c>
      <c r="O48" s="10">
        <v>1848.12</v>
      </c>
      <c r="P48" s="10">
        <v>1766.09</v>
      </c>
      <c r="Q48">
        <f t="shared" si="4"/>
        <v>1787.0600000000002</v>
      </c>
      <c r="R48">
        <f>AVERAGE(F48,J48,N48)</f>
        <v>23.03</v>
      </c>
      <c r="S48">
        <f>MAX(G48,K48,O48)</f>
        <v>1860.88</v>
      </c>
      <c r="T48">
        <f>MIN(H48,L48,P48)</f>
        <v>1713.82</v>
      </c>
    </row>
    <row r="49" spans="1:20" ht="14.25">
      <c r="A49" s="10"/>
      <c r="B49" s="10" t="s">
        <v>157</v>
      </c>
      <c r="C49" s="4" t="s">
        <v>56</v>
      </c>
      <c r="E49" s="10" t="s">
        <v>207</v>
      </c>
      <c r="F49" s="10"/>
      <c r="G49" s="10" t="s">
        <v>207</v>
      </c>
      <c r="H49" s="10" t="s">
        <v>207</v>
      </c>
      <c r="I49" s="10" t="s">
        <v>207</v>
      </c>
      <c r="K49" s="10" t="s">
        <v>207</v>
      </c>
      <c r="L49" s="10" t="s">
        <v>207</v>
      </c>
      <c r="M49" s="10" t="s">
        <v>207</v>
      </c>
      <c r="O49" s="10" t="s">
        <v>207</v>
      </c>
      <c r="P49" s="10" t="s">
        <v>207</v>
      </c>
      <c r="Q49" s="10" t="s">
        <v>207</v>
      </c>
      <c r="S49" s="10" t="s">
        <v>207</v>
      </c>
      <c r="T49" s="10" t="s">
        <v>207</v>
      </c>
    </row>
    <row r="50" spans="1:20" ht="12.75">
      <c r="A50" s="10"/>
      <c r="B50" s="10" t="s">
        <v>158</v>
      </c>
      <c r="C50" s="10" t="s">
        <v>159</v>
      </c>
      <c r="E50" s="15">
        <v>4755.65</v>
      </c>
      <c r="F50" s="15">
        <v>8.39</v>
      </c>
      <c r="G50" s="15">
        <v>4774.77</v>
      </c>
      <c r="H50" s="15">
        <v>4731.83</v>
      </c>
      <c r="I50" s="15">
        <v>4765.69</v>
      </c>
      <c r="J50" s="15">
        <v>11.51</v>
      </c>
      <c r="K50" s="15">
        <v>4791.12</v>
      </c>
      <c r="L50" s="15">
        <v>4744.73</v>
      </c>
      <c r="M50" s="15">
        <v>4791.94</v>
      </c>
      <c r="N50" s="15">
        <v>7.43</v>
      </c>
      <c r="O50" s="15">
        <v>4807.32</v>
      </c>
      <c r="P50" s="15">
        <v>4776.73</v>
      </c>
      <c r="Q50">
        <f t="shared" si="4"/>
        <v>4771.093333333333</v>
      </c>
      <c r="R50">
        <f>AVERAGE(F50,J50,N50)</f>
        <v>9.11</v>
      </c>
      <c r="S50">
        <f>MAX(G50,K50,O50)</f>
        <v>4807.32</v>
      </c>
      <c r="T50">
        <f>MIN(H50,L50,P50)</f>
        <v>4731.83</v>
      </c>
    </row>
    <row r="51" spans="2:20" ht="12.75">
      <c r="B51" t="s">
        <v>160</v>
      </c>
      <c r="C51" t="s">
        <v>159</v>
      </c>
      <c r="E51" s="15">
        <v>4090</v>
      </c>
      <c r="G51" s="15">
        <v>4096</v>
      </c>
      <c r="H51" s="15">
        <v>4083</v>
      </c>
      <c r="I51" s="15">
        <v>4038</v>
      </c>
      <c r="K51" s="15">
        <v>4087</v>
      </c>
      <c r="L51" s="15">
        <v>3993</v>
      </c>
      <c r="M51" s="15">
        <v>4025</v>
      </c>
      <c r="O51" s="15">
        <v>4029</v>
      </c>
      <c r="P51" s="15">
        <v>4021</v>
      </c>
      <c r="Q51">
        <f t="shared" si="4"/>
        <v>4051</v>
      </c>
      <c r="S51">
        <f>MAX(G51,K51,O51)</f>
        <v>4096</v>
      </c>
      <c r="T51">
        <f>MIN(H51,L51,P51)</f>
        <v>3993</v>
      </c>
    </row>
    <row r="52" spans="2:20" ht="12.75">
      <c r="B52" t="s">
        <v>161</v>
      </c>
      <c r="C52" t="s">
        <v>159</v>
      </c>
      <c r="E52" s="15">
        <v>3012.98</v>
      </c>
      <c r="F52" s="15">
        <v>19.39</v>
      </c>
      <c r="G52" s="15">
        <v>3061.42</v>
      </c>
      <c r="H52" s="15">
        <v>2978.57</v>
      </c>
      <c r="I52" s="15">
        <v>2949.29</v>
      </c>
      <c r="J52" s="15">
        <v>17.33</v>
      </c>
      <c r="K52" s="15">
        <v>2985.71</v>
      </c>
      <c r="L52" s="15">
        <v>2915.84</v>
      </c>
      <c r="M52" s="15">
        <v>2934.68</v>
      </c>
      <c r="N52" s="15">
        <v>17.34</v>
      </c>
      <c r="O52" s="15">
        <v>2975.64</v>
      </c>
      <c r="P52" s="15">
        <v>2905</v>
      </c>
      <c r="Q52">
        <f t="shared" si="4"/>
        <v>2965.65</v>
      </c>
      <c r="R52">
        <f>AVERAGE(F52,J52,N52)</f>
        <v>18.02</v>
      </c>
      <c r="S52">
        <f>MAX(G52,K52,O52)</f>
        <v>3061.42</v>
      </c>
      <c r="T52">
        <f>MIN(H52,L52,P52)</f>
        <v>2905</v>
      </c>
    </row>
    <row r="53" spans="2:20" ht="12.75">
      <c r="B53" t="s">
        <v>162</v>
      </c>
      <c r="C53" t="s">
        <v>159</v>
      </c>
      <c r="E53" s="15">
        <v>5800</v>
      </c>
      <c r="G53" s="15">
        <v>5864</v>
      </c>
      <c r="H53" s="15">
        <v>5771</v>
      </c>
      <c r="I53" s="15">
        <v>5704</v>
      </c>
      <c r="K53" s="15">
        <v>5535</v>
      </c>
      <c r="L53" s="15">
        <v>5873</v>
      </c>
      <c r="M53" s="15">
        <v>5936</v>
      </c>
      <c r="O53" s="15">
        <v>5932</v>
      </c>
      <c r="P53" s="15">
        <v>5700</v>
      </c>
      <c r="Q53">
        <f t="shared" si="4"/>
        <v>5813.333333333333</v>
      </c>
      <c r="S53">
        <f>MAX(G53,K53,O53)</f>
        <v>5932</v>
      </c>
      <c r="T53">
        <f>MIN(H53,L53,P53)</f>
        <v>5700</v>
      </c>
    </row>
    <row r="54" spans="2:20" ht="12.75">
      <c r="B54" t="s">
        <v>163</v>
      </c>
      <c r="C54" t="s">
        <v>159</v>
      </c>
      <c r="E54" s="15">
        <v>30632.93</v>
      </c>
      <c r="F54" s="15">
        <v>131.25</v>
      </c>
      <c r="G54" s="15">
        <v>30967.07</v>
      </c>
      <c r="H54" s="15">
        <v>30433.2</v>
      </c>
      <c r="I54" s="15">
        <v>31391.98</v>
      </c>
      <c r="J54" s="15">
        <v>273.81</v>
      </c>
      <c r="K54" s="15">
        <v>32165.12</v>
      </c>
      <c r="L54" s="15">
        <v>30940.48</v>
      </c>
      <c r="M54" s="15">
        <v>30914.09</v>
      </c>
      <c r="N54" s="15">
        <v>135.83</v>
      </c>
      <c r="O54" s="15">
        <v>31224.02</v>
      </c>
      <c r="P54" s="15">
        <v>30678.41</v>
      </c>
      <c r="Q54">
        <f t="shared" si="4"/>
        <v>30979.666666666668</v>
      </c>
      <c r="R54">
        <f>AVERAGE(F54,J54,N54)</f>
        <v>180.29666666666665</v>
      </c>
      <c r="S54">
        <f>MAX(G54,K54,O54)</f>
        <v>32165.12</v>
      </c>
      <c r="T54">
        <f>MIN(H54,L54,P54)</f>
        <v>30433.2</v>
      </c>
    </row>
    <row r="55" spans="2:17" ht="12.75">
      <c r="B55" t="s">
        <v>164</v>
      </c>
      <c r="C55" t="s">
        <v>152</v>
      </c>
      <c r="E55" s="15">
        <v>81.88</v>
      </c>
      <c r="I55" s="15">
        <v>75.08</v>
      </c>
      <c r="M55" s="15">
        <v>74.23</v>
      </c>
      <c r="Q55">
        <f t="shared" si="4"/>
        <v>77.06333333333333</v>
      </c>
    </row>
    <row r="56" spans="2:20" ht="12.75">
      <c r="B56" t="s">
        <v>165</v>
      </c>
      <c r="C56" t="s">
        <v>53</v>
      </c>
      <c r="E56" s="15">
        <v>50718</v>
      </c>
      <c r="F56" s="15">
        <v>1666</v>
      </c>
      <c r="G56" s="15">
        <v>53657</v>
      </c>
      <c r="H56" s="15">
        <v>46552</v>
      </c>
      <c r="I56" s="15">
        <v>50252</v>
      </c>
      <c r="J56" s="15">
        <v>2995</v>
      </c>
      <c r="K56" s="15">
        <v>60047</v>
      </c>
      <c r="L56" s="15">
        <v>43896</v>
      </c>
      <c r="M56" s="15">
        <v>51817</v>
      </c>
      <c r="N56" s="15">
        <v>2231</v>
      </c>
      <c r="O56" s="15">
        <v>57604</v>
      </c>
      <c r="P56" s="15">
        <v>48048</v>
      </c>
      <c r="Q56">
        <f t="shared" si="4"/>
        <v>50929</v>
      </c>
      <c r="R56">
        <f aca="true" t="shared" si="5" ref="R56:R61">AVERAGE(F56,J56,N56)</f>
        <v>2297.3333333333335</v>
      </c>
      <c r="S56">
        <f aca="true" t="shared" si="6" ref="S56:S82">MAX(G56,K56,O56)</f>
        <v>60047</v>
      </c>
      <c r="T56">
        <f aca="true" t="shared" si="7" ref="T56:T82">MIN(H56,L56,P56)</f>
        <v>43896</v>
      </c>
    </row>
    <row r="57" spans="2:20" ht="12.75">
      <c r="B57" t="s">
        <v>166</v>
      </c>
      <c r="C57" t="s">
        <v>167</v>
      </c>
      <c r="E57" s="15">
        <v>0.22</v>
      </c>
      <c r="F57" s="15">
        <v>0.02</v>
      </c>
      <c r="G57" s="15">
        <v>0.25</v>
      </c>
      <c r="H57" s="15">
        <v>0.19</v>
      </c>
      <c r="I57" s="15">
        <v>0.2</v>
      </c>
      <c r="J57" s="15">
        <v>0</v>
      </c>
      <c r="K57" s="15">
        <v>0.21</v>
      </c>
      <c r="L57" s="15">
        <v>0.2</v>
      </c>
      <c r="M57" s="15">
        <v>0.19</v>
      </c>
      <c r="N57" s="15">
        <v>0.01</v>
      </c>
      <c r="O57" s="15">
        <v>0.19</v>
      </c>
      <c r="P57" s="15">
        <v>0.18</v>
      </c>
      <c r="Q57">
        <f t="shared" si="4"/>
        <v>0.20333333333333337</v>
      </c>
      <c r="R57">
        <f t="shared" si="5"/>
        <v>0.01</v>
      </c>
      <c r="S57">
        <f t="shared" si="6"/>
        <v>0.25</v>
      </c>
      <c r="T57">
        <f t="shared" si="7"/>
        <v>0.18</v>
      </c>
    </row>
    <row r="58" spans="2:20" ht="12.75">
      <c r="B58" t="s">
        <v>169</v>
      </c>
      <c r="C58" t="s">
        <v>168</v>
      </c>
      <c r="E58" s="15">
        <v>-0.44</v>
      </c>
      <c r="F58" s="15">
        <v>0.03</v>
      </c>
      <c r="G58" s="15">
        <v>-0.37</v>
      </c>
      <c r="H58" s="15">
        <v>-0.5</v>
      </c>
      <c r="I58" s="15">
        <v>-0.49</v>
      </c>
      <c r="J58" s="15">
        <v>0.01</v>
      </c>
      <c r="K58" s="15">
        <v>-0.47</v>
      </c>
      <c r="L58" s="15">
        <v>-0.52</v>
      </c>
      <c r="M58" s="15">
        <v>-0.5</v>
      </c>
      <c r="N58" s="15">
        <v>0.01</v>
      </c>
      <c r="O58" s="15">
        <v>-0.47</v>
      </c>
      <c r="P58" s="15">
        <v>-0.52</v>
      </c>
      <c r="Q58">
        <f t="shared" si="4"/>
        <v>-0.4766666666666666</v>
      </c>
      <c r="R58">
        <f t="shared" si="5"/>
        <v>0.016666666666666666</v>
      </c>
      <c r="S58">
        <f t="shared" si="6"/>
        <v>-0.37</v>
      </c>
      <c r="T58">
        <f t="shared" si="7"/>
        <v>-0.52</v>
      </c>
    </row>
    <row r="59" spans="2:20" ht="12.75">
      <c r="B59" t="s">
        <v>170</v>
      </c>
      <c r="C59" t="s">
        <v>168</v>
      </c>
      <c r="E59" s="15">
        <v>-1.29</v>
      </c>
      <c r="F59" s="15">
        <v>0.04</v>
      </c>
      <c r="G59" s="15">
        <v>-1.2</v>
      </c>
      <c r="H59" s="15">
        <v>-1.36</v>
      </c>
      <c r="I59" s="15">
        <v>-1.36</v>
      </c>
      <c r="J59" s="15">
        <v>0.03</v>
      </c>
      <c r="K59" s="15">
        <v>-1.3</v>
      </c>
      <c r="L59" s="15">
        <v>-1.42</v>
      </c>
      <c r="M59" s="15">
        <v>-1.38</v>
      </c>
      <c r="N59" s="15">
        <v>0.03</v>
      </c>
      <c r="O59" s="15">
        <v>-1.32</v>
      </c>
      <c r="P59" s="15">
        <v>-1.44</v>
      </c>
      <c r="Q59">
        <f t="shared" si="4"/>
        <v>-1.3433333333333335</v>
      </c>
      <c r="R59">
        <f t="shared" si="5"/>
        <v>0.03333333333333333</v>
      </c>
      <c r="S59">
        <f t="shared" si="6"/>
        <v>-1.2</v>
      </c>
      <c r="T59">
        <f t="shared" si="7"/>
        <v>-1.44</v>
      </c>
    </row>
    <row r="60" spans="2:20" ht="12.75">
      <c r="B60" t="s">
        <v>171</v>
      </c>
      <c r="C60" t="s">
        <v>168</v>
      </c>
      <c r="E60" s="15">
        <v>2.35</v>
      </c>
      <c r="F60" s="15">
        <v>0.06</v>
      </c>
      <c r="G60" s="15">
        <v>2.47</v>
      </c>
      <c r="H60" s="15">
        <v>2.1</v>
      </c>
      <c r="I60" s="15">
        <v>2.47</v>
      </c>
      <c r="J60" s="15">
        <v>0.03</v>
      </c>
      <c r="K60" s="15">
        <v>2.54</v>
      </c>
      <c r="L60" s="15">
        <v>2.39</v>
      </c>
      <c r="M60" s="15">
        <v>2.49</v>
      </c>
      <c r="N60" s="15">
        <v>0.07</v>
      </c>
      <c r="O60" s="15">
        <v>2.61</v>
      </c>
      <c r="P60" s="15">
        <v>2.18</v>
      </c>
      <c r="Q60">
        <f t="shared" si="4"/>
        <v>2.436666666666667</v>
      </c>
      <c r="R60">
        <f t="shared" si="5"/>
        <v>0.05333333333333334</v>
      </c>
      <c r="S60">
        <f t="shared" si="6"/>
        <v>2.61</v>
      </c>
      <c r="T60">
        <f t="shared" si="7"/>
        <v>2.1</v>
      </c>
    </row>
    <row r="61" spans="2:20" ht="12.75">
      <c r="B61" t="s">
        <v>204</v>
      </c>
      <c r="C61" t="s">
        <v>205</v>
      </c>
      <c r="E61" s="15">
        <v>3</v>
      </c>
      <c r="F61" s="15">
        <v>0</v>
      </c>
      <c r="G61" s="15">
        <v>3</v>
      </c>
      <c r="H61" s="15">
        <v>3</v>
      </c>
      <c r="I61" s="15">
        <v>3</v>
      </c>
      <c r="J61" s="15">
        <v>0</v>
      </c>
      <c r="K61" s="15">
        <v>3</v>
      </c>
      <c r="L61" s="15">
        <v>3</v>
      </c>
      <c r="M61" s="15">
        <v>3</v>
      </c>
      <c r="N61" s="15">
        <v>0</v>
      </c>
      <c r="O61" s="15">
        <v>3</v>
      </c>
      <c r="P61" s="15">
        <v>3</v>
      </c>
      <c r="Q61">
        <f t="shared" si="4"/>
        <v>3</v>
      </c>
      <c r="R61">
        <f t="shared" si="5"/>
        <v>0</v>
      </c>
      <c r="S61">
        <f t="shared" si="6"/>
        <v>3</v>
      </c>
      <c r="T61">
        <f t="shared" si="7"/>
        <v>3</v>
      </c>
    </row>
    <row r="62" spans="2:20" ht="12.75">
      <c r="B62" t="s">
        <v>172</v>
      </c>
      <c r="C62" t="s">
        <v>174</v>
      </c>
      <c r="E62" s="15">
        <v>390</v>
      </c>
      <c r="G62" s="15">
        <v>390</v>
      </c>
      <c r="H62" s="15">
        <v>390</v>
      </c>
      <c r="I62" s="15">
        <v>395</v>
      </c>
      <c r="K62" s="15">
        <v>400</v>
      </c>
      <c r="L62" s="15">
        <v>390</v>
      </c>
      <c r="M62" s="15">
        <v>380</v>
      </c>
      <c r="O62" s="15">
        <v>390</v>
      </c>
      <c r="P62" s="15">
        <v>375</v>
      </c>
      <c r="Q62">
        <f t="shared" si="4"/>
        <v>388.3333333333333</v>
      </c>
      <c r="S62">
        <f t="shared" si="6"/>
        <v>400</v>
      </c>
      <c r="T62">
        <f t="shared" si="7"/>
        <v>375</v>
      </c>
    </row>
    <row r="63" spans="2:20" ht="12.75">
      <c r="B63" t="s">
        <v>173</v>
      </c>
      <c r="C63" t="s">
        <v>175</v>
      </c>
      <c r="E63" s="15">
        <v>50</v>
      </c>
      <c r="G63" s="15">
        <v>52</v>
      </c>
      <c r="H63" s="15">
        <v>48</v>
      </c>
      <c r="I63" s="15">
        <v>47</v>
      </c>
      <c r="K63" s="15">
        <v>50</v>
      </c>
      <c r="L63" s="15">
        <v>42</v>
      </c>
      <c r="M63" s="15">
        <v>52</v>
      </c>
      <c r="O63" s="15">
        <v>53</v>
      </c>
      <c r="P63" s="15">
        <v>52</v>
      </c>
      <c r="Q63">
        <f t="shared" si="4"/>
        <v>49.666666666666664</v>
      </c>
      <c r="S63">
        <f t="shared" si="6"/>
        <v>53</v>
      </c>
      <c r="T63">
        <f t="shared" si="7"/>
        <v>42</v>
      </c>
    </row>
    <row r="64" spans="2:20" ht="12.75">
      <c r="B64" t="s">
        <v>176</v>
      </c>
      <c r="C64" t="s">
        <v>177</v>
      </c>
      <c r="E64" s="15">
        <v>50</v>
      </c>
      <c r="G64" s="15">
        <v>54</v>
      </c>
      <c r="H64" s="15">
        <v>46</v>
      </c>
      <c r="I64" s="15">
        <v>53</v>
      </c>
      <c r="K64" s="15">
        <v>54</v>
      </c>
      <c r="L64" s="15">
        <v>52</v>
      </c>
      <c r="M64" s="15">
        <v>53</v>
      </c>
      <c r="O64" s="15">
        <v>53</v>
      </c>
      <c r="P64" s="15">
        <v>51</v>
      </c>
      <c r="Q64">
        <f t="shared" si="4"/>
        <v>52</v>
      </c>
      <c r="S64">
        <f t="shared" si="6"/>
        <v>54</v>
      </c>
      <c r="T64">
        <f t="shared" si="7"/>
        <v>46</v>
      </c>
    </row>
    <row r="65" spans="2:20" ht="12.75">
      <c r="B65" t="s">
        <v>178</v>
      </c>
      <c r="C65" t="s">
        <v>179</v>
      </c>
      <c r="E65" s="15">
        <v>260</v>
      </c>
      <c r="G65" s="15">
        <v>275</v>
      </c>
      <c r="H65" s="15">
        <v>240</v>
      </c>
      <c r="I65" s="15">
        <v>285</v>
      </c>
      <c r="K65" s="15">
        <v>290</v>
      </c>
      <c r="L65" s="15">
        <v>280</v>
      </c>
      <c r="M65" s="15">
        <v>255</v>
      </c>
      <c r="O65" s="15">
        <v>285</v>
      </c>
      <c r="P65" s="15">
        <v>200</v>
      </c>
      <c r="Q65">
        <f t="shared" si="4"/>
        <v>266.6666666666667</v>
      </c>
      <c r="S65">
        <f t="shared" si="6"/>
        <v>290</v>
      </c>
      <c r="T65">
        <f t="shared" si="7"/>
        <v>200</v>
      </c>
    </row>
    <row r="66" spans="2:20" ht="12.75">
      <c r="B66" t="s">
        <v>180</v>
      </c>
      <c r="C66" t="s">
        <v>174</v>
      </c>
      <c r="E66" s="15">
        <v>340</v>
      </c>
      <c r="G66" s="15">
        <v>340</v>
      </c>
      <c r="H66" s="15">
        <v>340</v>
      </c>
      <c r="I66" s="15">
        <v>340</v>
      </c>
      <c r="K66" s="15">
        <v>340</v>
      </c>
      <c r="L66" s="15">
        <v>335</v>
      </c>
      <c r="M66" s="15">
        <v>330</v>
      </c>
      <c r="O66" s="15">
        <v>340</v>
      </c>
      <c r="P66" s="15">
        <v>325</v>
      </c>
      <c r="Q66">
        <f t="shared" si="4"/>
        <v>336.6666666666667</v>
      </c>
      <c r="S66">
        <f t="shared" si="6"/>
        <v>340</v>
      </c>
      <c r="T66">
        <f t="shared" si="7"/>
        <v>325</v>
      </c>
    </row>
    <row r="67" spans="2:20" ht="12.75">
      <c r="B67" t="s">
        <v>181</v>
      </c>
      <c r="C67" t="s">
        <v>175</v>
      </c>
      <c r="E67" s="15">
        <v>51</v>
      </c>
      <c r="G67" s="15">
        <v>51</v>
      </c>
      <c r="H67" s="15">
        <v>51</v>
      </c>
      <c r="I67" s="15">
        <v>52</v>
      </c>
      <c r="K67" s="15">
        <v>52</v>
      </c>
      <c r="L67" s="15">
        <v>51</v>
      </c>
      <c r="M67" s="15">
        <v>52</v>
      </c>
      <c r="O67" s="15">
        <v>52</v>
      </c>
      <c r="P67" s="15">
        <v>51</v>
      </c>
      <c r="Q67">
        <f t="shared" si="4"/>
        <v>51.666666666666664</v>
      </c>
      <c r="S67">
        <f t="shared" si="6"/>
        <v>52</v>
      </c>
      <c r="T67">
        <f t="shared" si="7"/>
        <v>51</v>
      </c>
    </row>
    <row r="68" spans="2:20" ht="12.75">
      <c r="B68" t="s">
        <v>182</v>
      </c>
      <c r="C68" t="s">
        <v>177</v>
      </c>
      <c r="E68" s="15">
        <v>43</v>
      </c>
      <c r="G68" s="15">
        <v>43</v>
      </c>
      <c r="H68" s="15">
        <v>42</v>
      </c>
      <c r="I68" s="15">
        <v>42</v>
      </c>
      <c r="K68" s="15">
        <v>43</v>
      </c>
      <c r="L68" s="15">
        <v>42</v>
      </c>
      <c r="M68" s="15">
        <v>42</v>
      </c>
      <c r="O68" s="15">
        <v>42</v>
      </c>
      <c r="P68" s="15">
        <v>42</v>
      </c>
      <c r="Q68">
        <f t="shared" si="4"/>
        <v>42.333333333333336</v>
      </c>
      <c r="S68">
        <f t="shared" si="6"/>
        <v>43</v>
      </c>
      <c r="T68">
        <f t="shared" si="7"/>
        <v>42</v>
      </c>
    </row>
    <row r="69" spans="2:20" ht="12.75">
      <c r="B69" t="s">
        <v>183</v>
      </c>
      <c r="C69" t="s">
        <v>179</v>
      </c>
      <c r="E69" s="15">
        <v>265</v>
      </c>
      <c r="G69" s="15">
        <v>270</v>
      </c>
      <c r="H69" s="15">
        <v>255</v>
      </c>
      <c r="I69" s="15">
        <v>265</v>
      </c>
      <c r="K69" s="15">
        <v>270</v>
      </c>
      <c r="L69" s="15">
        <v>265</v>
      </c>
      <c r="M69" s="15">
        <v>265</v>
      </c>
      <c r="O69" s="15">
        <v>270</v>
      </c>
      <c r="P69" s="15">
        <v>260</v>
      </c>
      <c r="Q69">
        <f t="shared" si="4"/>
        <v>265</v>
      </c>
      <c r="S69">
        <f t="shared" si="6"/>
        <v>270</v>
      </c>
      <c r="T69">
        <f t="shared" si="7"/>
        <v>255</v>
      </c>
    </row>
    <row r="70" spans="2:20" ht="12.75">
      <c r="B70" t="s">
        <v>184</v>
      </c>
      <c r="C70" t="s">
        <v>174</v>
      </c>
      <c r="E70" s="15">
        <v>305</v>
      </c>
      <c r="G70" s="15">
        <v>310</v>
      </c>
      <c r="H70" s="15">
        <v>300</v>
      </c>
      <c r="I70" s="15">
        <v>305</v>
      </c>
      <c r="K70" s="15">
        <v>310</v>
      </c>
      <c r="L70" s="15">
        <v>300</v>
      </c>
      <c r="M70" s="15">
        <v>300</v>
      </c>
      <c r="O70" s="15">
        <v>300</v>
      </c>
      <c r="P70" s="15">
        <v>290</v>
      </c>
      <c r="Q70">
        <f t="shared" si="4"/>
        <v>303.3333333333333</v>
      </c>
      <c r="S70">
        <f t="shared" si="6"/>
        <v>310</v>
      </c>
      <c r="T70">
        <f t="shared" si="7"/>
        <v>290</v>
      </c>
    </row>
    <row r="71" spans="2:20" ht="12.75">
      <c r="B71" t="s">
        <v>185</v>
      </c>
      <c r="C71" t="s">
        <v>175</v>
      </c>
      <c r="E71" s="15">
        <v>53</v>
      </c>
      <c r="G71" s="15">
        <v>53</v>
      </c>
      <c r="H71" s="15">
        <v>52</v>
      </c>
      <c r="I71" s="15">
        <v>52</v>
      </c>
      <c r="K71" s="15">
        <v>52</v>
      </c>
      <c r="L71" s="15">
        <v>52</v>
      </c>
      <c r="M71" s="15">
        <v>52</v>
      </c>
      <c r="O71" s="15">
        <v>53</v>
      </c>
      <c r="P71" s="15">
        <v>52</v>
      </c>
      <c r="Q71">
        <f t="shared" si="4"/>
        <v>52.333333333333336</v>
      </c>
      <c r="S71">
        <f t="shared" si="6"/>
        <v>53</v>
      </c>
      <c r="T71">
        <f t="shared" si="7"/>
        <v>52</v>
      </c>
    </row>
    <row r="72" spans="2:20" ht="12.75">
      <c r="B72" t="s">
        <v>186</v>
      </c>
      <c r="C72" t="s">
        <v>177</v>
      </c>
      <c r="E72" s="15">
        <v>41</v>
      </c>
      <c r="G72" s="15">
        <v>41</v>
      </c>
      <c r="H72" s="15">
        <v>40</v>
      </c>
      <c r="I72" s="15">
        <v>41</v>
      </c>
      <c r="K72" s="15">
        <v>41</v>
      </c>
      <c r="L72" s="15">
        <v>41</v>
      </c>
      <c r="M72" s="15">
        <v>41</v>
      </c>
      <c r="O72" s="15">
        <v>41</v>
      </c>
      <c r="P72" s="15">
        <v>40</v>
      </c>
      <c r="Q72">
        <f t="shared" si="4"/>
        <v>41</v>
      </c>
      <c r="S72">
        <f t="shared" si="6"/>
        <v>41</v>
      </c>
      <c r="T72">
        <f t="shared" si="7"/>
        <v>40</v>
      </c>
    </row>
    <row r="73" spans="2:20" ht="12.75">
      <c r="B73" t="s">
        <v>187</v>
      </c>
      <c r="C73" t="s">
        <v>179</v>
      </c>
      <c r="E73" s="15">
        <v>280</v>
      </c>
      <c r="G73" s="15">
        <v>285</v>
      </c>
      <c r="H73" s="15">
        <v>280</v>
      </c>
      <c r="I73" s="15">
        <v>285</v>
      </c>
      <c r="K73" s="15">
        <v>285</v>
      </c>
      <c r="L73" s="15">
        <v>285</v>
      </c>
      <c r="M73" s="15">
        <v>280</v>
      </c>
      <c r="O73" s="15">
        <v>280</v>
      </c>
      <c r="P73" s="15">
        <v>280</v>
      </c>
      <c r="Q73">
        <f t="shared" si="4"/>
        <v>281.6666666666667</v>
      </c>
      <c r="S73">
        <f t="shared" si="6"/>
        <v>285</v>
      </c>
      <c r="T73">
        <f t="shared" si="7"/>
        <v>280</v>
      </c>
    </row>
    <row r="74" spans="2:20" ht="12.75">
      <c r="B74" t="s">
        <v>188</v>
      </c>
      <c r="C74" t="s">
        <v>189</v>
      </c>
      <c r="E74" s="15">
        <v>184.89</v>
      </c>
      <c r="F74" s="15">
        <v>0.37</v>
      </c>
      <c r="G74" s="15">
        <v>185.4</v>
      </c>
      <c r="H74" s="15">
        <v>184.03</v>
      </c>
      <c r="I74" s="15">
        <v>185.42</v>
      </c>
      <c r="J74" s="15">
        <v>0.27</v>
      </c>
      <c r="K74" s="15">
        <v>185.84</v>
      </c>
      <c r="L74" s="15">
        <v>184.9</v>
      </c>
      <c r="M74" s="15">
        <v>186.18</v>
      </c>
      <c r="N74" s="15">
        <v>0.13</v>
      </c>
      <c r="O74" s="15">
        <v>186.42</v>
      </c>
      <c r="P74" s="15">
        <v>185.91</v>
      </c>
      <c r="Q74">
        <f t="shared" si="4"/>
        <v>185.49666666666667</v>
      </c>
      <c r="R74">
        <f aca="true" t="shared" si="8" ref="R74:R81">AVERAGE(F74,J74,N74)</f>
        <v>0.25666666666666665</v>
      </c>
      <c r="S74">
        <f t="shared" si="6"/>
        <v>186.42</v>
      </c>
      <c r="T74">
        <f t="shared" si="7"/>
        <v>184.03</v>
      </c>
    </row>
    <row r="75" spans="2:20" ht="12.75">
      <c r="B75" t="s">
        <v>190</v>
      </c>
      <c r="C75" t="s">
        <v>189</v>
      </c>
      <c r="E75" s="15">
        <v>631.51</v>
      </c>
      <c r="F75" s="15">
        <v>1</v>
      </c>
      <c r="G75" s="15">
        <v>633.76</v>
      </c>
      <c r="H75" s="15">
        <v>629.51</v>
      </c>
      <c r="I75" s="15">
        <v>636.64</v>
      </c>
      <c r="J75" s="15">
        <v>0.85</v>
      </c>
      <c r="K75" s="15">
        <v>639.14</v>
      </c>
      <c r="L75" s="15">
        <v>635.43</v>
      </c>
      <c r="M75" s="15">
        <v>633.91</v>
      </c>
      <c r="N75" s="15">
        <v>2.86</v>
      </c>
      <c r="O75" s="15">
        <v>638.4</v>
      </c>
      <c r="P75" s="15">
        <v>629.53</v>
      </c>
      <c r="Q75">
        <f t="shared" si="4"/>
        <v>634.02</v>
      </c>
      <c r="R75">
        <f t="shared" si="8"/>
        <v>1.57</v>
      </c>
      <c r="S75">
        <f t="shared" si="6"/>
        <v>639.14</v>
      </c>
      <c r="T75">
        <f t="shared" si="7"/>
        <v>629.51</v>
      </c>
    </row>
    <row r="76" spans="2:20" ht="14.25">
      <c r="B76" t="s">
        <v>206</v>
      </c>
      <c r="C76" s="4" t="s">
        <v>56</v>
      </c>
      <c r="E76" s="15">
        <v>151.38</v>
      </c>
      <c r="F76" s="15">
        <v>1.36</v>
      </c>
      <c r="G76" s="15">
        <v>154.52</v>
      </c>
      <c r="H76" s="15">
        <v>149</v>
      </c>
      <c r="I76" s="15">
        <v>151.04</v>
      </c>
      <c r="J76" s="15">
        <v>2.01</v>
      </c>
      <c r="K76" s="15">
        <v>156.84</v>
      </c>
      <c r="L76" s="15">
        <v>147.52</v>
      </c>
      <c r="M76" s="15">
        <v>152.38</v>
      </c>
      <c r="N76" s="15">
        <v>1.16</v>
      </c>
      <c r="O76" s="15">
        <v>155.22</v>
      </c>
      <c r="P76" s="15">
        <v>150.52</v>
      </c>
      <c r="Q76">
        <f t="shared" si="4"/>
        <v>151.6</v>
      </c>
      <c r="R76">
        <f t="shared" si="8"/>
        <v>1.51</v>
      </c>
      <c r="S76">
        <f t="shared" si="6"/>
        <v>156.84</v>
      </c>
      <c r="T76">
        <f t="shared" si="7"/>
        <v>147.52</v>
      </c>
    </row>
    <row r="77" spans="2:20" ht="12.75">
      <c r="B77" t="s">
        <v>191</v>
      </c>
      <c r="C77" t="s">
        <v>192</v>
      </c>
      <c r="E77" s="15">
        <v>7.32</v>
      </c>
      <c r="F77" s="15">
        <v>1.54</v>
      </c>
      <c r="G77" s="15">
        <v>12.64</v>
      </c>
      <c r="H77" s="15">
        <v>4.74</v>
      </c>
      <c r="I77" s="15">
        <v>10.82</v>
      </c>
      <c r="J77" s="15">
        <v>2.21</v>
      </c>
      <c r="K77" s="15">
        <v>17.3</v>
      </c>
      <c r="L77" s="15">
        <v>7.41</v>
      </c>
      <c r="M77" s="15">
        <v>12.03</v>
      </c>
      <c r="N77" s="15">
        <v>1.76</v>
      </c>
      <c r="O77" s="15">
        <v>16.63</v>
      </c>
      <c r="P77" s="15">
        <v>7.43</v>
      </c>
      <c r="Q77">
        <f t="shared" si="4"/>
        <v>10.056666666666667</v>
      </c>
      <c r="R77">
        <f t="shared" si="8"/>
        <v>1.8366666666666667</v>
      </c>
      <c r="S77">
        <f t="shared" si="6"/>
        <v>17.3</v>
      </c>
      <c r="T77">
        <f t="shared" si="7"/>
        <v>4.74</v>
      </c>
    </row>
    <row r="78" spans="2:20" ht="12.75">
      <c r="B78" t="s">
        <v>193</v>
      </c>
      <c r="C78" t="s">
        <v>194</v>
      </c>
      <c r="E78" s="15">
        <v>9.62</v>
      </c>
      <c r="F78" s="15">
        <v>0.19</v>
      </c>
      <c r="G78" s="15">
        <v>10.03</v>
      </c>
      <c r="H78" s="15">
        <v>9.22</v>
      </c>
      <c r="I78" s="15">
        <v>9.8</v>
      </c>
      <c r="J78" s="15">
        <v>0.32</v>
      </c>
      <c r="K78" s="15">
        <v>10.26</v>
      </c>
      <c r="L78" s="15">
        <v>8.69</v>
      </c>
      <c r="M78" s="15">
        <v>9.79</v>
      </c>
      <c r="N78" s="15">
        <v>0.26</v>
      </c>
      <c r="O78" s="15">
        <v>10.2</v>
      </c>
      <c r="P78" s="15">
        <v>9.19</v>
      </c>
      <c r="Q78">
        <f t="shared" si="4"/>
        <v>9.736666666666666</v>
      </c>
      <c r="R78">
        <f t="shared" si="8"/>
        <v>0.25666666666666665</v>
      </c>
      <c r="S78">
        <f t="shared" si="6"/>
        <v>10.26</v>
      </c>
      <c r="T78">
        <f t="shared" si="7"/>
        <v>8.69</v>
      </c>
    </row>
    <row r="79" spans="2:20" ht="12.75">
      <c r="B79" t="s">
        <v>195</v>
      </c>
      <c r="C79" t="s">
        <v>194</v>
      </c>
      <c r="E79" s="15">
        <v>3.77</v>
      </c>
      <c r="F79" s="15">
        <v>0.09</v>
      </c>
      <c r="G79" s="15">
        <v>3.89</v>
      </c>
      <c r="H79" s="15">
        <v>3.58</v>
      </c>
      <c r="I79" s="15">
        <v>3.59</v>
      </c>
      <c r="J79" s="15">
        <v>0.1</v>
      </c>
      <c r="K79" s="15">
        <v>3.75</v>
      </c>
      <c r="L79" s="15">
        <v>3.44</v>
      </c>
      <c r="M79" s="15">
        <v>3.44</v>
      </c>
      <c r="N79" s="15">
        <v>0.08</v>
      </c>
      <c r="O79" s="15">
        <v>3.65</v>
      </c>
      <c r="P79" s="15">
        <v>3.3</v>
      </c>
      <c r="Q79">
        <f t="shared" si="4"/>
        <v>3.5999999999999996</v>
      </c>
      <c r="R79">
        <f t="shared" si="8"/>
        <v>0.09000000000000001</v>
      </c>
      <c r="S79">
        <f t="shared" si="6"/>
        <v>3.89</v>
      </c>
      <c r="T79">
        <f t="shared" si="7"/>
        <v>3.3</v>
      </c>
    </row>
    <row r="80" spans="2:20" ht="12.75">
      <c r="B80" t="s">
        <v>196</v>
      </c>
      <c r="C80" t="s">
        <v>192</v>
      </c>
      <c r="E80" s="15">
        <v>18.9</v>
      </c>
      <c r="F80" s="15">
        <v>1.1</v>
      </c>
      <c r="G80" s="15">
        <v>22.27</v>
      </c>
      <c r="H80" s="15">
        <v>16.97</v>
      </c>
      <c r="I80" s="15">
        <v>20.96</v>
      </c>
      <c r="J80" s="15">
        <v>1.72</v>
      </c>
      <c r="K80" s="15">
        <v>25.4</v>
      </c>
      <c r="L80" s="15">
        <v>17.96</v>
      </c>
      <c r="M80" s="15">
        <v>22.16</v>
      </c>
      <c r="N80" s="15">
        <v>1.52</v>
      </c>
      <c r="O80" s="15">
        <v>26.09</v>
      </c>
      <c r="P80" s="15">
        <v>18.65</v>
      </c>
      <c r="Q80">
        <f t="shared" si="4"/>
        <v>20.673333333333332</v>
      </c>
      <c r="R80">
        <f t="shared" si="8"/>
        <v>1.4466666666666665</v>
      </c>
      <c r="S80">
        <f t="shared" si="6"/>
        <v>26.09</v>
      </c>
      <c r="T80">
        <f t="shared" si="7"/>
        <v>16.97</v>
      </c>
    </row>
    <row r="81" spans="2:20" ht="12.75">
      <c r="B81" t="s">
        <v>198</v>
      </c>
      <c r="C81" t="s">
        <v>197</v>
      </c>
      <c r="E81" s="15">
        <v>6</v>
      </c>
      <c r="F81" s="15">
        <v>0.02</v>
      </c>
      <c r="G81" s="15">
        <v>6.06</v>
      </c>
      <c r="H81" s="15">
        <v>5.96</v>
      </c>
      <c r="I81" s="15">
        <v>6.01</v>
      </c>
      <c r="J81" s="15">
        <v>0.08</v>
      </c>
      <c r="K81" s="15">
        <v>6.51</v>
      </c>
      <c r="L81" s="15">
        <v>5.89</v>
      </c>
      <c r="M81" s="15">
        <v>5.99</v>
      </c>
      <c r="N81">
        <v>0.02</v>
      </c>
      <c r="O81" s="15">
        <v>6.03</v>
      </c>
      <c r="P81" s="15">
        <v>5.92</v>
      </c>
      <c r="Q81">
        <f t="shared" si="4"/>
        <v>6</v>
      </c>
      <c r="R81">
        <f t="shared" si="8"/>
        <v>0.04</v>
      </c>
      <c r="S81">
        <f t="shared" si="6"/>
        <v>6.51</v>
      </c>
      <c r="T81">
        <f t="shared" si="7"/>
        <v>5.89</v>
      </c>
    </row>
    <row r="82" spans="2:20" ht="12.75">
      <c r="B82" t="s">
        <v>199</v>
      </c>
      <c r="C82" t="s">
        <v>194</v>
      </c>
      <c r="E82" s="15">
        <v>12.59</v>
      </c>
      <c r="G82" s="15">
        <v>12.82</v>
      </c>
      <c r="H82" s="15">
        <v>12.01</v>
      </c>
      <c r="I82" s="15">
        <v>12.81</v>
      </c>
      <c r="K82" s="15">
        <v>13.31</v>
      </c>
      <c r="L82" s="15">
        <v>12.09</v>
      </c>
      <c r="M82" s="15">
        <v>14.16</v>
      </c>
      <c r="O82" s="15">
        <v>15.25</v>
      </c>
      <c r="P82" s="15">
        <v>13.06</v>
      </c>
      <c r="Q82">
        <f t="shared" si="4"/>
        <v>13.186666666666667</v>
      </c>
      <c r="S82">
        <f t="shared" si="6"/>
        <v>15.25</v>
      </c>
      <c r="T82">
        <f t="shared" si="7"/>
        <v>12.01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5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6">
      <selection activeCell="C16" sqref="C16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1.2812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49" customWidth="1"/>
    <col min="11" max="11" width="9.28125" style="0" customWidth="1"/>
    <col min="13" max="13" width="9.28125" style="0" customWidth="1"/>
    <col min="14" max="14" width="4.851562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40" t="s">
        <v>71</v>
      </c>
      <c r="B1" s="25"/>
      <c r="C1" s="25"/>
      <c r="D1" s="25"/>
      <c r="E1" s="33"/>
      <c r="F1" s="34"/>
      <c r="G1" s="33"/>
      <c r="H1" s="34"/>
      <c r="I1" s="37"/>
      <c r="J1" s="33"/>
      <c r="K1" s="33"/>
      <c r="L1" s="33"/>
      <c r="M1" s="33"/>
      <c r="N1" s="33"/>
      <c r="O1" s="33"/>
      <c r="P1" s="33"/>
      <c r="Q1" s="33"/>
      <c r="R1" s="33"/>
    </row>
    <row r="2" spans="1:18" ht="12.75">
      <c r="A2" s="25" t="s">
        <v>342</v>
      </c>
      <c r="B2" s="25"/>
      <c r="C2" s="25"/>
      <c r="D2" s="25"/>
      <c r="E2" s="33"/>
      <c r="F2" s="34"/>
      <c r="G2" s="33"/>
      <c r="H2" s="34"/>
      <c r="I2" s="37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25" t="s">
        <v>20</v>
      </c>
      <c r="B3" s="25"/>
      <c r="C3" s="7" t="s">
        <v>210</v>
      </c>
      <c r="D3" s="7"/>
      <c r="E3" s="33"/>
      <c r="F3" s="34"/>
      <c r="G3" s="33"/>
      <c r="H3" s="34"/>
      <c r="I3" s="37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25" t="s">
        <v>21</v>
      </c>
      <c r="B4" s="25"/>
      <c r="C4" s="7" t="s">
        <v>222</v>
      </c>
      <c r="D4" s="7"/>
      <c r="E4" s="35"/>
      <c r="F4" s="36"/>
      <c r="G4" s="35"/>
      <c r="H4" s="36"/>
      <c r="I4" s="37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25" t="s">
        <v>22</v>
      </c>
      <c r="B5" s="25"/>
      <c r="C5" s="10" t="s">
        <v>211</v>
      </c>
      <c r="D5" s="10"/>
      <c r="E5" s="10"/>
      <c r="F5" s="10"/>
      <c r="G5" s="10"/>
      <c r="H5" s="10"/>
      <c r="I5" s="44"/>
      <c r="J5" s="10"/>
      <c r="K5" s="33"/>
      <c r="L5" s="10"/>
      <c r="M5" s="33"/>
      <c r="N5" s="33"/>
      <c r="O5" s="33"/>
      <c r="P5" s="33"/>
      <c r="Q5" s="33"/>
      <c r="R5" s="33"/>
    </row>
    <row r="6" spans="1:18" ht="12.75">
      <c r="A6" s="25"/>
      <c r="B6" s="25"/>
      <c r="C6" s="27"/>
      <c r="D6" s="27"/>
      <c r="E6" s="37"/>
      <c r="F6" s="34"/>
      <c r="G6" s="37"/>
      <c r="H6" s="34"/>
      <c r="I6" s="37"/>
      <c r="J6" s="37"/>
      <c r="K6" s="33"/>
      <c r="L6" s="37"/>
      <c r="M6" s="33"/>
      <c r="N6" s="33"/>
      <c r="O6" s="37"/>
      <c r="P6" s="33"/>
      <c r="Q6" s="37"/>
      <c r="R6" s="33"/>
    </row>
    <row r="7" spans="1:18" s="82" customFormat="1" ht="12.75">
      <c r="A7" s="25"/>
      <c r="B7" s="25"/>
      <c r="C7" s="27" t="s">
        <v>23</v>
      </c>
      <c r="D7" s="27"/>
      <c r="E7" s="38" t="s">
        <v>54</v>
      </c>
      <c r="F7" s="38"/>
      <c r="G7" s="38"/>
      <c r="H7" s="38"/>
      <c r="I7" s="9"/>
      <c r="J7" s="38" t="s">
        <v>117</v>
      </c>
      <c r="K7" s="38"/>
      <c r="L7" s="38"/>
      <c r="M7" s="38"/>
      <c r="N7" s="9"/>
      <c r="O7" s="38" t="s">
        <v>55</v>
      </c>
      <c r="P7" s="38"/>
      <c r="Q7" s="38"/>
      <c r="R7" s="38"/>
    </row>
    <row r="8" spans="1:18" s="82" customFormat="1" ht="12.75">
      <c r="A8" s="25"/>
      <c r="B8" s="25"/>
      <c r="C8" s="27" t="s">
        <v>24</v>
      </c>
      <c r="D8" s="25"/>
      <c r="E8" s="37" t="s">
        <v>25</v>
      </c>
      <c r="F8" s="36" t="s">
        <v>26</v>
      </c>
      <c r="G8" s="37" t="s">
        <v>25</v>
      </c>
      <c r="H8" s="36" t="s">
        <v>26</v>
      </c>
      <c r="I8" s="37"/>
      <c r="J8" s="37" t="s">
        <v>25</v>
      </c>
      <c r="K8" s="37" t="s">
        <v>27</v>
      </c>
      <c r="L8" s="37" t="s">
        <v>25</v>
      </c>
      <c r="M8" s="37" t="s">
        <v>27</v>
      </c>
      <c r="N8" s="33"/>
      <c r="O8" s="37" t="s">
        <v>25</v>
      </c>
      <c r="P8" s="37" t="s">
        <v>27</v>
      </c>
      <c r="Q8" s="37" t="s">
        <v>25</v>
      </c>
      <c r="R8" s="37" t="s">
        <v>27</v>
      </c>
    </row>
    <row r="9" spans="1:18" s="82" customFormat="1" ht="12.75">
      <c r="A9" s="25"/>
      <c r="B9" s="25"/>
      <c r="C9" s="27"/>
      <c r="D9" s="25"/>
      <c r="E9" s="37" t="s">
        <v>341</v>
      </c>
      <c r="F9" s="37" t="s">
        <v>341</v>
      </c>
      <c r="G9" s="37" t="s">
        <v>70</v>
      </c>
      <c r="H9" s="36" t="s">
        <v>70</v>
      </c>
      <c r="I9" s="37"/>
      <c r="J9" s="37" t="s">
        <v>341</v>
      </c>
      <c r="K9" s="37" t="s">
        <v>341</v>
      </c>
      <c r="L9" s="37" t="s">
        <v>70</v>
      </c>
      <c r="M9" s="36" t="s">
        <v>70</v>
      </c>
      <c r="N9" s="33"/>
      <c r="O9" s="37" t="s">
        <v>341</v>
      </c>
      <c r="P9" s="37" t="s">
        <v>341</v>
      </c>
      <c r="Q9" s="37" t="s">
        <v>70</v>
      </c>
      <c r="R9" s="36" t="s">
        <v>70</v>
      </c>
    </row>
    <row r="10" spans="1:18" ht="12.75">
      <c r="A10" s="25" t="s">
        <v>102</v>
      </c>
      <c r="B10" s="25"/>
      <c r="C10" s="25"/>
      <c r="D10" s="25"/>
      <c r="E10" s="33"/>
      <c r="F10" s="34"/>
      <c r="G10" s="33"/>
      <c r="H10" s="34"/>
      <c r="I10" s="37"/>
      <c r="J10" s="33"/>
      <c r="K10" s="33"/>
      <c r="L10" s="33"/>
      <c r="M10" s="33"/>
      <c r="N10" s="33"/>
      <c r="O10" s="28"/>
      <c r="P10" s="33"/>
      <c r="Q10" s="33"/>
      <c r="R10" s="33"/>
    </row>
    <row r="11" spans="1:18" ht="12.75">
      <c r="A11" s="25"/>
      <c r="B11" s="25" t="s">
        <v>28</v>
      </c>
      <c r="C11" s="27">
        <v>1</v>
      </c>
      <c r="E11">
        <v>98</v>
      </c>
      <c r="F11" s="30">
        <f aca="true" t="shared" si="0" ref="F11:H35">IF(E11="","",E11*$C11)</f>
        <v>98</v>
      </c>
      <c r="G11" s="30">
        <f aca="true" t="shared" si="1" ref="G11:G35">IF(E11=0,"",IF(D11="nd",E11/2,E11))</f>
        <v>98</v>
      </c>
      <c r="H11" s="30">
        <f t="shared" si="0"/>
        <v>98</v>
      </c>
      <c r="I11"/>
      <c r="J11">
        <v>270</v>
      </c>
      <c r="K11" s="30">
        <f aca="true" t="shared" si="2" ref="K11:M35">IF(J11="","",J11*$C11)</f>
        <v>270</v>
      </c>
      <c r="L11" s="30">
        <f aca="true" t="shared" si="3" ref="L11:L35">IF(J11=0,"",IF(I11="nd",J11/2,J11))</f>
        <v>270</v>
      </c>
      <c r="M11" s="30">
        <f t="shared" si="2"/>
        <v>270</v>
      </c>
      <c r="O11">
        <v>260</v>
      </c>
      <c r="P11" s="39">
        <f aca="true" t="shared" si="4" ref="P11:R35">IF(O11="","",O11*$C11)</f>
        <v>260</v>
      </c>
      <c r="Q11" s="39">
        <f aca="true" t="shared" si="5" ref="Q11:Q35">IF(O11=0,"",IF(N11="nd",O11/2,O11))</f>
        <v>260</v>
      </c>
      <c r="R11" s="39">
        <f t="shared" si="4"/>
        <v>260</v>
      </c>
    </row>
    <row r="12" spans="1:18" ht="12.75">
      <c r="A12" s="25"/>
      <c r="B12" s="25" t="s">
        <v>92</v>
      </c>
      <c r="C12" s="27">
        <v>0</v>
      </c>
      <c r="E12">
        <v>1800</v>
      </c>
      <c r="F12" s="39">
        <f t="shared" si="0"/>
        <v>0</v>
      </c>
      <c r="G12" s="39">
        <f t="shared" si="1"/>
        <v>1800</v>
      </c>
      <c r="H12" s="39">
        <f t="shared" si="0"/>
        <v>0</v>
      </c>
      <c r="I12"/>
      <c r="J12">
        <v>5100</v>
      </c>
      <c r="K12" s="30">
        <f t="shared" si="2"/>
        <v>0</v>
      </c>
      <c r="L12" s="39">
        <f t="shared" si="3"/>
        <v>5100</v>
      </c>
      <c r="M12" s="30">
        <f t="shared" si="2"/>
        <v>0</v>
      </c>
      <c r="O12">
        <v>5300</v>
      </c>
      <c r="P12" s="39">
        <f t="shared" si="4"/>
        <v>0</v>
      </c>
      <c r="Q12" s="39">
        <f t="shared" si="5"/>
        <v>5300</v>
      </c>
      <c r="R12" s="39">
        <f t="shared" si="4"/>
        <v>0</v>
      </c>
    </row>
    <row r="13" spans="1:18" ht="12.75">
      <c r="A13" s="25"/>
      <c r="B13" s="25" t="s">
        <v>29</v>
      </c>
      <c r="C13" s="27">
        <v>0.5</v>
      </c>
      <c r="E13">
        <v>270</v>
      </c>
      <c r="F13" s="30">
        <f t="shared" si="0"/>
        <v>135</v>
      </c>
      <c r="G13" s="30">
        <f t="shared" si="1"/>
        <v>270</v>
      </c>
      <c r="H13" s="30">
        <f t="shared" si="0"/>
        <v>135</v>
      </c>
      <c r="I13"/>
      <c r="J13">
        <v>860</v>
      </c>
      <c r="K13" s="30">
        <f t="shared" si="2"/>
        <v>430</v>
      </c>
      <c r="L13" s="30">
        <f t="shared" si="3"/>
        <v>860</v>
      </c>
      <c r="M13" s="30">
        <f t="shared" si="2"/>
        <v>430</v>
      </c>
      <c r="O13">
        <v>680</v>
      </c>
      <c r="P13" s="39">
        <f t="shared" si="4"/>
        <v>340</v>
      </c>
      <c r="Q13" s="39">
        <f t="shared" si="5"/>
        <v>680</v>
      </c>
      <c r="R13" s="39">
        <f t="shared" si="4"/>
        <v>340</v>
      </c>
    </row>
    <row r="14" spans="1:18" ht="12.75">
      <c r="A14" s="25"/>
      <c r="B14" s="25" t="s">
        <v>93</v>
      </c>
      <c r="C14" s="27">
        <v>0</v>
      </c>
      <c r="E14">
        <v>2100</v>
      </c>
      <c r="F14" s="39">
        <f t="shared" si="0"/>
        <v>0</v>
      </c>
      <c r="G14" s="39">
        <f t="shared" si="1"/>
        <v>2100</v>
      </c>
      <c r="H14" s="39">
        <f t="shared" si="0"/>
        <v>0</v>
      </c>
      <c r="I14"/>
      <c r="J14">
        <v>6900</v>
      </c>
      <c r="K14" s="30">
        <f t="shared" si="2"/>
        <v>0</v>
      </c>
      <c r="L14" s="39">
        <f t="shared" si="3"/>
        <v>6900</v>
      </c>
      <c r="M14" s="30">
        <f t="shared" si="2"/>
        <v>0</v>
      </c>
      <c r="O14">
        <v>6600</v>
      </c>
      <c r="P14" s="39">
        <f t="shared" si="4"/>
        <v>0</v>
      </c>
      <c r="Q14" s="39">
        <f t="shared" si="5"/>
        <v>6600</v>
      </c>
      <c r="R14" s="39">
        <f t="shared" si="4"/>
        <v>0</v>
      </c>
    </row>
    <row r="15" spans="1:18" ht="12.75">
      <c r="A15" s="25"/>
      <c r="B15" s="25" t="s">
        <v>30</v>
      </c>
      <c r="C15" s="27">
        <v>0.1</v>
      </c>
      <c r="E15">
        <v>210</v>
      </c>
      <c r="F15" s="30">
        <f t="shared" si="0"/>
        <v>21</v>
      </c>
      <c r="G15" s="30">
        <f t="shared" si="1"/>
        <v>210</v>
      </c>
      <c r="H15" s="30">
        <f t="shared" si="0"/>
        <v>21</v>
      </c>
      <c r="I15"/>
      <c r="J15">
        <v>840</v>
      </c>
      <c r="K15" s="30">
        <f t="shared" si="2"/>
        <v>84</v>
      </c>
      <c r="L15" s="30">
        <f t="shared" si="3"/>
        <v>840</v>
      </c>
      <c r="M15" s="30">
        <f t="shared" si="2"/>
        <v>84</v>
      </c>
      <c r="O15">
        <v>690</v>
      </c>
      <c r="P15" s="39">
        <f t="shared" si="4"/>
        <v>69</v>
      </c>
      <c r="Q15" s="39">
        <f t="shared" si="5"/>
        <v>690</v>
      </c>
      <c r="R15" s="39">
        <f t="shared" si="4"/>
        <v>69</v>
      </c>
    </row>
    <row r="16" spans="1:18" ht="12.75">
      <c r="A16" s="25"/>
      <c r="B16" s="25" t="s">
        <v>31</v>
      </c>
      <c r="C16" s="27">
        <v>0.1</v>
      </c>
      <c r="E16">
        <v>210</v>
      </c>
      <c r="F16" s="30">
        <f t="shared" si="0"/>
        <v>21</v>
      </c>
      <c r="G16" s="30">
        <f t="shared" si="1"/>
        <v>210</v>
      </c>
      <c r="H16" s="30">
        <f t="shared" si="0"/>
        <v>21</v>
      </c>
      <c r="I16"/>
      <c r="J16">
        <v>670</v>
      </c>
      <c r="K16" s="30">
        <f t="shared" si="2"/>
        <v>67</v>
      </c>
      <c r="L16" s="30">
        <f t="shared" si="3"/>
        <v>670</v>
      </c>
      <c r="M16" s="30">
        <f t="shared" si="2"/>
        <v>67</v>
      </c>
      <c r="O16">
        <v>610</v>
      </c>
      <c r="P16" s="39">
        <f t="shared" si="4"/>
        <v>61</v>
      </c>
      <c r="Q16" s="39">
        <f t="shared" si="5"/>
        <v>610</v>
      </c>
      <c r="R16" s="39">
        <f t="shared" si="4"/>
        <v>61</v>
      </c>
    </row>
    <row r="17" spans="1:18" ht="12.75">
      <c r="A17" s="25"/>
      <c r="B17" s="25" t="s">
        <v>32</v>
      </c>
      <c r="C17" s="27">
        <v>0.1</v>
      </c>
      <c r="E17">
        <v>140</v>
      </c>
      <c r="F17" s="30">
        <f t="shared" si="0"/>
        <v>14</v>
      </c>
      <c r="G17" s="30">
        <f t="shared" si="1"/>
        <v>140</v>
      </c>
      <c r="H17" s="30">
        <f t="shared" si="0"/>
        <v>14</v>
      </c>
      <c r="I17"/>
      <c r="J17">
        <v>440</v>
      </c>
      <c r="K17" s="30">
        <f t="shared" si="2"/>
        <v>44</v>
      </c>
      <c r="L17" s="30">
        <f t="shared" si="3"/>
        <v>440</v>
      </c>
      <c r="M17" s="30">
        <f t="shared" si="2"/>
        <v>44</v>
      </c>
      <c r="O17">
        <v>370</v>
      </c>
      <c r="P17" s="39">
        <f t="shared" si="4"/>
        <v>37</v>
      </c>
      <c r="Q17" s="39">
        <f t="shared" si="5"/>
        <v>370</v>
      </c>
      <c r="R17" s="39">
        <f t="shared" si="4"/>
        <v>37</v>
      </c>
    </row>
    <row r="18" spans="1:18" ht="12.75">
      <c r="A18" s="25"/>
      <c r="B18" s="25" t="s">
        <v>94</v>
      </c>
      <c r="C18" s="27">
        <v>0</v>
      </c>
      <c r="E18">
        <v>2300</v>
      </c>
      <c r="F18" s="39">
        <f t="shared" si="0"/>
        <v>0</v>
      </c>
      <c r="G18" s="39">
        <f t="shared" si="1"/>
        <v>2300</v>
      </c>
      <c r="H18" s="39">
        <f t="shared" si="0"/>
        <v>0</v>
      </c>
      <c r="I18"/>
      <c r="J18">
        <v>7900</v>
      </c>
      <c r="K18" s="30">
        <f t="shared" si="2"/>
        <v>0</v>
      </c>
      <c r="L18" s="39">
        <f t="shared" si="3"/>
        <v>7900</v>
      </c>
      <c r="M18" s="30">
        <f t="shared" si="2"/>
        <v>0</v>
      </c>
      <c r="O18">
        <v>7200</v>
      </c>
      <c r="P18" s="39">
        <f t="shared" si="4"/>
        <v>0</v>
      </c>
      <c r="Q18" s="39">
        <f t="shared" si="5"/>
        <v>7200</v>
      </c>
      <c r="R18" s="39">
        <f t="shared" si="4"/>
        <v>0</v>
      </c>
    </row>
    <row r="19" spans="1:18" ht="12.75">
      <c r="A19" s="25"/>
      <c r="B19" s="25" t="s">
        <v>33</v>
      </c>
      <c r="C19" s="27">
        <v>0.01</v>
      </c>
      <c r="E19">
        <v>940</v>
      </c>
      <c r="F19" s="30">
        <f t="shared" si="0"/>
        <v>9.4</v>
      </c>
      <c r="G19" s="30">
        <f t="shared" si="1"/>
        <v>940</v>
      </c>
      <c r="H19" s="30">
        <f t="shared" si="0"/>
        <v>9.4</v>
      </c>
      <c r="I19"/>
      <c r="J19">
        <v>1700</v>
      </c>
      <c r="K19" s="30">
        <f t="shared" si="2"/>
        <v>17</v>
      </c>
      <c r="L19" s="30">
        <f t="shared" si="3"/>
        <v>1700</v>
      </c>
      <c r="M19" s="30">
        <f t="shared" si="2"/>
        <v>17</v>
      </c>
      <c r="O19">
        <v>2000</v>
      </c>
      <c r="P19" s="39">
        <f t="shared" si="4"/>
        <v>20</v>
      </c>
      <c r="Q19" s="39">
        <f t="shared" si="5"/>
        <v>2000</v>
      </c>
      <c r="R19" s="39">
        <f t="shared" si="4"/>
        <v>20</v>
      </c>
    </row>
    <row r="20" spans="1:18" ht="12.75">
      <c r="A20" s="25"/>
      <c r="B20" s="25" t="s">
        <v>95</v>
      </c>
      <c r="C20" s="27">
        <v>0</v>
      </c>
      <c r="E20">
        <v>1800</v>
      </c>
      <c r="F20" s="39">
        <f t="shared" si="0"/>
        <v>0</v>
      </c>
      <c r="G20" s="39">
        <f t="shared" si="1"/>
        <v>1800</v>
      </c>
      <c r="H20" s="39">
        <f t="shared" si="0"/>
        <v>0</v>
      </c>
      <c r="I20"/>
      <c r="J20">
        <v>3400</v>
      </c>
      <c r="K20" s="30">
        <f t="shared" si="2"/>
        <v>0</v>
      </c>
      <c r="L20" s="39">
        <f t="shared" si="3"/>
        <v>3400</v>
      </c>
      <c r="M20" s="30">
        <f t="shared" si="2"/>
        <v>0</v>
      </c>
      <c r="O20">
        <v>4000</v>
      </c>
      <c r="P20" s="39">
        <f t="shared" si="4"/>
        <v>0</v>
      </c>
      <c r="Q20" s="39">
        <f t="shared" si="5"/>
        <v>4000</v>
      </c>
      <c r="R20" s="39">
        <f t="shared" si="4"/>
        <v>0</v>
      </c>
    </row>
    <row r="21" spans="1:18" ht="12.75">
      <c r="A21" s="25"/>
      <c r="B21" s="25" t="s">
        <v>34</v>
      </c>
      <c r="C21" s="27">
        <v>0.001</v>
      </c>
      <c r="E21">
        <v>1900</v>
      </c>
      <c r="F21" s="30">
        <f t="shared" si="0"/>
        <v>1.9000000000000001</v>
      </c>
      <c r="G21" s="30">
        <f t="shared" si="1"/>
        <v>1900</v>
      </c>
      <c r="H21" s="30">
        <f t="shared" si="0"/>
        <v>1.9000000000000001</v>
      </c>
      <c r="I21"/>
      <c r="J21">
        <v>1700</v>
      </c>
      <c r="K21" s="30">
        <f t="shared" si="2"/>
        <v>1.7</v>
      </c>
      <c r="L21" s="39">
        <f t="shared" si="3"/>
        <v>1700</v>
      </c>
      <c r="M21" s="30">
        <f t="shared" si="2"/>
        <v>1.7</v>
      </c>
      <c r="O21">
        <v>2100</v>
      </c>
      <c r="P21" s="39">
        <f t="shared" si="4"/>
        <v>2.1</v>
      </c>
      <c r="Q21" s="39">
        <f t="shared" si="5"/>
        <v>2100</v>
      </c>
      <c r="R21" s="39">
        <f t="shared" si="4"/>
        <v>2.1</v>
      </c>
    </row>
    <row r="22" spans="1:18" ht="12.75">
      <c r="A22" s="25"/>
      <c r="B22" s="25" t="s">
        <v>35</v>
      </c>
      <c r="C22" s="27">
        <v>0.1</v>
      </c>
      <c r="E22">
        <v>1400</v>
      </c>
      <c r="F22" s="30">
        <f t="shared" si="0"/>
        <v>140</v>
      </c>
      <c r="G22" s="30">
        <f t="shared" si="1"/>
        <v>1400</v>
      </c>
      <c r="H22" s="30">
        <f t="shared" si="0"/>
        <v>140</v>
      </c>
      <c r="I22"/>
      <c r="J22">
        <v>3400</v>
      </c>
      <c r="K22" s="30">
        <f t="shared" si="2"/>
        <v>340</v>
      </c>
      <c r="L22" s="39">
        <f t="shared" si="3"/>
        <v>3400</v>
      </c>
      <c r="M22" s="30">
        <f t="shared" si="2"/>
        <v>340</v>
      </c>
      <c r="O22">
        <v>3800</v>
      </c>
      <c r="P22" s="39">
        <f t="shared" si="4"/>
        <v>380</v>
      </c>
      <c r="Q22" s="39">
        <f t="shared" si="5"/>
        <v>3800</v>
      </c>
      <c r="R22" s="39">
        <f t="shared" si="4"/>
        <v>380</v>
      </c>
    </row>
    <row r="23" spans="1:18" ht="12.75">
      <c r="A23" s="25"/>
      <c r="B23" s="25" t="s">
        <v>96</v>
      </c>
      <c r="C23" s="27">
        <v>0</v>
      </c>
      <c r="E23">
        <v>46000</v>
      </c>
      <c r="F23" s="39">
        <f t="shared" si="0"/>
        <v>0</v>
      </c>
      <c r="G23" s="39">
        <f t="shared" si="1"/>
        <v>46000</v>
      </c>
      <c r="H23" s="39">
        <f t="shared" si="0"/>
        <v>0</v>
      </c>
      <c r="I23"/>
      <c r="J23">
        <v>120000</v>
      </c>
      <c r="K23" s="30">
        <f t="shared" si="2"/>
        <v>0</v>
      </c>
      <c r="L23" s="39">
        <f t="shared" si="3"/>
        <v>120000</v>
      </c>
      <c r="M23" s="30">
        <f t="shared" si="2"/>
        <v>0</v>
      </c>
      <c r="O23">
        <v>130000</v>
      </c>
      <c r="P23" s="39">
        <f t="shared" si="4"/>
        <v>0</v>
      </c>
      <c r="Q23" s="39">
        <f t="shared" si="5"/>
        <v>130000</v>
      </c>
      <c r="R23" s="39">
        <f t="shared" si="4"/>
        <v>0</v>
      </c>
    </row>
    <row r="24" spans="1:18" ht="12.75">
      <c r="A24" s="25"/>
      <c r="B24" s="25" t="s">
        <v>36</v>
      </c>
      <c r="C24" s="27">
        <v>0.05</v>
      </c>
      <c r="E24">
        <v>1800</v>
      </c>
      <c r="F24" s="39">
        <f t="shared" si="0"/>
        <v>90</v>
      </c>
      <c r="G24" s="39">
        <f t="shared" si="1"/>
        <v>1800</v>
      </c>
      <c r="H24" s="39">
        <f t="shared" si="0"/>
        <v>90</v>
      </c>
      <c r="I24"/>
      <c r="J24">
        <v>5200</v>
      </c>
      <c r="K24" s="30">
        <f t="shared" si="2"/>
        <v>260</v>
      </c>
      <c r="L24" s="39">
        <f t="shared" si="3"/>
        <v>5200</v>
      </c>
      <c r="M24" s="30">
        <f t="shared" si="2"/>
        <v>260</v>
      </c>
      <c r="O24">
        <v>4800</v>
      </c>
      <c r="P24" s="39">
        <f t="shared" si="4"/>
        <v>240</v>
      </c>
      <c r="Q24" s="39">
        <f t="shared" si="5"/>
        <v>4800</v>
      </c>
      <c r="R24" s="39">
        <f t="shared" si="4"/>
        <v>240</v>
      </c>
    </row>
    <row r="25" spans="1:18" ht="12.75">
      <c r="A25" s="25"/>
      <c r="B25" s="25" t="s">
        <v>37</v>
      </c>
      <c r="C25" s="27">
        <v>0.5</v>
      </c>
      <c r="E25">
        <v>2700</v>
      </c>
      <c r="F25" s="39">
        <f t="shared" si="0"/>
        <v>1350</v>
      </c>
      <c r="G25" s="39">
        <f t="shared" si="1"/>
        <v>2700</v>
      </c>
      <c r="H25" s="39">
        <f t="shared" si="0"/>
        <v>1350</v>
      </c>
      <c r="I25"/>
      <c r="J25">
        <v>8500</v>
      </c>
      <c r="K25" s="30">
        <f t="shared" si="2"/>
        <v>4250</v>
      </c>
      <c r="L25" s="39">
        <f t="shared" si="3"/>
        <v>8500</v>
      </c>
      <c r="M25" s="30">
        <f t="shared" si="2"/>
        <v>4250</v>
      </c>
      <c r="O25">
        <v>7100</v>
      </c>
      <c r="P25" s="39">
        <f t="shared" si="4"/>
        <v>3550</v>
      </c>
      <c r="Q25" s="39">
        <f t="shared" si="5"/>
        <v>7100</v>
      </c>
      <c r="R25" s="39">
        <f t="shared" si="4"/>
        <v>3550</v>
      </c>
    </row>
    <row r="26" spans="1:18" ht="12.75">
      <c r="A26" s="25"/>
      <c r="B26" s="25" t="s">
        <v>97</v>
      </c>
      <c r="C26" s="27">
        <v>0</v>
      </c>
      <c r="E26">
        <v>33000</v>
      </c>
      <c r="F26" s="39">
        <f t="shared" si="0"/>
        <v>0</v>
      </c>
      <c r="G26" s="39">
        <f t="shared" si="1"/>
        <v>33000</v>
      </c>
      <c r="H26" s="39">
        <f t="shared" si="0"/>
        <v>0</v>
      </c>
      <c r="I26"/>
      <c r="J26">
        <v>99000</v>
      </c>
      <c r="K26" s="30">
        <f t="shared" si="2"/>
        <v>0</v>
      </c>
      <c r="L26" s="39">
        <f t="shared" si="3"/>
        <v>99000</v>
      </c>
      <c r="M26" s="30">
        <f t="shared" si="2"/>
        <v>0</v>
      </c>
      <c r="O26">
        <v>87000</v>
      </c>
      <c r="P26" s="39">
        <f t="shared" si="4"/>
        <v>0</v>
      </c>
      <c r="Q26" s="39">
        <f t="shared" si="5"/>
        <v>87000</v>
      </c>
      <c r="R26" s="39">
        <f t="shared" si="4"/>
        <v>0</v>
      </c>
    </row>
    <row r="27" spans="1:18" ht="12.75">
      <c r="A27" s="25"/>
      <c r="B27" s="25" t="s">
        <v>38</v>
      </c>
      <c r="C27" s="27">
        <v>0.1</v>
      </c>
      <c r="E27">
        <v>1900</v>
      </c>
      <c r="F27" s="39">
        <f t="shared" si="0"/>
        <v>190</v>
      </c>
      <c r="G27" s="39">
        <f t="shared" si="1"/>
        <v>1900</v>
      </c>
      <c r="H27" s="39">
        <f t="shared" si="0"/>
        <v>190</v>
      </c>
      <c r="I27"/>
      <c r="J27">
        <v>6400</v>
      </c>
      <c r="K27" s="30">
        <f t="shared" si="2"/>
        <v>640</v>
      </c>
      <c r="L27" s="39">
        <f t="shared" si="3"/>
        <v>6400</v>
      </c>
      <c r="M27" s="30">
        <f t="shared" si="2"/>
        <v>640</v>
      </c>
      <c r="O27">
        <v>4900</v>
      </c>
      <c r="P27" s="39">
        <f t="shared" si="4"/>
        <v>490</v>
      </c>
      <c r="Q27" s="39">
        <f t="shared" si="5"/>
        <v>4900</v>
      </c>
      <c r="R27" s="39">
        <f t="shared" si="4"/>
        <v>490</v>
      </c>
    </row>
    <row r="28" spans="1:18" ht="12.75">
      <c r="A28" s="25"/>
      <c r="B28" s="25" t="s">
        <v>39</v>
      </c>
      <c r="C28" s="27">
        <v>0.1</v>
      </c>
      <c r="E28">
        <v>2200</v>
      </c>
      <c r="F28" s="39">
        <f t="shared" si="0"/>
        <v>220</v>
      </c>
      <c r="G28" s="39">
        <f t="shared" si="1"/>
        <v>2200</v>
      </c>
      <c r="H28" s="39">
        <f t="shared" si="0"/>
        <v>220</v>
      </c>
      <c r="I28"/>
      <c r="J28">
        <v>7000</v>
      </c>
      <c r="K28" s="30">
        <f t="shared" si="2"/>
        <v>700</v>
      </c>
      <c r="L28" s="39">
        <f t="shared" si="3"/>
        <v>7000</v>
      </c>
      <c r="M28" s="30">
        <f t="shared" si="2"/>
        <v>700</v>
      </c>
      <c r="O28">
        <v>5800</v>
      </c>
      <c r="P28" s="39">
        <f t="shared" si="4"/>
        <v>580</v>
      </c>
      <c r="Q28" s="39">
        <f t="shared" si="5"/>
        <v>5800</v>
      </c>
      <c r="R28" s="39">
        <f t="shared" si="4"/>
        <v>580</v>
      </c>
    </row>
    <row r="29" spans="1:18" ht="12.75">
      <c r="A29" s="25"/>
      <c r="B29" s="25" t="s">
        <v>40</v>
      </c>
      <c r="C29" s="27">
        <v>0.1</v>
      </c>
      <c r="E29">
        <v>3200</v>
      </c>
      <c r="F29" s="39">
        <f t="shared" si="0"/>
        <v>320</v>
      </c>
      <c r="G29" s="39">
        <f t="shared" si="1"/>
        <v>3200</v>
      </c>
      <c r="H29" s="39">
        <f t="shared" si="0"/>
        <v>320</v>
      </c>
      <c r="I29"/>
      <c r="J29">
        <v>8600</v>
      </c>
      <c r="K29" s="30">
        <f t="shared" si="2"/>
        <v>860</v>
      </c>
      <c r="L29" s="39">
        <f t="shared" si="3"/>
        <v>8600</v>
      </c>
      <c r="M29" s="30">
        <f t="shared" si="2"/>
        <v>860</v>
      </c>
      <c r="O29">
        <v>6700</v>
      </c>
      <c r="P29" s="39">
        <f t="shared" si="4"/>
        <v>670</v>
      </c>
      <c r="Q29" s="39">
        <f t="shared" si="5"/>
        <v>6700</v>
      </c>
      <c r="R29" s="39">
        <f t="shared" si="4"/>
        <v>670</v>
      </c>
    </row>
    <row r="30" spans="1:18" ht="12.75">
      <c r="A30" s="25"/>
      <c r="B30" s="25" t="s">
        <v>41</v>
      </c>
      <c r="C30" s="27">
        <v>0.1</v>
      </c>
      <c r="E30">
        <v>480</v>
      </c>
      <c r="F30" s="39">
        <f t="shared" si="0"/>
        <v>48</v>
      </c>
      <c r="G30" s="39">
        <f t="shared" si="1"/>
        <v>480</v>
      </c>
      <c r="H30" s="39">
        <f t="shared" si="0"/>
        <v>48</v>
      </c>
      <c r="I30"/>
      <c r="J30">
        <v>1400</v>
      </c>
      <c r="K30" s="30">
        <f t="shared" si="2"/>
        <v>140</v>
      </c>
      <c r="L30" s="39">
        <f t="shared" si="3"/>
        <v>1400</v>
      </c>
      <c r="M30" s="30">
        <f t="shared" si="2"/>
        <v>140</v>
      </c>
      <c r="O30">
        <v>1100</v>
      </c>
      <c r="P30" s="39">
        <f t="shared" si="4"/>
        <v>110</v>
      </c>
      <c r="Q30" s="39">
        <f t="shared" si="5"/>
        <v>1100</v>
      </c>
      <c r="R30" s="39">
        <f t="shared" si="4"/>
        <v>110</v>
      </c>
    </row>
    <row r="31" spans="1:18" ht="12.75">
      <c r="A31" s="25"/>
      <c r="B31" s="25" t="s">
        <v>98</v>
      </c>
      <c r="C31" s="27">
        <v>0</v>
      </c>
      <c r="E31">
        <v>21000</v>
      </c>
      <c r="F31" s="39">
        <f t="shared" si="0"/>
        <v>0</v>
      </c>
      <c r="G31" s="39">
        <f t="shared" si="1"/>
        <v>21000</v>
      </c>
      <c r="H31" s="39">
        <f t="shared" si="0"/>
        <v>0</v>
      </c>
      <c r="I31"/>
      <c r="J31">
        <v>66000</v>
      </c>
      <c r="K31" s="30">
        <f t="shared" si="2"/>
        <v>0</v>
      </c>
      <c r="L31" s="39">
        <f t="shared" si="3"/>
        <v>66000</v>
      </c>
      <c r="M31" s="30">
        <f t="shared" si="2"/>
        <v>0</v>
      </c>
      <c r="O31">
        <v>51000</v>
      </c>
      <c r="P31" s="39">
        <f t="shared" si="4"/>
        <v>0</v>
      </c>
      <c r="Q31" s="39">
        <f t="shared" si="5"/>
        <v>51000</v>
      </c>
      <c r="R31" s="39">
        <f t="shared" si="4"/>
        <v>0</v>
      </c>
    </row>
    <row r="32" spans="1:18" ht="12.75">
      <c r="A32" s="25"/>
      <c r="B32" s="25" t="s">
        <v>42</v>
      </c>
      <c r="C32" s="27">
        <v>0.01</v>
      </c>
      <c r="E32">
        <v>5600</v>
      </c>
      <c r="F32" s="39">
        <f t="shared" si="0"/>
        <v>56</v>
      </c>
      <c r="G32" s="39">
        <f t="shared" si="1"/>
        <v>5600</v>
      </c>
      <c r="H32" s="39">
        <f t="shared" si="0"/>
        <v>56</v>
      </c>
      <c r="I32"/>
      <c r="J32">
        <v>15000</v>
      </c>
      <c r="K32" s="30">
        <f t="shared" si="2"/>
        <v>150</v>
      </c>
      <c r="L32" s="39">
        <f t="shared" si="3"/>
        <v>15000</v>
      </c>
      <c r="M32" s="30">
        <f t="shared" si="2"/>
        <v>150</v>
      </c>
      <c r="O32">
        <v>13000</v>
      </c>
      <c r="P32" s="39">
        <f t="shared" si="4"/>
        <v>130</v>
      </c>
      <c r="Q32" s="39">
        <f t="shared" si="5"/>
        <v>13000</v>
      </c>
      <c r="R32" s="39">
        <f t="shared" si="4"/>
        <v>130</v>
      </c>
    </row>
    <row r="33" spans="1:18" ht="12.75">
      <c r="A33" s="25"/>
      <c r="B33" s="25" t="s">
        <v>43</v>
      </c>
      <c r="C33" s="27">
        <v>0.01</v>
      </c>
      <c r="E33">
        <v>890</v>
      </c>
      <c r="F33" s="39">
        <f t="shared" si="0"/>
        <v>8.9</v>
      </c>
      <c r="G33" s="39">
        <f t="shared" si="1"/>
        <v>890</v>
      </c>
      <c r="H33" s="39">
        <f t="shared" si="0"/>
        <v>8.9</v>
      </c>
      <c r="I33"/>
      <c r="J33">
        <v>1800</v>
      </c>
      <c r="K33" s="30">
        <f t="shared" si="2"/>
        <v>18</v>
      </c>
      <c r="L33" s="39">
        <f t="shared" si="3"/>
        <v>1800</v>
      </c>
      <c r="M33" s="30">
        <f t="shared" si="2"/>
        <v>18</v>
      </c>
      <c r="O33">
        <v>1600</v>
      </c>
      <c r="P33" s="39">
        <f t="shared" si="4"/>
        <v>16</v>
      </c>
      <c r="Q33" s="39">
        <f t="shared" si="5"/>
        <v>1600</v>
      </c>
      <c r="R33" s="39">
        <f t="shared" si="4"/>
        <v>16</v>
      </c>
    </row>
    <row r="34" spans="1:18" ht="12.75">
      <c r="A34" s="25"/>
      <c r="B34" s="25" t="s">
        <v>99</v>
      </c>
      <c r="C34" s="27">
        <v>0</v>
      </c>
      <c r="E34">
        <v>9800</v>
      </c>
      <c r="F34" s="39">
        <f t="shared" si="0"/>
        <v>0</v>
      </c>
      <c r="G34" s="39">
        <f t="shared" si="1"/>
        <v>9800</v>
      </c>
      <c r="H34" s="39">
        <f t="shared" si="0"/>
        <v>0</v>
      </c>
      <c r="I34"/>
      <c r="J34">
        <v>24000</v>
      </c>
      <c r="K34" s="30">
        <f t="shared" si="2"/>
        <v>0</v>
      </c>
      <c r="L34" s="39">
        <f t="shared" si="3"/>
        <v>24000</v>
      </c>
      <c r="M34" s="30">
        <f t="shared" si="2"/>
        <v>0</v>
      </c>
      <c r="O34">
        <v>20000</v>
      </c>
      <c r="P34" s="39">
        <f t="shared" si="4"/>
        <v>0</v>
      </c>
      <c r="Q34" s="39">
        <f t="shared" si="5"/>
        <v>20000</v>
      </c>
      <c r="R34" s="39">
        <f t="shared" si="4"/>
        <v>0</v>
      </c>
    </row>
    <row r="35" spans="1:18" ht="12.75">
      <c r="A35" s="25"/>
      <c r="B35" s="25" t="s">
        <v>44</v>
      </c>
      <c r="C35" s="27">
        <v>0.001</v>
      </c>
      <c r="E35">
        <v>6300</v>
      </c>
      <c r="F35" s="39">
        <f t="shared" si="0"/>
        <v>6.3</v>
      </c>
      <c r="G35" s="39">
        <f t="shared" si="1"/>
        <v>6300</v>
      </c>
      <c r="H35" s="39">
        <f t="shared" si="0"/>
        <v>6.3</v>
      </c>
      <c r="I35"/>
      <c r="J35">
        <v>6500</v>
      </c>
      <c r="K35" s="30">
        <f t="shared" si="2"/>
        <v>6.5</v>
      </c>
      <c r="L35" s="39">
        <f t="shared" si="3"/>
        <v>6500</v>
      </c>
      <c r="M35" s="30">
        <f t="shared" si="2"/>
        <v>6.5</v>
      </c>
      <c r="O35">
        <v>6400</v>
      </c>
      <c r="P35" s="39">
        <f t="shared" si="4"/>
        <v>6.4</v>
      </c>
      <c r="Q35" s="39">
        <f t="shared" si="5"/>
        <v>6400</v>
      </c>
      <c r="R35" s="39">
        <f t="shared" si="4"/>
        <v>6.4</v>
      </c>
    </row>
    <row r="36" spans="1:18" ht="12.75">
      <c r="A36" s="25"/>
      <c r="B36" s="25"/>
      <c r="C36" s="25"/>
      <c r="D36" s="25"/>
      <c r="E36" s="30"/>
      <c r="F36" s="34"/>
      <c r="G36" s="30"/>
      <c r="H36" s="34"/>
      <c r="I36" s="50"/>
      <c r="J36" s="10"/>
      <c r="K36" s="28"/>
      <c r="L36" s="28"/>
      <c r="M36" s="28"/>
      <c r="N36" s="30"/>
      <c r="O36" s="10"/>
      <c r="P36" s="33"/>
      <c r="Q36" s="30"/>
      <c r="R36" s="33"/>
    </row>
    <row r="37" spans="1:18" ht="12.75">
      <c r="A37" s="25"/>
      <c r="B37" s="25" t="s">
        <v>45</v>
      </c>
      <c r="C37" s="25"/>
      <c r="D37" s="25"/>
      <c r="E37" s="30"/>
      <c r="F37">
        <v>127.791</v>
      </c>
      <c r="G37">
        <v>127.791</v>
      </c>
      <c r="H37">
        <v>127.791</v>
      </c>
      <c r="I37"/>
      <c r="K37">
        <v>129.48</v>
      </c>
      <c r="L37">
        <v>129.48</v>
      </c>
      <c r="M37">
        <v>129.48</v>
      </c>
      <c r="P37">
        <v>131.586</v>
      </c>
      <c r="Q37">
        <v>131.586</v>
      </c>
      <c r="R37">
        <v>131.586</v>
      </c>
    </row>
    <row r="38" spans="1:18" ht="12.75">
      <c r="A38" s="25"/>
      <c r="B38" s="25" t="s">
        <v>61</v>
      </c>
      <c r="C38" s="25"/>
      <c r="D38" s="25"/>
      <c r="E38" s="30"/>
      <c r="F38">
        <v>13.97</v>
      </c>
      <c r="G38">
        <v>13.97</v>
      </c>
      <c r="H38">
        <v>13.97</v>
      </c>
      <c r="I38"/>
      <c r="K38">
        <v>13.9</v>
      </c>
      <c r="L38">
        <v>13.9</v>
      </c>
      <c r="M38">
        <v>13.9</v>
      </c>
      <c r="P38">
        <v>13.78</v>
      </c>
      <c r="Q38">
        <v>13.78</v>
      </c>
      <c r="R38">
        <v>13.78</v>
      </c>
    </row>
    <row r="39" spans="1:18" ht="12.75">
      <c r="A39" s="25"/>
      <c r="B39" s="25"/>
      <c r="C39" s="25"/>
      <c r="D39" s="25"/>
      <c r="E39" s="30"/>
      <c r="F39" s="10"/>
      <c r="G39" s="30"/>
      <c r="H39" s="10"/>
      <c r="I39" s="44"/>
      <c r="J39" s="30"/>
      <c r="K39" s="31"/>
      <c r="L39" s="28"/>
      <c r="M39" s="31"/>
      <c r="N39" s="30"/>
      <c r="O39" s="30"/>
      <c r="P39" s="30"/>
      <c r="Q39" s="30"/>
      <c r="R39" s="30"/>
    </row>
    <row r="40" spans="1:18" ht="12.75">
      <c r="A40" s="25"/>
      <c r="B40" s="25" t="s">
        <v>100</v>
      </c>
      <c r="C40" s="34"/>
      <c r="D40" s="34"/>
      <c r="E40" s="28"/>
      <c r="F40" s="29">
        <f>SUM(F11:F35)/1000</f>
        <v>2.7295000000000003</v>
      </c>
      <c r="G40" s="28">
        <f>SUM(G35,G34,G31,G26,G23,G21,G20,G18,G14,G12)/1000</f>
        <v>126</v>
      </c>
      <c r="H40" s="29">
        <f>SUM(H11:H35)/1000</f>
        <v>2.7295000000000003</v>
      </c>
      <c r="I40" s="36"/>
      <c r="J40" s="28"/>
      <c r="K40" s="29">
        <f>SUM(K11:K35)/1000</f>
        <v>8.2782</v>
      </c>
      <c r="L40" s="28">
        <f>SUM(L35,L34,L31,L26,L23,L21,L20,L18,L14,L12)/1000</f>
        <v>340.5</v>
      </c>
      <c r="M40" s="29">
        <f>SUM(M11:M35)/1000</f>
        <v>8.2782</v>
      </c>
      <c r="N40" s="34"/>
      <c r="O40" s="30"/>
      <c r="P40" s="30">
        <f>SUM(P11:P35)/1000</f>
        <v>6.9615</v>
      </c>
      <c r="Q40" s="28">
        <f>SUM(Q35,Q34,Q31,Q26,Q23,Q21,Q20,Q18,Q14,Q12)/1000</f>
        <v>319.6</v>
      </c>
      <c r="R40" s="30">
        <f>SUM(R11:R35)/1000</f>
        <v>6.9615</v>
      </c>
    </row>
    <row r="41" spans="1:18" ht="12.75">
      <c r="A41" s="25"/>
      <c r="B41" s="25" t="s">
        <v>46</v>
      </c>
      <c r="C41" s="34"/>
      <c r="D41" s="28">
        <f>(F41-H41)*2/F41*100</f>
        <v>0</v>
      </c>
      <c r="E41" s="30"/>
      <c r="F41" s="29">
        <f>(F40/F37/0.0283*(21-7)/(21-F38))</f>
        <v>1.503035039345469</v>
      </c>
      <c r="G41" s="29">
        <f>(G40/G37/0.0283*(21-7)/(21-G38))</f>
        <v>69.3835555807031</v>
      </c>
      <c r="H41" s="29">
        <f>(H40/H37/0.0283*(21-7)/(21-H38))</f>
        <v>1.503035039345469</v>
      </c>
      <c r="I41" s="28">
        <f>(K41-M41)*2/K41*100</f>
        <v>0</v>
      </c>
      <c r="J41" s="30"/>
      <c r="K41" s="30">
        <f>K40/K37/0.0283*(21-7)/(21-K38)</f>
        <v>4.454679622978359</v>
      </c>
      <c r="L41" s="30">
        <f>(L40/L37/0.0283*(21-7)/(21-L38))</f>
        <v>183.2304621323635</v>
      </c>
      <c r="M41" s="30">
        <f>M40/M37/0.0283*(21-7)/(21-M38)</f>
        <v>4.454679622978359</v>
      </c>
      <c r="N41" s="28">
        <f>(P41-R41)*2/P41*100</f>
        <v>0</v>
      </c>
      <c r="O41" s="30"/>
      <c r="P41" s="30">
        <f>P40/P37/0.0283*(21-7)/(21-P38)</f>
        <v>3.6249126416360995</v>
      </c>
      <c r="Q41" s="30">
        <f>(Q40/Q37/0.0283*(21-7)/(21-Q38))</f>
        <v>166.4184558309125</v>
      </c>
      <c r="R41" s="30">
        <f>R40/R37/0.0283*(21-7)/(21-R38)</f>
        <v>3.6249126416360995</v>
      </c>
    </row>
    <row r="42" spans="1:18" ht="12.75">
      <c r="A42" s="25"/>
      <c r="B42" s="25"/>
      <c r="C42" s="25"/>
      <c r="D42" s="25"/>
      <c r="E42" s="29"/>
      <c r="F42" s="34"/>
      <c r="G42" s="29"/>
      <c r="H42" s="34"/>
      <c r="I42" s="51"/>
      <c r="J42" s="29"/>
      <c r="K42" s="29"/>
      <c r="L42" s="29"/>
      <c r="M42" s="29"/>
      <c r="N42" s="29"/>
      <c r="O42" s="29"/>
      <c r="P42" s="33"/>
      <c r="Q42" s="29"/>
      <c r="R42" s="33"/>
    </row>
    <row r="43" spans="1:18" ht="12.75">
      <c r="A43" s="30"/>
      <c r="B43" s="25" t="s">
        <v>62</v>
      </c>
      <c r="C43" s="34">
        <f>AVERAGE(H41,M41,R41)</f>
        <v>3.194209101319976</v>
      </c>
      <c r="D43" s="30"/>
      <c r="E43" s="30"/>
      <c r="F43" s="34"/>
      <c r="G43" s="30"/>
      <c r="H43" s="34"/>
      <c r="I43" s="50"/>
      <c r="J43" s="30"/>
      <c r="K43" s="30"/>
      <c r="L43" s="30"/>
      <c r="M43" s="30"/>
      <c r="N43" s="30"/>
      <c r="O43" s="30"/>
      <c r="P43" s="33"/>
      <c r="Q43" s="30"/>
      <c r="R43" s="33"/>
    </row>
    <row r="44" spans="1:18" ht="12.75">
      <c r="A44" s="25"/>
      <c r="B44" s="25" t="s">
        <v>63</v>
      </c>
      <c r="C44" s="34">
        <f>AVERAGE(G41,L41,Q41)</f>
        <v>139.67749118132636</v>
      </c>
      <c r="D44" s="25"/>
      <c r="E44" s="33"/>
      <c r="F44" s="34"/>
      <c r="G44" s="33"/>
      <c r="H44" s="34"/>
      <c r="I44" s="37"/>
      <c r="J44" s="33"/>
      <c r="K44" s="33"/>
      <c r="L44" s="33"/>
      <c r="M44" s="33"/>
      <c r="N44" s="33"/>
      <c r="O44" s="33"/>
      <c r="P44" s="33"/>
      <c r="Q44" s="33"/>
      <c r="R44" s="3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Wyman Clark</cp:lastModifiedBy>
  <cp:lastPrinted>2005-09-12T19:07:17Z</cp:lastPrinted>
  <dcterms:created xsi:type="dcterms:W3CDTF">2000-01-10T00:44:42Z</dcterms:created>
  <dcterms:modified xsi:type="dcterms:W3CDTF">2005-09-12T19:07:24Z</dcterms:modified>
  <cp:category/>
  <cp:version/>
  <cp:contentType/>
  <cp:contentStatus/>
</cp:coreProperties>
</file>