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0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<sst xmlns="http://schemas.openxmlformats.org/spreadsheetml/2006/main" count="1551" uniqueCount="228">
  <si>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</si>
  <si>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</si>
  <si>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</si>
  <si>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</si>
  <si>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</si>
  <si>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</si>
  <si>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</si>
  <si>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</si>
  <si>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</si>
  <si>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</si>
  <si>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</si>
  <si>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</si>
  <si>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</si>
  <si>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</si>
  <si>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</si>
  <si>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</si>
  <si>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</si>
  <si>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</si>
  <si>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</si>
  <si>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</si>
  <si>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</si>
  <si>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</si>
  <si>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</si>
  <si>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</si>
  <si>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</si>
  <si>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</si>
  <si>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</si>
  <si>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</si>
  <si>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</si>
  <si>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</si>
  <si>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</si>
  <si>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</si>
  <si>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</si>
  <si>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</si>
  <si>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</si>
  <si>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</si>
  <si>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</si>
  <si>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</si>
  <si>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</si>
  <si>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</si>
  <si>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</si>
  <si>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</si>
  <si>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</si>
  <si>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</si>
  <si>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</si>
  <si>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</si>
  <si>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</si>
  <si>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</si>
  <si>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</si>
  <si>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</si>
  <si>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</si>
  <si>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</si>
  <si>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</si>
  <si>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</si>
  <si>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</si>
  <si>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</si>
  <si>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</si>
  <si>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</si>
  <si>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</si>
  <si>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</si>
  <si>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</si>
  <si>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</si>
  <si>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</si>
  <si>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</si>
  <si>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</si>
  <si>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</si>
  <si>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</si>
  <si>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</si>
  <si>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</si>
  <si>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</si>
  <si>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</si>
  <si>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</si>
  <si>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</si>
  <si>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</si>
  <si>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</si>
  <si>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</si>
  <si>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</si>
  <si>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</si>
  <si>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</si>
  <si>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</si>
  <si>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</si>
  <si>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</si>
  <si>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</si>
  <si>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</si>
  <si>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</si>
  <si>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*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</si>
  <si>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</si>
  <si>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</si>
  <si>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</si>
  <si>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</si>
  <si>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</si>
  <si>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</si>
  <si>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</si>
  <si>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</si>
  <si>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</si>
  <si>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</si>
  <si>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nd</t>
  </si>
  <si>
    <t>Detected in sample volume (pg)</t>
  </si>
  <si>
    <t>n</t>
  </si>
  <si>
    <t>Phase I ID No.</t>
  </si>
  <si>
    <t>Silver</t>
  </si>
  <si>
    <t>Arsenic</t>
  </si>
  <si>
    <t>Barium</t>
  </si>
  <si>
    <t>Cadmium</t>
  </si>
  <si>
    <t>Nickel</t>
  </si>
  <si>
    <t>Antimony</t>
  </si>
  <si>
    <t>Selenium</t>
  </si>
  <si>
    <t>Thallium</t>
  </si>
  <si>
    <t>Zinc</t>
  </si>
  <si>
    <t>CO (RA)</t>
  </si>
  <si>
    <t>in H2O</t>
  </si>
  <si>
    <t>Run 2</t>
  </si>
  <si>
    <t xml:space="preserve">POHC </t>
  </si>
  <si>
    <t>POHC Feedrate</t>
  </si>
  <si>
    <t>Emission Rate</t>
  </si>
  <si>
    <t>&gt;</t>
  </si>
  <si>
    <t>Stack Gas Flowrate</t>
  </si>
  <si>
    <t>Oxygen</t>
  </si>
  <si>
    <t>Feedrate MTEC Calculations</t>
  </si>
  <si>
    <t>7%O2</t>
  </si>
  <si>
    <t>TX</t>
  </si>
  <si>
    <t>Chlorine</t>
  </si>
  <si>
    <t>&lt;</t>
  </si>
  <si>
    <t>MMBtu/hr</t>
  </si>
  <si>
    <t>gpm</t>
  </si>
  <si>
    <t>Trial burn - min temp/DRE</t>
  </si>
  <si>
    <t>Chlorobenzene</t>
  </si>
  <si>
    <t>PM/HCl/Cl2 train</t>
  </si>
  <si>
    <t>Berylilium</t>
  </si>
  <si>
    <t>Metals</t>
  </si>
  <si>
    <t>Cr+6 train</t>
  </si>
  <si>
    <t>Run 1</t>
  </si>
  <si>
    <t>Run 3</t>
  </si>
  <si>
    <t xml:space="preserve">Fluid bed Incinerator </t>
  </si>
  <si>
    <t>Longview</t>
  </si>
  <si>
    <t>TXD007330202</t>
  </si>
  <si>
    <t>HE/VS/PB/DM</t>
  </si>
  <si>
    <t>Natural gas</t>
  </si>
  <si>
    <t>Various hi-Btu (10-20 kBtu/lb) low ash (&lt;1%) liquid waste &amp; biological wastewater treatment sludge</t>
  </si>
  <si>
    <t>492C1</t>
  </si>
  <si>
    <t>Trial Burn Report, Fluid Bed Incinerator, Jan 1999</t>
  </si>
  <si>
    <t>Radian International</t>
  </si>
  <si>
    <t>492C2</t>
  </si>
  <si>
    <t>PM, HCl/Cl2, metals, Cr6, &amp; waste feed ash/Cl/metals</t>
  </si>
  <si>
    <t>Venturi pressure drop</t>
  </si>
  <si>
    <t>Scrubber water pH</t>
  </si>
  <si>
    <t>Venturi water flow</t>
  </si>
  <si>
    <t>Scrubber water flow</t>
  </si>
  <si>
    <t>Scrubber blowdown</t>
  </si>
  <si>
    <t>Comb Chamb (freeboard) Temp</t>
  </si>
  <si>
    <t>1,2-dichlorobenzene</t>
  </si>
  <si>
    <t>PM, Hcl/Cl2, DRE, D/Fs, V/SV PICs, CO, PSD, aldehydes/ketones</t>
  </si>
  <si>
    <t>D/Fs</t>
  </si>
  <si>
    <t>PMHCl/Cl2</t>
  </si>
  <si>
    <t>Sludge waste spike</t>
  </si>
  <si>
    <t>Liquid waste spike</t>
  </si>
  <si>
    <t>ug/dscf</t>
  </si>
  <si>
    <t>Metals (blank corrected)</t>
  </si>
  <si>
    <t>Risk burn, Oct 1, 1998</t>
  </si>
  <si>
    <t>Trial burn - worst-case metals</t>
  </si>
  <si>
    <t>492C10</t>
  </si>
  <si>
    <t>492C11</t>
  </si>
  <si>
    <t>Report Name/Date</t>
  </si>
  <si>
    <t>Report Prepare</t>
  </si>
  <si>
    <t>Testing Firm</t>
  </si>
  <si>
    <t>Testing Dates</t>
  </si>
  <si>
    <t>Condition Descr</t>
  </si>
  <si>
    <t>Content</t>
  </si>
  <si>
    <t>R1</t>
  </si>
  <si>
    <t>R2</t>
  </si>
  <si>
    <t>R3</t>
  </si>
  <si>
    <t>Chloroform</t>
  </si>
  <si>
    <t>492C3</t>
  </si>
  <si>
    <t>Combustor Type</t>
  </si>
  <si>
    <t>Combustor Class</t>
  </si>
  <si>
    <t>Fluidized bed</t>
  </si>
  <si>
    <t xml:space="preserve">Heat exchanger, venturi, packed bed, demisters  </t>
  </si>
  <si>
    <t>Condition Description</t>
  </si>
  <si>
    <t>Stack Gas Emissions 1</t>
  </si>
  <si>
    <t>Stack Gas Emissions 2</t>
  </si>
  <si>
    <t>Feedstream 1</t>
  </si>
  <si>
    <t>Texas Eastman Company Trial Burn Program Emission Test Results, Alliance Project No. 5-986-999, April 5, 1991</t>
  </si>
  <si>
    <t>Alliance</t>
  </si>
  <si>
    <t>Max liquid, minimum sludge, high temp</t>
  </si>
  <si>
    <t>Max sludge, min liquid, max temp</t>
  </si>
  <si>
    <t>med sludge, med liquid, min temp</t>
  </si>
  <si>
    <t>Thermal Feedrate</t>
  </si>
  <si>
    <t>Feed Rate</t>
  </si>
  <si>
    <t>Feedstream 2</t>
  </si>
  <si>
    <t>Wastewater sludge</t>
  </si>
  <si>
    <t>Liquid waste</t>
  </si>
  <si>
    <t>Feedrate</t>
  </si>
  <si>
    <t>Aluminum</t>
  </si>
  <si>
    <t>HC (RA)</t>
  </si>
  <si>
    <t>Total Chlorine</t>
  </si>
  <si>
    <t>E1</t>
  </si>
  <si>
    <t>E2</t>
  </si>
  <si>
    <t>Chromium (Hex)</t>
  </si>
  <si>
    <t>E3</t>
  </si>
  <si>
    <t>Cond Dates</t>
  </si>
  <si>
    <t>October 2-3, 1998</t>
  </si>
  <si>
    <t>Number of Sister Facilities</t>
  </si>
  <si>
    <t>Onsite incinerator</t>
  </si>
  <si>
    <t>APCS Detailed Acronym</t>
  </si>
  <si>
    <t>APCS General Class</t>
  </si>
  <si>
    <t>HE, HEWS, LEWS</t>
  </si>
  <si>
    <t>Liq, sludge</t>
  </si>
  <si>
    <t>source</t>
  </si>
  <si>
    <t>cond</t>
  </si>
  <si>
    <t>emiss 1</t>
  </si>
  <si>
    <t>emiss 2</t>
  </si>
  <si>
    <t>feed 1</t>
  </si>
  <si>
    <t>feed 2</t>
  </si>
  <si>
    <t>process</t>
  </si>
  <si>
    <t>df c10</t>
  </si>
  <si>
    <t>Feedstream Number</t>
  </si>
  <si>
    <t>Feed Class</t>
  </si>
  <si>
    <t>F1</t>
  </si>
  <si>
    <t>Feed Class 2</t>
  </si>
  <si>
    <t>Tier 3 for Cd, As, Be, Cr</t>
  </si>
  <si>
    <t>Fluid bed incinerator</t>
  </si>
  <si>
    <t>Estimated Firing Rate</t>
  </si>
  <si>
    <t>Eastman Chemical Company, Longview Texas</t>
  </si>
  <si>
    <t>R4</t>
  </si>
  <si>
    <t>R5</t>
  </si>
  <si>
    <t>Total Cl</t>
  </si>
  <si>
    <t>Full ND</t>
  </si>
  <si>
    <t>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</si>
</sst>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E+00"/>
    <numFmt numFmtId="179" formatCode="0.0.E+00"/>
    <numFmt numFmtId="180" formatCode="0.0E+00"/>
    <numFmt numFmtId="181" formatCode="0.00.E+00"/>
    <numFmt numFmtId="182" formatCode="0.0%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Alignment="1">
      <alignment/>
    </xf>
    <xf numFmtId="176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8" sqref="D8"/>
    </sheetView>
  </sheetViews>
  <sheetFormatPr defaultColWidth="9.140625" defaultRowHeight="12.75"/>
  <sheetData>
    <row r="1" ht="12.75">
      <c r="A1" t="s">
        <v>207</v>
      </c>
    </row>
    <row r="2" ht="12.75">
      <c r="A2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  <row r="6" ht="12.75">
      <c r="A6" t="s">
        <v>212</v>
      </c>
    </row>
    <row r="7" ht="12.75">
      <c r="A7" t="s">
        <v>213</v>
      </c>
    </row>
    <row r="8" ht="12.75">
      <c r="A8" t="s">
        <v>214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3"/>
  <sheetViews>
    <sheetView workbookViewId="0" topLeftCell="B1">
      <selection activeCell="C6" sqref="C6"/>
    </sheetView>
  </sheetViews>
  <sheetFormatPr defaultColWidth="9.140625" defaultRowHeight="12.75"/>
  <cols>
    <col min="1" max="1" width="1.8515625" style="1" hidden="1" customWidth="1"/>
    <col min="2" max="2" width="24.421875" style="1" customWidth="1"/>
    <col min="3" max="3" width="58.421875" style="1" customWidth="1"/>
    <col min="4" max="16384" width="8.8515625" style="1" customWidth="1"/>
  </cols>
  <sheetData>
    <row r="1" spans="2:12" ht="12.75">
      <c r="B1" s="6" t="s">
        <v>72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>
      <c r="B3" s="12" t="s">
        <v>99</v>
      </c>
      <c r="C3" s="13">
        <v>492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2" t="s">
        <v>0</v>
      </c>
      <c r="C4" s="89" t="s">
        <v>135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1</v>
      </c>
      <c r="C5" s="12" t="s">
        <v>222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2" t="s">
        <v>3</v>
      </c>
      <c r="C7" s="12" t="s">
        <v>134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12.75">
      <c r="B8" s="12" t="s">
        <v>4</v>
      </c>
      <c r="C8" s="12" t="s">
        <v>120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12" t="s">
        <v>5</v>
      </c>
      <c r="C9" s="12" t="s">
        <v>133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2" t="s">
        <v>201</v>
      </c>
      <c r="C11" s="13">
        <v>0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2" t="s">
        <v>174</v>
      </c>
      <c r="C12" s="12" t="s">
        <v>202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12" t="s">
        <v>173</v>
      </c>
      <c r="C13" s="12" t="s">
        <v>175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43" customFormat="1" ht="12.75">
      <c r="B14" s="42" t="s">
        <v>62</v>
      </c>
      <c r="C14" s="42" t="s">
        <v>220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2:12" s="43" customFormat="1" ht="12.7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12" s="43" customFormat="1" ht="12.75">
      <c r="B16" s="42" t="s">
        <v>69</v>
      </c>
      <c r="C16" s="44"/>
      <c r="D16" s="42"/>
      <c r="E16" s="42"/>
      <c r="F16" s="42"/>
      <c r="G16" s="42"/>
      <c r="H16" s="42"/>
      <c r="I16" s="42"/>
      <c r="J16" s="42"/>
      <c r="K16" s="42"/>
      <c r="L16" s="42"/>
    </row>
    <row r="17" spans="2:12" s="43" customFormat="1" ht="12.75">
      <c r="B17" s="12" t="s">
        <v>73</v>
      </c>
      <c r="C17" s="42"/>
      <c r="F17" s="42"/>
      <c r="G17" s="42"/>
      <c r="H17" s="42"/>
      <c r="I17" s="42"/>
      <c r="J17" s="42"/>
      <c r="K17" s="42"/>
      <c r="L17" s="42"/>
    </row>
    <row r="18" spans="2:12" s="43" customFormat="1" ht="12.75">
      <c r="B18" s="12" t="s">
        <v>203</v>
      </c>
      <c r="C18" s="42" t="s">
        <v>136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s="43" customFormat="1" ht="12.75">
      <c r="B19" s="12" t="s">
        <v>204</v>
      </c>
      <c r="C19" s="42" t="s">
        <v>205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2:12" ht="12.75">
      <c r="B20" s="42" t="s">
        <v>7</v>
      </c>
      <c r="C20" s="42" t="s">
        <v>176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2.75">
      <c r="B21" s="12" t="s">
        <v>67</v>
      </c>
      <c r="C21" s="12" t="s">
        <v>206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25.5">
      <c r="B22" s="55" t="s">
        <v>74</v>
      </c>
      <c r="C22" s="42" t="s">
        <v>138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2.75">
      <c r="B23" s="12" t="s">
        <v>68</v>
      </c>
      <c r="C23" s="12" t="s">
        <v>137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2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>
      <c r="B25" s="12" t="s">
        <v>8</v>
      </c>
      <c r="C25" s="13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2.75">
      <c r="B26" s="12" t="s">
        <v>9</v>
      </c>
      <c r="C26" s="47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2.75">
      <c r="B27" s="12" t="s">
        <v>10</v>
      </c>
      <c r="C27" s="13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12" t="s">
        <v>70</v>
      </c>
      <c r="C28" s="14">
        <v>35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4.25" customHeight="1">
      <c r="B29" s="12" t="s">
        <v>71</v>
      </c>
      <c r="C29" s="71">
        <f>'emiss 1'!M32</f>
        <v>181.66666666666666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12" t="s">
        <v>11</v>
      </c>
      <c r="C31" s="12" t="s">
        <v>219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12" t="s">
        <v>86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2" spans="2:12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2.75">
      <c r="B54" s="55"/>
      <c r="C54" s="48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2.75">
      <c r="B57" s="12"/>
      <c r="C57" s="15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55"/>
      <c r="C59" s="49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2.75">
      <c r="B61" s="55"/>
      <c r="C61" s="49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B11">
      <selection activeCell="C47" sqref="C47"/>
    </sheetView>
  </sheetViews>
  <sheetFormatPr defaultColWidth="9.140625" defaultRowHeight="12.75"/>
  <cols>
    <col min="1" max="1" width="1.421875" style="0" hidden="1" customWidth="1"/>
    <col min="2" max="2" width="18.28125" style="0" customWidth="1"/>
    <col min="3" max="3" width="64.7109375" style="0" customWidth="1"/>
  </cols>
  <sheetData>
    <row r="1" ht="12.75">
      <c r="B1" s="6" t="s">
        <v>177</v>
      </c>
    </row>
    <row r="3" spans="2:12" s="1" customFormat="1" ht="12.75">
      <c r="B3" s="6" t="s">
        <v>160</v>
      </c>
      <c r="C3" s="12" t="s">
        <v>160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s="1" customFormat="1" ht="12.75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s="1" customFormat="1" ht="12.75">
      <c r="B5" s="55" t="s">
        <v>162</v>
      </c>
      <c r="C5" s="48" t="s">
        <v>140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2.75">
      <c r="B6" s="12" t="s">
        <v>163</v>
      </c>
      <c r="C6" s="12" t="s">
        <v>141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s="1" customFormat="1" ht="12.75">
      <c r="B7" s="12" t="s">
        <v>164</v>
      </c>
      <c r="C7" s="12" t="s">
        <v>141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2.75">
      <c r="B8" s="12" t="s">
        <v>165</v>
      </c>
      <c r="C8" s="15" t="s">
        <v>200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s="1" customFormat="1" ht="12.75">
      <c r="B9" s="12" t="s">
        <v>199</v>
      </c>
      <c r="C9" s="94">
        <v>36069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s="1" customFormat="1" ht="12.75">
      <c r="B10" s="12" t="s">
        <v>166</v>
      </c>
      <c r="C10" s="12" t="s">
        <v>125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2.75">
      <c r="B11" s="55" t="s">
        <v>167</v>
      </c>
      <c r="C11" s="49" t="s">
        <v>151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4:12" s="1" customFormat="1" ht="12.75">
      <c r="D12" s="12"/>
      <c r="E12" s="12"/>
      <c r="F12" s="12"/>
      <c r="G12" s="12"/>
      <c r="H12" s="12"/>
      <c r="I12" s="12"/>
      <c r="J12" s="12"/>
      <c r="K12" s="12"/>
      <c r="L12" s="12"/>
    </row>
    <row r="13" spans="2:12" s="1" customFormat="1" ht="12.75">
      <c r="B13" s="6" t="s">
        <v>161</v>
      </c>
      <c r="C13" s="12" t="s">
        <v>161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1" customFormat="1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1" customFormat="1" ht="12.75">
      <c r="B15" s="55" t="s">
        <v>162</v>
      </c>
      <c r="C15" s="48" t="s">
        <v>140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2:12" s="1" customFormat="1" ht="12.75">
      <c r="B16" s="12" t="s">
        <v>163</v>
      </c>
      <c r="C16" s="12" t="s">
        <v>141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2:12" s="1" customFormat="1" ht="12.75">
      <c r="B17" s="12" t="s">
        <v>164</v>
      </c>
      <c r="C17" s="12" t="s">
        <v>141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2:12" s="1" customFormat="1" ht="12.75">
      <c r="B18" s="12" t="s">
        <v>165</v>
      </c>
      <c r="C18" s="15">
        <v>36069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2:12" s="1" customFormat="1" ht="12.75">
      <c r="B19" s="12" t="s">
        <v>199</v>
      </c>
      <c r="C19" s="94">
        <v>36069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2:12" s="1" customFormat="1" ht="12.75">
      <c r="B20" s="12" t="s">
        <v>166</v>
      </c>
      <c r="C20" s="12" t="s">
        <v>159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s="1" customFormat="1" ht="12.75">
      <c r="B21" s="55" t="s">
        <v>167</v>
      </c>
      <c r="C21" s="49" t="s">
        <v>143</v>
      </c>
      <c r="D21" s="12"/>
      <c r="E21" s="12"/>
      <c r="F21" s="12"/>
      <c r="G21" s="12"/>
      <c r="H21" s="12"/>
      <c r="I21" s="12"/>
      <c r="J21" s="12"/>
      <c r="K21" s="12"/>
      <c r="L21" s="12"/>
    </row>
    <row r="23" ht="12.75">
      <c r="B23" s="6" t="s">
        <v>139</v>
      </c>
    </row>
    <row r="25" spans="2:3" ht="25.5">
      <c r="B25" s="55" t="s">
        <v>162</v>
      </c>
      <c r="C25" s="90" t="s">
        <v>181</v>
      </c>
    </row>
    <row r="26" spans="2:3" ht="12.75">
      <c r="B26" s="12" t="s">
        <v>163</v>
      </c>
      <c r="C26" t="s">
        <v>182</v>
      </c>
    </row>
    <row r="27" spans="2:3" ht="12.75">
      <c r="B27" s="12" t="s">
        <v>164</v>
      </c>
      <c r="C27" t="s">
        <v>182</v>
      </c>
    </row>
    <row r="28" spans="2:3" ht="12.75">
      <c r="B28" s="12" t="s">
        <v>165</v>
      </c>
      <c r="C28" s="95">
        <v>33269</v>
      </c>
    </row>
    <row r="29" spans="2:3" ht="12.75">
      <c r="B29" s="12" t="s">
        <v>199</v>
      </c>
      <c r="C29" s="96">
        <v>33239</v>
      </c>
    </row>
    <row r="30" spans="2:3" ht="12.75">
      <c r="B30" s="12" t="s">
        <v>166</v>
      </c>
      <c r="C30" t="s">
        <v>183</v>
      </c>
    </row>
    <row r="31" ht="12.75">
      <c r="B31" s="55" t="s">
        <v>167</v>
      </c>
    </row>
    <row r="33" ht="12.75">
      <c r="B33" s="6" t="s">
        <v>142</v>
      </c>
    </row>
    <row r="35" spans="2:3" ht="25.5">
      <c r="B35" s="55" t="s">
        <v>162</v>
      </c>
      <c r="C35" s="90" t="s">
        <v>181</v>
      </c>
    </row>
    <row r="36" spans="2:3" ht="12.75">
      <c r="B36" s="12" t="s">
        <v>163</v>
      </c>
      <c r="C36" t="s">
        <v>182</v>
      </c>
    </row>
    <row r="37" spans="2:3" ht="12.75">
      <c r="B37" s="12" t="s">
        <v>164</v>
      </c>
      <c r="C37" t="s">
        <v>182</v>
      </c>
    </row>
    <row r="38" spans="2:3" ht="12.75">
      <c r="B38" s="12" t="s">
        <v>165</v>
      </c>
      <c r="C38" s="95">
        <v>33270</v>
      </c>
    </row>
    <row r="39" spans="2:3" ht="12.75">
      <c r="B39" s="12" t="s">
        <v>199</v>
      </c>
      <c r="C39" s="96">
        <v>33270</v>
      </c>
    </row>
    <row r="40" spans="2:3" ht="12.75">
      <c r="B40" s="12" t="s">
        <v>166</v>
      </c>
      <c r="C40" t="s">
        <v>184</v>
      </c>
    </row>
    <row r="41" ht="12.75">
      <c r="B41" s="55" t="s">
        <v>167</v>
      </c>
    </row>
    <row r="43" ht="12.75">
      <c r="B43" s="6" t="s">
        <v>172</v>
      </c>
    </row>
    <row r="45" spans="2:3" ht="25.5">
      <c r="B45" s="55" t="s">
        <v>162</v>
      </c>
      <c r="C45" s="90" t="s">
        <v>181</v>
      </c>
    </row>
    <row r="46" spans="2:3" ht="12.75">
      <c r="B46" s="12" t="s">
        <v>163</v>
      </c>
      <c r="C46" t="s">
        <v>182</v>
      </c>
    </row>
    <row r="47" spans="2:3" ht="12.75">
      <c r="B47" s="12" t="s">
        <v>164</v>
      </c>
      <c r="C47" t="s">
        <v>182</v>
      </c>
    </row>
    <row r="48" spans="2:3" ht="12.75">
      <c r="B48" s="12" t="s">
        <v>165</v>
      </c>
      <c r="C48" s="95">
        <v>33271</v>
      </c>
    </row>
    <row r="49" spans="2:3" ht="12.75">
      <c r="B49" s="12" t="s">
        <v>199</v>
      </c>
      <c r="C49" s="96">
        <v>33270</v>
      </c>
    </row>
    <row r="50" spans="2:3" ht="12.75">
      <c r="B50" s="12" t="s">
        <v>166</v>
      </c>
      <c r="C50" t="s">
        <v>185</v>
      </c>
    </row>
    <row r="51" ht="12.75">
      <c r="B51" s="55" t="s">
        <v>167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2"/>
  <sheetViews>
    <sheetView tabSelected="1" workbookViewId="0" topLeftCell="B85">
      <selection activeCell="P104" sqref="P104"/>
    </sheetView>
  </sheetViews>
  <sheetFormatPr defaultColWidth="9.140625" defaultRowHeight="12.75"/>
  <cols>
    <col min="1" max="1" width="3.00390625" style="17" hidden="1" customWidth="1"/>
    <col min="2" max="2" width="18.28125" style="17" customWidth="1"/>
    <col min="3" max="3" width="10.57421875" style="17" customWidth="1"/>
    <col min="4" max="4" width="8.8515625" style="8" customWidth="1"/>
    <col min="5" max="5" width="6.140625" style="8" customWidth="1"/>
    <col min="6" max="6" width="3.7109375" style="8" customWidth="1"/>
    <col min="7" max="7" width="11.421875" style="17" customWidth="1"/>
    <col min="8" max="8" width="3.421875" style="17" customWidth="1"/>
    <col min="9" max="9" width="10.421875" style="18" customWidth="1"/>
    <col min="10" max="10" width="3.57421875" style="17" customWidth="1"/>
    <col min="11" max="11" width="11.7109375" style="17" customWidth="1"/>
    <col min="12" max="12" width="3.421875" style="17" customWidth="1"/>
    <col min="13" max="13" width="11.00390625" style="17" customWidth="1"/>
    <col min="14" max="14" width="2.140625" style="17" customWidth="1"/>
    <col min="15" max="16384" width="8.8515625" style="17" customWidth="1"/>
  </cols>
  <sheetData>
    <row r="1" spans="2:3" ht="12.75">
      <c r="B1" s="16" t="s">
        <v>178</v>
      </c>
      <c r="C1" s="16"/>
    </row>
    <row r="2" spans="2:12" ht="12.75">
      <c r="B2" s="19"/>
      <c r="C2" s="19"/>
      <c r="G2" s="19"/>
      <c r="H2" s="19"/>
      <c r="I2" s="20"/>
      <c r="J2" s="19"/>
      <c r="K2" s="19"/>
      <c r="L2" s="19"/>
    </row>
    <row r="3" spans="2:12" ht="12.75">
      <c r="B3" s="12"/>
      <c r="C3" s="12" t="s">
        <v>80</v>
      </c>
      <c r="D3" s="8" t="s">
        <v>12</v>
      </c>
      <c r="E3" s="8" t="s">
        <v>63</v>
      </c>
      <c r="G3" s="19"/>
      <c r="H3" s="19"/>
      <c r="I3" s="20"/>
      <c r="J3" s="19"/>
      <c r="K3" s="19"/>
      <c r="L3" s="19"/>
    </row>
    <row r="4" spans="2:12" ht="12.75">
      <c r="B4" s="12"/>
      <c r="C4" s="12"/>
      <c r="G4" s="19"/>
      <c r="H4" s="19"/>
      <c r="I4" s="20"/>
      <c r="J4" s="19"/>
      <c r="K4" s="19"/>
      <c r="L4" s="19"/>
    </row>
    <row r="5" spans="1:13" ht="12.75">
      <c r="A5" s="17">
        <v>1</v>
      </c>
      <c r="B5" s="21" t="str">
        <f>cond!C3</f>
        <v>492C10</v>
      </c>
      <c r="C5" s="21" t="str">
        <f>cond!C10</f>
        <v>Trial burn - min temp/DRE</v>
      </c>
      <c r="G5" s="19" t="s">
        <v>168</v>
      </c>
      <c r="H5" s="19"/>
      <c r="I5" s="20" t="s">
        <v>169</v>
      </c>
      <c r="J5" s="19"/>
      <c r="K5" s="19" t="s">
        <v>170</v>
      </c>
      <c r="L5" s="19"/>
      <c r="M5" s="17" t="s">
        <v>47</v>
      </c>
    </row>
    <row r="6" spans="2:12" ht="12.75">
      <c r="B6" s="8"/>
      <c r="C6" s="8"/>
      <c r="D6" s="12"/>
      <c r="E6" s="12"/>
      <c r="F6" s="12"/>
      <c r="G6" s="12"/>
      <c r="H6" s="12"/>
      <c r="I6" s="22"/>
      <c r="J6" s="12"/>
      <c r="K6" s="12"/>
      <c r="L6" s="12"/>
    </row>
    <row r="7" spans="2:13" ht="12.75">
      <c r="B7" s="8" t="s">
        <v>109</v>
      </c>
      <c r="C7" s="8" t="s">
        <v>195</v>
      </c>
      <c r="D7" s="12" t="s">
        <v>16</v>
      </c>
      <c r="E7" s="12" t="s">
        <v>15</v>
      </c>
      <c r="F7"/>
      <c r="G7">
        <v>48</v>
      </c>
      <c r="H7"/>
      <c r="I7">
        <v>25</v>
      </c>
      <c r="J7"/>
      <c r="K7">
        <v>37</v>
      </c>
      <c r="L7"/>
      <c r="M7" s="58">
        <f>AVERAGE(K7,I7,G7)</f>
        <v>36.666666666666664</v>
      </c>
    </row>
    <row r="8" spans="2:12" ht="12.75">
      <c r="B8" s="8"/>
      <c r="C8" s="8"/>
      <c r="D8" s="12"/>
      <c r="E8" s="12"/>
      <c r="F8"/>
      <c r="G8"/>
      <c r="H8"/>
      <c r="I8"/>
      <c r="J8"/>
      <c r="K8"/>
      <c r="L8"/>
    </row>
    <row r="9" spans="2:13" ht="12.75">
      <c r="B9" s="8" t="s">
        <v>13</v>
      </c>
      <c r="C9" s="8" t="s">
        <v>195</v>
      </c>
      <c r="D9" s="8" t="s">
        <v>14</v>
      </c>
      <c r="E9" s="8" t="s">
        <v>15</v>
      </c>
      <c r="F9"/>
      <c r="G9" s="56">
        <v>0.00653</v>
      </c>
      <c r="H9" s="56"/>
      <c r="I9" s="56">
        <v>0.00632</v>
      </c>
      <c r="J9" s="56"/>
      <c r="K9" s="56">
        <v>0.00558</v>
      </c>
      <c r="L9"/>
      <c r="M9" s="56">
        <f>AVERAGE(K9,I9,G9)</f>
        <v>0.006143333333333334</v>
      </c>
    </row>
    <row r="10" spans="2:13" ht="12.75">
      <c r="B10" s="8"/>
      <c r="C10" s="8"/>
      <c r="F10"/>
      <c r="G10" s="72"/>
      <c r="H10"/>
      <c r="I10" s="72"/>
      <c r="J10"/>
      <c r="K10" s="72"/>
      <c r="L10"/>
      <c r="M10" s="56"/>
    </row>
    <row r="11" spans="2:13" ht="12.75">
      <c r="B11" s="8" t="s">
        <v>50</v>
      </c>
      <c r="C11" s="8"/>
      <c r="D11" s="8" t="s">
        <v>156</v>
      </c>
      <c r="E11" s="8" t="s">
        <v>98</v>
      </c>
      <c r="F11"/>
      <c r="G11" s="63">
        <v>80.4</v>
      </c>
      <c r="H11" s="63"/>
      <c r="I11" s="63">
        <v>28.2</v>
      </c>
      <c r="J11" s="63"/>
      <c r="K11" s="63">
        <v>71.4</v>
      </c>
      <c r="L11"/>
      <c r="M11" s="56"/>
    </row>
    <row r="12" spans="2:13" ht="12.75">
      <c r="B12" s="8" t="s">
        <v>51</v>
      </c>
      <c r="C12" s="8"/>
      <c r="D12" s="8" t="s">
        <v>156</v>
      </c>
      <c r="E12" s="8" t="s">
        <v>98</v>
      </c>
      <c r="F12"/>
      <c r="G12" s="63">
        <v>0</v>
      </c>
      <c r="H12" s="63"/>
      <c r="I12" s="63">
        <v>0</v>
      </c>
      <c r="J12" s="63"/>
      <c r="K12" s="63">
        <v>0</v>
      </c>
      <c r="L12"/>
      <c r="M12" s="56"/>
    </row>
    <row r="13" spans="2:13" ht="12.75">
      <c r="B13" s="8"/>
      <c r="C13" s="8"/>
      <c r="F13"/>
      <c r="G13" s="72"/>
      <c r="H13"/>
      <c r="I13" s="72"/>
      <c r="J13"/>
      <c r="K13" s="72"/>
      <c r="L13"/>
      <c r="M13" s="56"/>
    </row>
    <row r="14" spans="2:13" ht="12.75">
      <c r="B14" s="8" t="s">
        <v>50</v>
      </c>
      <c r="C14" s="8" t="s">
        <v>195</v>
      </c>
      <c r="D14" s="8" t="s">
        <v>16</v>
      </c>
      <c r="E14" s="8" t="s">
        <v>15</v>
      </c>
      <c r="F14"/>
      <c r="G14" s="63">
        <f>G11/1000*35.318*(24.4/36.45)*14/(21-G30)</f>
        <v>2.181286189300411</v>
      </c>
      <c r="H14" s="63"/>
      <c r="I14" s="63">
        <f>I11/1000*35.318*(24.4/36.45)*14/(21-I30)</f>
        <v>0.8408965314944573</v>
      </c>
      <c r="J14" s="63"/>
      <c r="K14" s="63">
        <f>K11/1000*35.318*(24.4/36.45)*14/(21-K30)</f>
        <v>1.9693975681755826</v>
      </c>
      <c r="L14" s="63"/>
      <c r="M14" s="63">
        <f>AVERAGE(K14,I14,G14)</f>
        <v>1.6638600963234838</v>
      </c>
    </row>
    <row r="15" spans="2:13" ht="12.75">
      <c r="B15" s="8" t="s">
        <v>51</v>
      </c>
      <c r="C15" s="8" t="s">
        <v>195</v>
      </c>
      <c r="D15" s="8" t="s">
        <v>16</v>
      </c>
      <c r="E15" s="8" t="s">
        <v>15</v>
      </c>
      <c r="F15"/>
      <c r="G15" s="63">
        <f>G12/1000*35.318*(24.4/71)*14/(21-G31)</f>
        <v>0</v>
      </c>
      <c r="H15" s="63"/>
      <c r="I15" s="63">
        <f>I12/1000*35.318*(24.4/71)*14/(21-I31)</f>
        <v>0</v>
      </c>
      <c r="J15" s="63"/>
      <c r="K15" s="63">
        <f>K12/1000*35.318*(24.4/71)*14/(21-K31)</f>
        <v>0</v>
      </c>
      <c r="L15" s="63"/>
      <c r="M15" s="63">
        <f>AVERAGE(K15,I15,G15)</f>
        <v>0</v>
      </c>
    </row>
    <row r="16" spans="2:13" ht="12.75">
      <c r="B16" s="8" t="s">
        <v>194</v>
      </c>
      <c r="C16" s="8" t="s">
        <v>195</v>
      </c>
      <c r="D16" s="8" t="s">
        <v>16</v>
      </c>
      <c r="E16" s="8" t="s">
        <v>15</v>
      </c>
      <c r="F16"/>
      <c r="G16" s="63">
        <f>G14+2*G15</f>
        <v>2.181286189300411</v>
      </c>
      <c r="H16" s="63"/>
      <c r="I16" s="63">
        <f>I14+2*I15</f>
        <v>0.8408965314944573</v>
      </c>
      <c r="J16" s="63"/>
      <c r="K16" s="63">
        <f>K14+2*K15</f>
        <v>1.9693975681755826</v>
      </c>
      <c r="L16" s="63"/>
      <c r="M16" s="63">
        <f>AVERAGE(K16,I16,G16)</f>
        <v>1.6638600963234838</v>
      </c>
    </row>
    <row r="17" spans="2:13" ht="12.75">
      <c r="B17" s="8"/>
      <c r="C17" s="8"/>
      <c r="F17"/>
      <c r="G17"/>
      <c r="H17"/>
      <c r="I17"/>
      <c r="J17"/>
      <c r="K17"/>
      <c r="L17"/>
      <c r="M17" s="56"/>
    </row>
    <row r="18" spans="2:13" ht="12.75">
      <c r="B18" s="8" t="s">
        <v>112</v>
      </c>
      <c r="C18" s="8" t="s">
        <v>126</v>
      </c>
      <c r="F18" s="8" t="s">
        <v>155</v>
      </c>
      <c r="G18" s="23"/>
      <c r="H18" s="23"/>
      <c r="I18" s="24"/>
      <c r="J18" s="23"/>
      <c r="K18" s="23"/>
      <c r="M18" s="56"/>
    </row>
    <row r="19" spans="2:13" ht="12.75">
      <c r="B19" s="8" t="s">
        <v>113</v>
      </c>
      <c r="C19" s="8"/>
      <c r="D19" s="8" t="s">
        <v>53</v>
      </c>
      <c r="G19" s="23">
        <v>20.01</v>
      </c>
      <c r="H19" s="23"/>
      <c r="I19" s="24">
        <v>19.99</v>
      </c>
      <c r="J19" s="23"/>
      <c r="K19" s="17">
        <v>20</v>
      </c>
      <c r="M19" s="56">
        <f>AVERAGE(K19,I19,G19)</f>
        <v>20</v>
      </c>
    </row>
    <row r="20" spans="2:13" ht="12.75">
      <c r="B20" s="8" t="s">
        <v>114</v>
      </c>
      <c r="C20" s="8" t="s">
        <v>196</v>
      </c>
      <c r="D20" s="8" t="s">
        <v>53</v>
      </c>
      <c r="G20" s="60">
        <v>1.7E-06</v>
      </c>
      <c r="H20" s="8"/>
      <c r="I20" s="60">
        <v>7.8E-06</v>
      </c>
      <c r="J20" s="8"/>
      <c r="K20" s="60">
        <v>9.4E-06</v>
      </c>
      <c r="L20" s="8"/>
      <c r="M20" s="82">
        <f>AVERAGE(K20,I20,G20)</f>
        <v>6.3E-06</v>
      </c>
    </row>
    <row r="21" spans="2:13" ht="12.75">
      <c r="B21" s="8" t="s">
        <v>52</v>
      </c>
      <c r="C21" s="8" t="s">
        <v>196</v>
      </c>
      <c r="D21" s="8" t="s">
        <v>18</v>
      </c>
      <c r="G21" s="79">
        <f>(G19-G20)/G19*100</f>
        <v>99.99999150424789</v>
      </c>
      <c r="H21" s="79"/>
      <c r="I21" s="79">
        <f>(I19-I20)/I19*100</f>
        <v>99.99996098049026</v>
      </c>
      <c r="J21" s="79"/>
      <c r="K21" s="79">
        <f>(K19-K20)/K19*100</f>
        <v>99.99995299999999</v>
      </c>
      <c r="L21" s="80"/>
      <c r="M21" s="81">
        <f>AVERAGE(K21,I21,G21)</f>
        <v>99.99996849491271</v>
      </c>
    </row>
    <row r="22" spans="2:13" ht="12.75">
      <c r="B22" s="8"/>
      <c r="C22" s="8"/>
      <c r="G22" s="70"/>
      <c r="H22" s="70"/>
      <c r="I22" s="70"/>
      <c r="J22" s="70"/>
      <c r="K22" s="70"/>
      <c r="L22" s="8"/>
      <c r="M22" s="81"/>
    </row>
    <row r="23" spans="2:13" ht="12.75">
      <c r="B23" s="8" t="s">
        <v>112</v>
      </c>
      <c r="C23" s="8" t="s">
        <v>150</v>
      </c>
      <c r="F23" s="8" t="s">
        <v>154</v>
      </c>
      <c r="G23" s="23"/>
      <c r="H23" s="23"/>
      <c r="I23" s="24"/>
      <c r="J23" s="23"/>
      <c r="K23" s="23"/>
      <c r="M23" s="81"/>
    </row>
    <row r="24" spans="2:13" ht="12.75">
      <c r="B24" s="8" t="s">
        <v>113</v>
      </c>
      <c r="C24" s="8"/>
      <c r="D24" s="8" t="s">
        <v>53</v>
      </c>
      <c r="G24" s="23">
        <v>20</v>
      </c>
      <c r="H24" s="23"/>
      <c r="I24" s="24">
        <v>20.03</v>
      </c>
      <c r="J24" s="23"/>
      <c r="K24" s="17">
        <v>20.03</v>
      </c>
      <c r="M24" s="81">
        <f>AVERAGE(K24,I24,G24)</f>
        <v>20.02</v>
      </c>
    </row>
    <row r="25" spans="2:13" ht="12.75">
      <c r="B25" s="8" t="s">
        <v>114</v>
      </c>
      <c r="C25" s="8" t="s">
        <v>196</v>
      </c>
      <c r="D25" s="8" t="s">
        <v>53</v>
      </c>
      <c r="F25" s="8" t="s">
        <v>122</v>
      </c>
      <c r="G25" s="60">
        <v>8.36E-06</v>
      </c>
      <c r="H25" s="8" t="s">
        <v>122</v>
      </c>
      <c r="I25" s="60">
        <v>8.6E-06</v>
      </c>
      <c r="J25" s="8" t="s">
        <v>122</v>
      </c>
      <c r="K25" s="60">
        <v>8.12E-06</v>
      </c>
      <c r="L25" s="8"/>
      <c r="M25" s="81">
        <f>AVERAGE(K25,I25,G25)</f>
        <v>8.360000000000001E-06</v>
      </c>
    </row>
    <row r="26" spans="2:13" ht="12.75">
      <c r="B26" s="8" t="s">
        <v>52</v>
      </c>
      <c r="C26" s="8" t="s">
        <v>196</v>
      </c>
      <c r="D26" s="8" t="s">
        <v>18</v>
      </c>
      <c r="F26" s="8" t="s">
        <v>115</v>
      </c>
      <c r="G26" s="79">
        <f>(G24-G25)/G24*100</f>
        <v>99.99995820000001</v>
      </c>
      <c r="H26" s="79" t="s">
        <v>115</v>
      </c>
      <c r="I26" s="79">
        <f>(I24-I25)/I24*100</f>
        <v>99.99995706440339</v>
      </c>
      <c r="J26" s="79" t="s">
        <v>115</v>
      </c>
      <c r="K26" s="79">
        <f>(K24-K25)/K24*100</f>
        <v>99.99995946080878</v>
      </c>
      <c r="L26" s="74" t="s">
        <v>115</v>
      </c>
      <c r="M26" s="81">
        <f>AVERAGE(K26,I26,G26)</f>
        <v>99.99995824173739</v>
      </c>
    </row>
    <row r="27" spans="2:13" ht="12.75">
      <c r="B27" s="8"/>
      <c r="C27" s="8"/>
      <c r="F27"/>
      <c r="G27"/>
      <c r="H27"/>
      <c r="I27"/>
      <c r="J27"/>
      <c r="K27"/>
      <c r="L27"/>
      <c r="M27" s="56"/>
    </row>
    <row r="28" spans="2:13" ht="12.75">
      <c r="B28" s="8" t="s">
        <v>84</v>
      </c>
      <c r="C28" s="8" t="s">
        <v>153</v>
      </c>
      <c r="D28" s="8" t="s">
        <v>195</v>
      </c>
      <c r="F28"/>
      <c r="G28"/>
      <c r="H28"/>
      <c r="I28"/>
      <c r="J28"/>
      <c r="K28"/>
      <c r="L28"/>
      <c r="M28"/>
    </row>
    <row r="29" spans="2:13" ht="12.75">
      <c r="B29" s="8" t="s">
        <v>76</v>
      </c>
      <c r="C29" s="8"/>
      <c r="D29" s="8" t="s">
        <v>17</v>
      </c>
      <c r="F29"/>
      <c r="G29">
        <v>7570</v>
      </c>
      <c r="H29"/>
      <c r="I29">
        <v>7340</v>
      </c>
      <c r="J29"/>
      <c r="K29">
        <v>7300</v>
      </c>
      <c r="L29"/>
      <c r="M29" s="64">
        <f>AVERAGE(K29,I29,G29)</f>
        <v>7403.333333333333</v>
      </c>
    </row>
    <row r="30" spans="2:13" ht="12.75">
      <c r="B30" s="8" t="s">
        <v>81</v>
      </c>
      <c r="C30" s="8"/>
      <c r="D30" s="8" t="s">
        <v>18</v>
      </c>
      <c r="F30"/>
      <c r="G30">
        <v>8.8</v>
      </c>
      <c r="H30"/>
      <c r="I30">
        <v>9.9</v>
      </c>
      <c r="J30"/>
      <c r="K30">
        <v>9</v>
      </c>
      <c r="L30"/>
      <c r="M30" s="5">
        <f>AVERAGE(K30,I30,G30)</f>
        <v>9.233333333333333</v>
      </c>
    </row>
    <row r="31" spans="2:13" ht="12.75">
      <c r="B31" s="8" t="s">
        <v>82</v>
      </c>
      <c r="C31" s="8"/>
      <c r="D31" s="8" t="s">
        <v>18</v>
      </c>
      <c r="F31"/>
      <c r="G31">
        <v>52.5</v>
      </c>
      <c r="H31"/>
      <c r="I31">
        <v>50.5</v>
      </c>
      <c r="J31"/>
      <c r="K31">
        <v>51.5</v>
      </c>
      <c r="L31"/>
      <c r="M31" s="64">
        <f>AVERAGE(K31,I31,G31)</f>
        <v>51.5</v>
      </c>
    </row>
    <row r="32" spans="2:13" ht="12.75">
      <c r="B32" s="8" t="s">
        <v>75</v>
      </c>
      <c r="C32" s="8"/>
      <c r="D32" s="8" t="s">
        <v>19</v>
      </c>
      <c r="F32"/>
      <c r="G32">
        <v>183</v>
      </c>
      <c r="H32"/>
      <c r="I32">
        <v>181</v>
      </c>
      <c r="J32"/>
      <c r="K32">
        <v>181</v>
      </c>
      <c r="L32"/>
      <c r="M32" s="64">
        <f>AVERAGE(K32,I32,G32)</f>
        <v>181.66666666666666</v>
      </c>
    </row>
    <row r="33" spans="2:13" ht="12.75">
      <c r="B33" s="8"/>
      <c r="C33" s="8"/>
      <c r="F33"/>
      <c r="G33"/>
      <c r="H33"/>
      <c r="I33"/>
      <c r="J33"/>
      <c r="K33"/>
      <c r="L33"/>
      <c r="M33" s="64"/>
    </row>
    <row r="34" spans="2:13" ht="12.75">
      <c r="B34" s="8" t="s">
        <v>84</v>
      </c>
      <c r="C34" s="8" t="s">
        <v>152</v>
      </c>
      <c r="D34" s="8" t="s">
        <v>196</v>
      </c>
      <c r="F34"/>
      <c r="G34"/>
      <c r="H34"/>
      <c r="I34"/>
      <c r="J34"/>
      <c r="K34"/>
      <c r="L34"/>
      <c r="M34" s="64"/>
    </row>
    <row r="35" spans="2:13" ht="12.75">
      <c r="B35" s="8" t="s">
        <v>76</v>
      </c>
      <c r="C35" s="8"/>
      <c r="D35" s="8" t="s">
        <v>17</v>
      </c>
      <c r="F35"/>
      <c r="G35">
        <v>7730</v>
      </c>
      <c r="H35"/>
      <c r="I35">
        <v>7940</v>
      </c>
      <c r="J35"/>
      <c r="K35">
        <v>7870</v>
      </c>
      <c r="L35"/>
      <c r="M35" s="64">
        <f>AVERAGE(K35,I35,G35)</f>
        <v>7846.666666666667</v>
      </c>
    </row>
    <row r="36" spans="2:13" ht="12.75">
      <c r="B36" s="8" t="s">
        <v>81</v>
      </c>
      <c r="C36" s="8"/>
      <c r="D36" s="8" t="s">
        <v>18</v>
      </c>
      <c r="F36"/>
      <c r="G36">
        <v>8.8</v>
      </c>
      <c r="H36"/>
      <c r="I36">
        <v>9.9</v>
      </c>
      <c r="J36"/>
      <c r="K36">
        <v>9</v>
      </c>
      <c r="L36"/>
      <c r="M36" s="64">
        <f>AVERAGE(K36,I36,G36)</f>
        <v>9.233333333333333</v>
      </c>
    </row>
    <row r="37" spans="2:13" ht="12.75">
      <c r="B37" s="8" t="s">
        <v>82</v>
      </c>
      <c r="C37" s="8"/>
      <c r="D37" s="8" t="s">
        <v>18</v>
      </c>
      <c r="F37"/>
      <c r="G37">
        <v>51.1</v>
      </c>
      <c r="H37"/>
      <c r="I37">
        <v>49.4</v>
      </c>
      <c r="J37"/>
      <c r="K37">
        <v>50.6</v>
      </c>
      <c r="L37"/>
      <c r="M37" s="64">
        <f>AVERAGE(K37,I37,G37)</f>
        <v>50.36666666666667</v>
      </c>
    </row>
    <row r="38" spans="2:13" ht="12.75">
      <c r="B38" s="8" t="s">
        <v>75</v>
      </c>
      <c r="C38" s="8"/>
      <c r="D38" s="8" t="s">
        <v>19</v>
      </c>
      <c r="E38" s="17"/>
      <c r="F38" s="17"/>
      <c r="G38" s="17">
        <v>180</v>
      </c>
      <c r="I38" s="17">
        <v>179</v>
      </c>
      <c r="K38" s="17">
        <v>179</v>
      </c>
      <c r="M38" s="64">
        <f>AVERAGE(K38,I38,G38)</f>
        <v>179.33333333333334</v>
      </c>
    </row>
    <row r="39" spans="2:9" ht="12.75">
      <c r="B39" s="8"/>
      <c r="C39" s="8"/>
      <c r="E39" s="17"/>
      <c r="F39" s="17"/>
      <c r="I39" s="17"/>
    </row>
    <row r="40" spans="2:13" ht="12.75">
      <c r="B40" s="21" t="str">
        <f>cond!C13</f>
        <v>492C11</v>
      </c>
      <c r="C40" s="21"/>
      <c r="D40" s="8" t="str">
        <f>cond!C20</f>
        <v>Trial burn - worst-case metals</v>
      </c>
      <c r="E40"/>
      <c r="F40"/>
      <c r="G40" s="51" t="s">
        <v>170</v>
      </c>
      <c r="H40" s="51"/>
      <c r="I40" s="51" t="s">
        <v>223</v>
      </c>
      <c r="J40" s="51"/>
      <c r="K40" s="51" t="s">
        <v>224</v>
      </c>
      <c r="L40" s="51"/>
      <c r="M40" s="51" t="s">
        <v>47</v>
      </c>
    </row>
    <row r="41" spans="2:13" ht="12.75">
      <c r="B41" s="8"/>
      <c r="C41" s="8"/>
      <c r="D41" s="12"/>
      <c r="E41" s="12"/>
      <c r="F41"/>
      <c r="G41" s="51"/>
      <c r="H41" s="51"/>
      <c r="I41" s="51"/>
      <c r="J41" s="51"/>
      <c r="K41" s="51"/>
      <c r="L41" s="51"/>
      <c r="M41" s="51"/>
    </row>
    <row r="42" spans="2:13" ht="12.75">
      <c r="B42" s="8" t="s">
        <v>109</v>
      </c>
      <c r="C42" s="8" t="s">
        <v>195</v>
      </c>
      <c r="D42" s="12" t="s">
        <v>16</v>
      </c>
      <c r="E42" s="12" t="s">
        <v>15</v>
      </c>
      <c r="F42"/>
      <c r="G42">
        <v>24</v>
      </c>
      <c r="H42"/>
      <c r="I42">
        <v>23</v>
      </c>
      <c r="J42"/>
      <c r="K42">
        <v>23</v>
      </c>
      <c r="L42"/>
      <c r="M42" s="58">
        <f>AVERAGE(K42,I42,G42)</f>
        <v>23.333333333333332</v>
      </c>
    </row>
    <row r="43" spans="2:13" ht="12.75">
      <c r="B43" s="8"/>
      <c r="C43" s="8"/>
      <c r="D43" s="12"/>
      <c r="E43" s="12"/>
      <c r="F43"/>
      <c r="G43"/>
      <c r="H43"/>
      <c r="I43"/>
      <c r="J43"/>
      <c r="K43"/>
      <c r="L43"/>
      <c r="M43" s="58"/>
    </row>
    <row r="44" spans="2:13" ht="12.75">
      <c r="B44" s="8" t="s">
        <v>13</v>
      </c>
      <c r="C44" s="8" t="s">
        <v>195</v>
      </c>
      <c r="D44" s="8" t="s">
        <v>14</v>
      </c>
      <c r="E44" s="8" t="s">
        <v>15</v>
      </c>
      <c r="F44"/>
      <c r="G44" s="56">
        <v>0.0155</v>
      </c>
      <c r="H44" s="56"/>
      <c r="I44" s="56">
        <v>0.0133</v>
      </c>
      <c r="J44" s="56"/>
      <c r="K44" s="56">
        <v>0.0118</v>
      </c>
      <c r="L44"/>
      <c r="M44" s="83">
        <f>AVERAGE(K44,I44,G44)</f>
        <v>0.013533333333333333</v>
      </c>
    </row>
    <row r="45" spans="2:13" ht="12.75">
      <c r="B45" s="8"/>
      <c r="C45" s="8"/>
      <c r="F45"/>
      <c r="G45"/>
      <c r="H45"/>
      <c r="I45"/>
      <c r="J45"/>
      <c r="K45"/>
      <c r="L45"/>
      <c r="M45" s="56"/>
    </row>
    <row r="46" spans="2:13" ht="12.75">
      <c r="B46" s="8" t="s">
        <v>50</v>
      </c>
      <c r="C46" s="8"/>
      <c r="D46" s="8" t="s">
        <v>156</v>
      </c>
      <c r="E46" s="8" t="s">
        <v>98</v>
      </c>
      <c r="F46"/>
      <c r="G46">
        <v>17.5</v>
      </c>
      <c r="H46"/>
      <c r="I46">
        <v>11.6</v>
      </c>
      <c r="J46"/>
      <c r="K46">
        <v>5.13</v>
      </c>
      <c r="L46"/>
      <c r="M46" s="56"/>
    </row>
    <row r="47" spans="2:13" ht="12.75">
      <c r="B47" s="8" t="s">
        <v>51</v>
      </c>
      <c r="C47" s="8"/>
      <c r="D47" s="8" t="s">
        <v>156</v>
      </c>
      <c r="E47" s="8" t="s">
        <v>98</v>
      </c>
      <c r="F47"/>
      <c r="G47">
        <v>0</v>
      </c>
      <c r="H47"/>
      <c r="I47">
        <v>0</v>
      </c>
      <c r="J47"/>
      <c r="K47">
        <v>0</v>
      </c>
      <c r="L47"/>
      <c r="M47" s="56"/>
    </row>
    <row r="48" spans="2:13" ht="12.75">
      <c r="B48" s="8"/>
      <c r="C48" s="8"/>
      <c r="F48"/>
      <c r="G48"/>
      <c r="H48"/>
      <c r="I48"/>
      <c r="J48"/>
      <c r="K48"/>
      <c r="L48"/>
      <c r="M48" s="56"/>
    </row>
    <row r="49" spans="2:13" ht="12.75">
      <c r="B49" s="8" t="s">
        <v>50</v>
      </c>
      <c r="C49" s="8" t="s">
        <v>195</v>
      </c>
      <c r="D49" s="8" t="s">
        <v>16</v>
      </c>
      <c r="E49" s="8" t="s">
        <v>15</v>
      </c>
      <c r="G49" s="63">
        <f>G46/1000*35.318*(24.4/36.45)*14/(21-G65)</f>
        <v>0.6228328805109368</v>
      </c>
      <c r="H49" s="63"/>
      <c r="I49" s="63">
        <f>I46/1000*35.318*(24.4/36.45)*14/(21-I65)</f>
        <v>0.6094440920591372</v>
      </c>
      <c r="J49" s="63"/>
      <c r="K49" s="63">
        <f>K46/1000*35.318*(24.4/36.45)*14/(21-K65)</f>
        <v>0.12577665141289435</v>
      </c>
      <c r="L49" s="63"/>
      <c r="M49" s="63">
        <f>AVERAGE(K49,I49,G49)</f>
        <v>0.4526845413276561</v>
      </c>
    </row>
    <row r="50" spans="2:13" ht="12.75">
      <c r="B50" s="8" t="s">
        <v>51</v>
      </c>
      <c r="C50" s="8" t="s">
        <v>195</v>
      </c>
      <c r="D50" s="8" t="s">
        <v>16</v>
      </c>
      <c r="E50" s="8" t="s">
        <v>15</v>
      </c>
      <c r="G50" s="63">
        <f>G47/1000*35.318*(24.4/36.45)*14/(21-G66)</f>
        <v>0</v>
      </c>
      <c r="H50" s="63"/>
      <c r="I50" s="63">
        <f>I47/1000*35.318*(24.4/36.45)*14/(21-I66)</f>
        <v>0</v>
      </c>
      <c r="J50" s="63"/>
      <c r="K50" s="63">
        <f>K47/1000*35.318*(24.4/36.45)*14/(21-K66)</f>
        <v>0</v>
      </c>
      <c r="L50" s="63"/>
      <c r="M50" s="63">
        <f>AVERAGE(K50,I50,G50)</f>
        <v>0</v>
      </c>
    </row>
    <row r="51" spans="2:13" ht="12.75">
      <c r="B51" s="8" t="s">
        <v>194</v>
      </c>
      <c r="C51" s="8" t="s">
        <v>195</v>
      </c>
      <c r="D51" s="8" t="s">
        <v>16</v>
      </c>
      <c r="E51" s="8" t="s">
        <v>15</v>
      </c>
      <c r="F51"/>
      <c r="G51" s="63">
        <f>G49+2*G50</f>
        <v>0.6228328805109368</v>
      </c>
      <c r="H51" s="63"/>
      <c r="I51" s="63">
        <f>I49+2*I50</f>
        <v>0.6094440920591372</v>
      </c>
      <c r="J51" s="63"/>
      <c r="K51" s="63">
        <f>K49+2*K50</f>
        <v>0.12577665141289435</v>
      </c>
      <c r="L51" s="63"/>
      <c r="M51" s="63">
        <f>AVERAGE(K51,I51,G51)</f>
        <v>0.4526845413276561</v>
      </c>
    </row>
    <row r="52" spans="2:13" ht="12.75">
      <c r="B52" s="8"/>
      <c r="C52" s="8"/>
      <c r="G52" s="23"/>
      <c r="H52" s="23"/>
      <c r="I52" s="24"/>
      <c r="J52" s="23"/>
      <c r="M52" s="67"/>
    </row>
    <row r="53" spans="2:13" ht="12.75">
      <c r="B53" s="8" t="s">
        <v>84</v>
      </c>
      <c r="C53" s="8" t="s">
        <v>127</v>
      </c>
      <c r="D53" s="8" t="s">
        <v>195</v>
      </c>
      <c r="F53"/>
      <c r="G53"/>
      <c r="H53"/>
      <c r="I53"/>
      <c r="J53"/>
      <c r="K53"/>
      <c r="L53"/>
      <c r="M53"/>
    </row>
    <row r="54" spans="2:13" ht="12.75">
      <c r="B54" s="8" t="s">
        <v>76</v>
      </c>
      <c r="C54" s="8"/>
      <c r="D54" s="8" t="s">
        <v>17</v>
      </c>
      <c r="F54"/>
      <c r="G54">
        <v>6900</v>
      </c>
      <c r="H54"/>
      <c r="I54">
        <v>6900</v>
      </c>
      <c r="J54"/>
      <c r="K54">
        <v>7390</v>
      </c>
      <c r="L54"/>
      <c r="M54" s="64">
        <f>AVERAGE(K54,I54,G54)</f>
        <v>7063.333333333333</v>
      </c>
    </row>
    <row r="55" spans="2:13" ht="12.75">
      <c r="B55" s="8" t="s">
        <v>81</v>
      </c>
      <c r="C55" s="8"/>
      <c r="D55" s="8" t="s">
        <v>18</v>
      </c>
      <c r="F55"/>
      <c r="G55">
        <v>9.9</v>
      </c>
      <c r="H55"/>
      <c r="I55">
        <v>9.8</v>
      </c>
      <c r="J55"/>
      <c r="K55">
        <v>9.6</v>
      </c>
      <c r="L55"/>
      <c r="M55" s="5">
        <f>AVERAGE(K55,I55,G55)</f>
        <v>9.766666666666666</v>
      </c>
    </row>
    <row r="56" spans="2:13" ht="12.75">
      <c r="B56" s="8" t="s">
        <v>82</v>
      </c>
      <c r="C56" s="8"/>
      <c r="D56" s="8" t="s">
        <v>18</v>
      </c>
      <c r="F56"/>
      <c r="G56">
        <v>47.1</v>
      </c>
      <c r="H56"/>
      <c r="I56">
        <v>46.7</v>
      </c>
      <c r="J56"/>
      <c r="K56">
        <v>45.5</v>
      </c>
      <c r="L56"/>
      <c r="M56" s="5">
        <f>AVERAGE(K56,I56,G56)</f>
        <v>46.43333333333334</v>
      </c>
    </row>
    <row r="57" spans="2:13" ht="12.75">
      <c r="B57" s="8" t="s">
        <v>75</v>
      </c>
      <c r="C57" s="8"/>
      <c r="D57" s="8" t="s">
        <v>19</v>
      </c>
      <c r="F57"/>
      <c r="G57">
        <v>177</v>
      </c>
      <c r="H57"/>
      <c r="I57">
        <v>176</v>
      </c>
      <c r="J57"/>
      <c r="K57">
        <v>175</v>
      </c>
      <c r="L57"/>
      <c r="M57" s="64">
        <f>AVERAGE(K57,I57,G57)</f>
        <v>176</v>
      </c>
    </row>
    <row r="58" spans="4:9" ht="12.75">
      <c r="D58" s="17"/>
      <c r="E58" s="17"/>
      <c r="F58" s="17"/>
      <c r="I58" s="17"/>
    </row>
    <row r="59" spans="2:13" ht="12.75">
      <c r="B59" s="8" t="s">
        <v>157</v>
      </c>
      <c r="C59" s="8"/>
      <c r="G59" s="78"/>
      <c r="H59" s="8"/>
      <c r="I59" s="64"/>
      <c r="J59"/>
      <c r="K59" s="64"/>
      <c r="L59"/>
      <c r="M59" s="5"/>
    </row>
    <row r="60" spans="2:13" ht="12.75">
      <c r="B60" s="8" t="s">
        <v>105</v>
      </c>
      <c r="C60" s="8"/>
      <c r="D60" s="8" t="s">
        <v>156</v>
      </c>
      <c r="E60" s="8" t="s">
        <v>98</v>
      </c>
      <c r="G60" s="84">
        <v>3.96</v>
      </c>
      <c r="H60" s="76"/>
      <c r="I60" s="63">
        <v>2.28</v>
      </c>
      <c r="J60" s="76"/>
      <c r="K60" s="63">
        <v>2.03</v>
      </c>
      <c r="L60"/>
      <c r="M60" s="5"/>
    </row>
    <row r="61" spans="2:13" ht="12.75">
      <c r="B61" s="8" t="s">
        <v>101</v>
      </c>
      <c r="C61" s="8"/>
      <c r="D61" s="8" t="s">
        <v>156</v>
      </c>
      <c r="E61" s="8" t="s">
        <v>98</v>
      </c>
      <c r="F61" s="8" t="s">
        <v>96</v>
      </c>
      <c r="G61" s="73">
        <v>0</v>
      </c>
      <c r="H61" s="74" t="s">
        <v>96</v>
      </c>
      <c r="I61" s="73">
        <v>0</v>
      </c>
      <c r="J61" s="74" t="s">
        <v>96</v>
      </c>
      <c r="K61" s="56">
        <v>0</v>
      </c>
      <c r="L61"/>
      <c r="M61" s="5"/>
    </row>
    <row r="62" spans="2:13" ht="12.75">
      <c r="B62" s="8" t="s">
        <v>102</v>
      </c>
      <c r="C62" s="8"/>
      <c r="D62" s="8" t="s">
        <v>156</v>
      </c>
      <c r="E62" s="8" t="s">
        <v>98</v>
      </c>
      <c r="F62"/>
      <c r="G62" s="84">
        <v>21.8</v>
      </c>
      <c r="H62" s="63"/>
      <c r="I62" s="63">
        <v>20.3</v>
      </c>
      <c r="J62" s="63"/>
      <c r="K62" s="63">
        <v>17.2</v>
      </c>
      <c r="L62"/>
      <c r="M62" s="5"/>
    </row>
    <row r="63" spans="2:13" ht="12.75">
      <c r="B63" s="8" t="s">
        <v>128</v>
      </c>
      <c r="C63" s="8"/>
      <c r="D63" s="8" t="s">
        <v>156</v>
      </c>
      <c r="E63" s="8" t="s">
        <v>98</v>
      </c>
      <c r="G63" s="73">
        <v>0.00331</v>
      </c>
      <c r="H63" s="74"/>
      <c r="I63" s="56">
        <v>0.000792</v>
      </c>
      <c r="J63" s="74"/>
      <c r="K63" s="56">
        <v>0.000635</v>
      </c>
      <c r="L63"/>
      <c r="M63" s="5"/>
    </row>
    <row r="64" spans="2:13" ht="12.75">
      <c r="B64" s="8" t="s">
        <v>103</v>
      </c>
      <c r="C64" s="8"/>
      <c r="D64" s="8" t="s">
        <v>156</v>
      </c>
      <c r="E64" s="8" t="s">
        <v>98</v>
      </c>
      <c r="G64" s="73">
        <v>0.37</v>
      </c>
      <c r="H64" s="74"/>
      <c r="I64" s="56">
        <v>0.235</v>
      </c>
      <c r="J64" s="74"/>
      <c r="K64" s="56">
        <v>0.348</v>
      </c>
      <c r="L64"/>
      <c r="M64" s="5"/>
    </row>
    <row r="65" spans="2:13" ht="12.75">
      <c r="B65" s="8" t="s">
        <v>83</v>
      </c>
      <c r="C65" s="8"/>
      <c r="D65" s="8" t="s">
        <v>156</v>
      </c>
      <c r="E65" s="8" t="s">
        <v>98</v>
      </c>
      <c r="F65"/>
      <c r="G65" s="73">
        <v>11.7</v>
      </c>
      <c r="H65" s="56"/>
      <c r="I65" s="56">
        <v>14.7</v>
      </c>
      <c r="J65" s="56"/>
      <c r="K65" s="56">
        <v>7.5</v>
      </c>
      <c r="L65"/>
      <c r="M65" s="5"/>
    </row>
    <row r="66" spans="2:13" ht="12.75">
      <c r="B66" s="93" t="s">
        <v>197</v>
      </c>
      <c r="C66" s="8"/>
      <c r="D66" s="8" t="s">
        <v>156</v>
      </c>
      <c r="E66" s="8" t="s">
        <v>98</v>
      </c>
      <c r="G66" s="73">
        <v>1.93</v>
      </c>
      <c r="H66" s="74"/>
      <c r="I66" s="56">
        <v>1.51</v>
      </c>
      <c r="J66" s="74"/>
      <c r="K66" s="56">
        <v>2.28</v>
      </c>
      <c r="L66"/>
      <c r="M66" s="5"/>
    </row>
    <row r="67" spans="2:13" ht="12.75">
      <c r="B67" s="8" t="s">
        <v>77</v>
      </c>
      <c r="C67" s="8"/>
      <c r="D67" s="8" t="s">
        <v>156</v>
      </c>
      <c r="E67" s="8" t="s">
        <v>98</v>
      </c>
      <c r="G67" s="73">
        <v>2.05</v>
      </c>
      <c r="H67" s="74"/>
      <c r="I67" s="56">
        <v>0.952</v>
      </c>
      <c r="J67" s="74"/>
      <c r="K67" s="56">
        <v>1.04</v>
      </c>
      <c r="L67"/>
      <c r="M67" s="5"/>
    </row>
    <row r="68" spans="2:13" ht="12.75">
      <c r="B68" s="8" t="s">
        <v>79</v>
      </c>
      <c r="C68" s="8"/>
      <c r="D68" s="8" t="s">
        <v>156</v>
      </c>
      <c r="E68" s="8" t="s">
        <v>98</v>
      </c>
      <c r="G68" s="86">
        <v>92.4</v>
      </c>
      <c r="H68" s="77"/>
      <c r="I68" s="5">
        <v>104</v>
      </c>
      <c r="J68" s="77"/>
      <c r="K68" s="5">
        <v>106</v>
      </c>
      <c r="L68"/>
      <c r="M68" s="5"/>
    </row>
    <row r="69" spans="2:13" ht="12.75">
      <c r="B69" s="8" t="s">
        <v>104</v>
      </c>
      <c r="C69" s="8"/>
      <c r="D69" s="8" t="s">
        <v>156</v>
      </c>
      <c r="E69" s="8" t="s">
        <v>98</v>
      </c>
      <c r="G69" s="73">
        <v>1.67</v>
      </c>
      <c r="H69" s="74"/>
      <c r="I69" s="56">
        <v>1.57</v>
      </c>
      <c r="J69" s="74"/>
      <c r="K69" s="56">
        <v>1.18</v>
      </c>
      <c r="L69"/>
      <c r="M69" s="5"/>
    </row>
    <row r="70" spans="2:11" ht="12.75">
      <c r="B70" s="8" t="s">
        <v>106</v>
      </c>
      <c r="C70" s="8"/>
      <c r="D70" s="8" t="s">
        <v>156</v>
      </c>
      <c r="E70" s="8" t="s">
        <v>98</v>
      </c>
      <c r="G70" s="83">
        <v>1.54</v>
      </c>
      <c r="H70" s="83"/>
      <c r="I70" s="83">
        <v>1.65</v>
      </c>
      <c r="J70" s="83"/>
      <c r="K70" s="83">
        <v>2.4</v>
      </c>
    </row>
    <row r="71" spans="2:13" ht="12.75">
      <c r="B71" s="8" t="s">
        <v>100</v>
      </c>
      <c r="C71" s="8"/>
      <c r="D71" s="8" t="s">
        <v>156</v>
      </c>
      <c r="E71" s="8" t="s">
        <v>98</v>
      </c>
      <c r="F71"/>
      <c r="G71" s="73">
        <v>0.877</v>
      </c>
      <c r="H71" s="56"/>
      <c r="I71" s="56">
        <v>0.653</v>
      </c>
      <c r="J71" s="56"/>
      <c r="K71" s="56">
        <v>0.823</v>
      </c>
      <c r="L71"/>
      <c r="M71" s="5"/>
    </row>
    <row r="72" spans="2:13" ht="12.75">
      <c r="B72" s="8" t="s">
        <v>107</v>
      </c>
      <c r="C72" s="8"/>
      <c r="D72" s="8" t="s">
        <v>156</v>
      </c>
      <c r="E72" s="8" t="s">
        <v>98</v>
      </c>
      <c r="G72" s="73">
        <v>26.3</v>
      </c>
      <c r="H72" s="74"/>
      <c r="I72" s="56">
        <v>26.1</v>
      </c>
      <c r="J72" s="74"/>
      <c r="K72" s="56">
        <v>30.6</v>
      </c>
      <c r="L72"/>
      <c r="M72" s="5"/>
    </row>
    <row r="73" spans="2:11" ht="12.75">
      <c r="B73" s="8" t="s">
        <v>108</v>
      </c>
      <c r="C73" s="8"/>
      <c r="D73" s="8" t="s">
        <v>156</v>
      </c>
      <c r="E73" s="8" t="s">
        <v>98</v>
      </c>
      <c r="G73" s="83">
        <v>9.75</v>
      </c>
      <c r="H73" s="83"/>
      <c r="I73" s="83">
        <v>7.99</v>
      </c>
      <c r="J73" s="83"/>
      <c r="K73" s="83">
        <v>4.21</v>
      </c>
    </row>
    <row r="74" spans="2:13" ht="12.75">
      <c r="B74" s="8"/>
      <c r="C74" s="8"/>
      <c r="G74" s="74"/>
      <c r="H74" s="74"/>
      <c r="I74" s="56"/>
      <c r="J74" s="74"/>
      <c r="K74" s="56"/>
      <c r="L74"/>
      <c r="M74" s="5"/>
    </row>
    <row r="75" spans="2:13" ht="12.75">
      <c r="B75" s="8" t="s">
        <v>84</v>
      </c>
      <c r="C75" s="8" t="s">
        <v>129</v>
      </c>
      <c r="D75" s="8" t="s">
        <v>196</v>
      </c>
      <c r="G75" s="72"/>
      <c r="H75"/>
      <c r="I75"/>
      <c r="J75"/>
      <c r="K75"/>
      <c r="L75"/>
      <c r="M75"/>
    </row>
    <row r="76" spans="2:13" ht="12.75">
      <c r="B76" s="8" t="s">
        <v>76</v>
      </c>
      <c r="C76" s="8"/>
      <c r="D76" s="8" t="s">
        <v>17</v>
      </c>
      <c r="F76" s="17"/>
      <c r="G76" s="17">
        <v>6970</v>
      </c>
      <c r="I76" s="17">
        <v>6930</v>
      </c>
      <c r="K76" s="17">
        <v>7210</v>
      </c>
      <c r="M76" s="65">
        <f aca="true" t="shared" si="0" ref="M76:M85">AVERAGE(G76,I76,K76)</f>
        <v>7036.666666666667</v>
      </c>
    </row>
    <row r="77" spans="2:13" ht="12.75">
      <c r="B77" s="8" t="s">
        <v>81</v>
      </c>
      <c r="C77" s="8"/>
      <c r="D77" s="8" t="s">
        <v>18</v>
      </c>
      <c r="F77" s="17"/>
      <c r="G77">
        <v>9.9</v>
      </c>
      <c r="H77"/>
      <c r="I77">
        <v>9.8</v>
      </c>
      <c r="J77"/>
      <c r="K77">
        <v>9.6</v>
      </c>
      <c r="M77" s="65">
        <f t="shared" si="0"/>
        <v>9.766666666666667</v>
      </c>
    </row>
    <row r="78" spans="2:13" ht="12.75">
      <c r="B78" s="8" t="s">
        <v>82</v>
      </c>
      <c r="C78" s="8"/>
      <c r="D78" s="8" t="s">
        <v>18</v>
      </c>
      <c r="F78" s="17"/>
      <c r="G78" s="17">
        <v>47</v>
      </c>
      <c r="I78" s="17">
        <v>47.2</v>
      </c>
      <c r="K78" s="17">
        <v>45.5</v>
      </c>
      <c r="M78" s="65">
        <f t="shared" si="0"/>
        <v>46.56666666666666</v>
      </c>
    </row>
    <row r="79" spans="2:13" ht="12.75">
      <c r="B79" s="8" t="s">
        <v>75</v>
      </c>
      <c r="C79" s="8"/>
      <c r="D79" s="8" t="s">
        <v>19</v>
      </c>
      <c r="F79" s="17"/>
      <c r="G79" s="17">
        <v>176</v>
      </c>
      <c r="I79" s="17">
        <v>176</v>
      </c>
      <c r="K79" s="17">
        <v>176</v>
      </c>
      <c r="M79" s="65">
        <f t="shared" si="0"/>
        <v>176</v>
      </c>
    </row>
    <row r="80" spans="4:13" ht="12.75">
      <c r="D80" s="17"/>
      <c r="E80" s="17"/>
      <c r="F80" s="17"/>
      <c r="I80" s="17"/>
      <c r="M80" s="65"/>
    </row>
    <row r="81" spans="2:13" ht="12.75">
      <c r="B81" s="8" t="s">
        <v>84</v>
      </c>
      <c r="C81" s="8" t="s">
        <v>130</v>
      </c>
      <c r="D81" s="8" t="s">
        <v>198</v>
      </c>
      <c r="F81" s="17"/>
      <c r="I81" s="17"/>
      <c r="M81" s="65"/>
    </row>
    <row r="82" spans="2:13" ht="12.75">
      <c r="B82" s="8" t="s">
        <v>76</v>
      </c>
      <c r="C82" s="8"/>
      <c r="D82" s="8" t="s">
        <v>17</v>
      </c>
      <c r="F82" s="17"/>
      <c r="G82" s="17">
        <v>7320</v>
      </c>
      <c r="I82" s="17">
        <v>7460</v>
      </c>
      <c r="K82" s="17">
        <v>7330</v>
      </c>
      <c r="M82" s="65">
        <f t="shared" si="0"/>
        <v>7370</v>
      </c>
    </row>
    <row r="83" spans="2:13" ht="12.75">
      <c r="B83" s="8" t="s">
        <v>81</v>
      </c>
      <c r="C83" s="8"/>
      <c r="D83" s="8" t="s">
        <v>18</v>
      </c>
      <c r="F83" s="17"/>
      <c r="G83">
        <v>9.9</v>
      </c>
      <c r="H83"/>
      <c r="I83">
        <v>9.9</v>
      </c>
      <c r="J83"/>
      <c r="K83">
        <v>9.6</v>
      </c>
      <c r="M83" s="65">
        <f t="shared" si="0"/>
        <v>9.799999999999999</v>
      </c>
    </row>
    <row r="84" spans="2:13" ht="12.75">
      <c r="B84" s="8" t="s">
        <v>82</v>
      </c>
      <c r="C84" s="8"/>
      <c r="D84" s="8" t="s">
        <v>18</v>
      </c>
      <c r="F84" s="17"/>
      <c r="G84" s="17">
        <v>46.8</v>
      </c>
      <c r="I84" s="17">
        <v>46.2</v>
      </c>
      <c r="K84" s="17">
        <v>47</v>
      </c>
      <c r="M84" s="65">
        <f t="shared" si="0"/>
        <v>46.666666666666664</v>
      </c>
    </row>
    <row r="85" spans="2:13" ht="12.75">
      <c r="B85" s="8" t="s">
        <v>75</v>
      </c>
      <c r="C85" s="8"/>
      <c r="D85" s="8" t="s">
        <v>19</v>
      </c>
      <c r="F85" s="17"/>
      <c r="G85" s="17">
        <v>176</v>
      </c>
      <c r="I85" s="17">
        <v>175</v>
      </c>
      <c r="K85" s="17">
        <v>176</v>
      </c>
      <c r="M85" s="65">
        <f t="shared" si="0"/>
        <v>175.66666666666666</v>
      </c>
    </row>
    <row r="86" spans="2:13" ht="12.75">
      <c r="B86" s="8"/>
      <c r="C86" s="8"/>
      <c r="F86" s="17"/>
      <c r="I86" s="17"/>
      <c r="M86" s="65"/>
    </row>
    <row r="87" spans="2:13" ht="12.75">
      <c r="B87" s="8" t="s">
        <v>105</v>
      </c>
      <c r="C87" s="8" t="s">
        <v>196</v>
      </c>
      <c r="D87" s="8" t="s">
        <v>55</v>
      </c>
      <c r="E87" s="17" t="s">
        <v>15</v>
      </c>
      <c r="G87" s="65">
        <f>G60*35.31*14/(21-G$77)</f>
        <v>176.35913513513515</v>
      </c>
      <c r="H87" s="65"/>
      <c r="I87" s="65">
        <f>I60*35.31*14/(21-I$77)</f>
        <v>100.6335</v>
      </c>
      <c r="J87" s="65"/>
      <c r="K87" s="65">
        <f>K60*35.31*14/(21-K$77)</f>
        <v>88.02721052631578</v>
      </c>
      <c r="M87" s="65">
        <f aca="true" t="shared" si="1" ref="M87:M100">AVERAGE(G87,I87,K87)</f>
        <v>121.67328188715032</v>
      </c>
    </row>
    <row r="88" spans="2:13" ht="12.75">
      <c r="B88" s="8" t="s">
        <v>101</v>
      </c>
      <c r="C88" s="8" t="s">
        <v>196</v>
      </c>
      <c r="D88" s="8" t="s">
        <v>55</v>
      </c>
      <c r="E88" s="17" t="s">
        <v>15</v>
      </c>
      <c r="F88" s="8" t="s">
        <v>96</v>
      </c>
      <c r="G88" s="58">
        <f aca="true" t="shared" si="2" ref="G88:G100">G61*35.31*14/(21-G$77)</f>
        <v>0</v>
      </c>
      <c r="H88" s="8" t="s">
        <v>96</v>
      </c>
      <c r="I88" s="58">
        <f aca="true" t="shared" si="3" ref="I88:I100">I61*35.31*14/(21-I$77)</f>
        <v>0</v>
      </c>
      <c r="J88" s="8" t="s">
        <v>96</v>
      </c>
      <c r="K88" s="58">
        <f aca="true" t="shared" si="4" ref="K88:K100">K61*35.31*14/(21-K$77)</f>
        <v>0</v>
      </c>
      <c r="M88" s="58">
        <f t="shared" si="1"/>
        <v>0</v>
      </c>
    </row>
    <row r="89" spans="2:13" ht="12.75">
      <c r="B89" s="8" t="s">
        <v>102</v>
      </c>
      <c r="C89" s="8" t="s">
        <v>196</v>
      </c>
      <c r="D89" s="8" t="s">
        <v>55</v>
      </c>
      <c r="E89" s="17" t="s">
        <v>15</v>
      </c>
      <c r="G89" s="65">
        <f t="shared" si="2"/>
        <v>970.865945945946</v>
      </c>
      <c r="H89" s="8"/>
      <c r="I89" s="65">
        <f t="shared" si="3"/>
        <v>895.9912500000003</v>
      </c>
      <c r="J89" s="8"/>
      <c r="K89" s="65">
        <f t="shared" si="4"/>
        <v>745.8463157894736</v>
      </c>
      <c r="M89" s="65">
        <f t="shared" si="1"/>
        <v>870.9011705784733</v>
      </c>
    </row>
    <row r="90" spans="2:13" ht="12.75">
      <c r="B90" s="8" t="s">
        <v>128</v>
      </c>
      <c r="C90" s="8" t="s">
        <v>196</v>
      </c>
      <c r="D90" s="8" t="s">
        <v>55</v>
      </c>
      <c r="E90" s="17" t="s">
        <v>15</v>
      </c>
      <c r="F90"/>
      <c r="G90" s="57">
        <f t="shared" si="2"/>
        <v>0.14741129729729732</v>
      </c>
      <c r="H90" s="63"/>
      <c r="I90" s="57">
        <f t="shared" si="3"/>
        <v>0.034956900000000006</v>
      </c>
      <c r="J90" s="63"/>
      <c r="K90" s="57">
        <f t="shared" si="4"/>
        <v>0.0275356052631579</v>
      </c>
      <c r="L90" s="57"/>
      <c r="M90" s="57">
        <f t="shared" si="1"/>
        <v>0.06996793418681842</v>
      </c>
    </row>
    <row r="91" spans="2:13" ht="12.75">
      <c r="B91" s="8" t="s">
        <v>103</v>
      </c>
      <c r="C91" s="8" t="s">
        <v>196</v>
      </c>
      <c r="D91" s="8" t="s">
        <v>55</v>
      </c>
      <c r="E91" s="17" t="s">
        <v>15</v>
      </c>
      <c r="G91" s="65">
        <f t="shared" si="2"/>
        <v>16.478</v>
      </c>
      <c r="H91" s="76"/>
      <c r="I91" s="65">
        <f t="shared" si="3"/>
        <v>10.372312500000001</v>
      </c>
      <c r="J91" s="76"/>
      <c r="K91" s="65">
        <f t="shared" si="4"/>
        <v>15.09037894736842</v>
      </c>
      <c r="L91" s="63"/>
      <c r="M91" s="57">
        <f t="shared" si="1"/>
        <v>13.980230482456141</v>
      </c>
    </row>
    <row r="92" spans="2:13" ht="12.75">
      <c r="B92" s="8" t="s">
        <v>83</v>
      </c>
      <c r="C92" s="8" t="s">
        <v>196</v>
      </c>
      <c r="D92" s="8" t="s">
        <v>55</v>
      </c>
      <c r="E92" s="17" t="s">
        <v>15</v>
      </c>
      <c r="G92" s="65">
        <f t="shared" si="2"/>
        <v>521.0610810810812</v>
      </c>
      <c r="H92" s="8"/>
      <c r="I92" s="65">
        <f t="shared" si="3"/>
        <v>648.8212500000001</v>
      </c>
      <c r="J92" s="8"/>
      <c r="K92" s="65">
        <f t="shared" si="4"/>
        <v>325.22368421052636</v>
      </c>
      <c r="L92"/>
      <c r="M92" s="65">
        <f t="shared" si="1"/>
        <v>498.36867176386914</v>
      </c>
    </row>
    <row r="93" spans="2:13" ht="12.75">
      <c r="B93" s="93" t="s">
        <v>197</v>
      </c>
      <c r="C93" s="8" t="s">
        <v>198</v>
      </c>
      <c r="D93" s="8" t="s">
        <v>55</v>
      </c>
      <c r="E93" s="17" t="s">
        <v>15</v>
      </c>
      <c r="F93"/>
      <c r="G93" s="65">
        <f t="shared" si="2"/>
        <v>85.95281081081082</v>
      </c>
      <c r="H93"/>
      <c r="I93" s="65">
        <f t="shared" si="3"/>
        <v>66.647625</v>
      </c>
      <c r="J93"/>
      <c r="K93" s="65">
        <f t="shared" si="4"/>
        <v>98.868</v>
      </c>
      <c r="L93"/>
      <c r="M93" s="65">
        <f t="shared" si="1"/>
        <v>83.82281193693694</v>
      </c>
    </row>
    <row r="94" spans="2:13" ht="12.75">
      <c r="B94" s="8" t="s">
        <v>77</v>
      </c>
      <c r="C94" s="8" t="s">
        <v>196</v>
      </c>
      <c r="D94" s="8" t="s">
        <v>55</v>
      </c>
      <c r="E94" s="17" t="s">
        <v>15</v>
      </c>
      <c r="G94" s="65">
        <f t="shared" si="2"/>
        <v>91.29702702702703</v>
      </c>
      <c r="H94" s="8"/>
      <c r="I94" s="65">
        <f t="shared" si="3"/>
        <v>42.0189</v>
      </c>
      <c r="J94" s="8"/>
      <c r="K94" s="65">
        <f t="shared" si="4"/>
        <v>45.09768421052632</v>
      </c>
      <c r="L94"/>
      <c r="M94" s="65">
        <f t="shared" si="1"/>
        <v>59.47120374585112</v>
      </c>
    </row>
    <row r="95" spans="2:13" ht="12.75">
      <c r="B95" s="8" t="s">
        <v>79</v>
      </c>
      <c r="C95" s="8" t="s">
        <v>196</v>
      </c>
      <c r="D95" s="8" t="s">
        <v>55</v>
      </c>
      <c r="E95" s="17" t="s">
        <v>15</v>
      </c>
      <c r="G95" s="65">
        <f t="shared" si="2"/>
        <v>4115.046486486487</v>
      </c>
      <c r="H95" s="8"/>
      <c r="I95" s="65">
        <f t="shared" si="3"/>
        <v>4590.3</v>
      </c>
      <c r="J95" s="8"/>
      <c r="K95" s="65">
        <f t="shared" si="4"/>
        <v>4596.494736842105</v>
      </c>
      <c r="L95"/>
      <c r="M95" s="65">
        <f t="shared" si="1"/>
        <v>4433.9470744428645</v>
      </c>
    </row>
    <row r="96" spans="2:13" ht="12.75">
      <c r="B96" s="8" t="s">
        <v>104</v>
      </c>
      <c r="C96" s="8" t="s">
        <v>196</v>
      </c>
      <c r="D96" s="8" t="s">
        <v>55</v>
      </c>
      <c r="E96" s="17" t="s">
        <v>15</v>
      </c>
      <c r="G96" s="65">
        <f t="shared" si="2"/>
        <v>74.37367567567568</v>
      </c>
      <c r="H96" s="8"/>
      <c r="I96" s="65">
        <f t="shared" si="3"/>
        <v>69.29587500000001</v>
      </c>
      <c r="J96" s="8"/>
      <c r="K96" s="65">
        <f t="shared" si="4"/>
        <v>51.16852631578947</v>
      </c>
      <c r="L96"/>
      <c r="M96" s="65">
        <f t="shared" si="1"/>
        <v>64.94602566382171</v>
      </c>
    </row>
    <row r="97" spans="2:13" ht="12.75">
      <c r="B97" s="8" t="s">
        <v>106</v>
      </c>
      <c r="C97" s="8" t="s">
        <v>196</v>
      </c>
      <c r="D97" s="8" t="s">
        <v>55</v>
      </c>
      <c r="E97" s="17" t="s">
        <v>15</v>
      </c>
      <c r="G97" s="65">
        <f t="shared" si="2"/>
        <v>68.58410810810811</v>
      </c>
      <c r="H97" s="8"/>
      <c r="I97" s="65">
        <f t="shared" si="3"/>
        <v>72.826875</v>
      </c>
      <c r="J97" s="8"/>
      <c r="K97" s="65">
        <f t="shared" si="4"/>
        <v>104.07157894736841</v>
      </c>
      <c r="L97"/>
      <c r="M97" s="65">
        <f t="shared" si="1"/>
        <v>81.82752068515883</v>
      </c>
    </row>
    <row r="98" spans="2:13" ht="12.75">
      <c r="B98" s="8" t="s">
        <v>100</v>
      </c>
      <c r="C98" s="8" t="s">
        <v>196</v>
      </c>
      <c r="D98" s="8" t="s">
        <v>55</v>
      </c>
      <c r="E98" s="17" t="s">
        <v>15</v>
      </c>
      <c r="G98" s="65">
        <f t="shared" si="2"/>
        <v>39.05731351351352</v>
      </c>
      <c r="H98" s="8"/>
      <c r="I98" s="65">
        <f t="shared" si="3"/>
        <v>28.821787500000006</v>
      </c>
      <c r="J98" s="8"/>
      <c r="K98" s="65">
        <f t="shared" si="4"/>
        <v>35.68787894736842</v>
      </c>
      <c r="L98"/>
      <c r="M98" s="65">
        <f t="shared" si="1"/>
        <v>34.52232665362731</v>
      </c>
    </row>
    <row r="99" spans="2:13" ht="12.75">
      <c r="B99" s="8" t="s">
        <v>107</v>
      </c>
      <c r="C99" s="8" t="s">
        <v>196</v>
      </c>
      <c r="D99" s="8" t="s">
        <v>55</v>
      </c>
      <c r="E99" s="17" t="s">
        <v>15</v>
      </c>
      <c r="F99"/>
      <c r="G99" s="65">
        <f t="shared" si="2"/>
        <v>1171.2740540540542</v>
      </c>
      <c r="H99"/>
      <c r="I99" s="65">
        <f t="shared" si="3"/>
        <v>1151.9887500000002</v>
      </c>
      <c r="J99"/>
      <c r="K99" s="65">
        <f t="shared" si="4"/>
        <v>1326.9126315789474</v>
      </c>
      <c r="L99"/>
      <c r="M99" s="65">
        <f t="shared" si="1"/>
        <v>1216.7251452110006</v>
      </c>
    </row>
    <row r="100" spans="2:13" ht="12.75">
      <c r="B100" s="8" t="s">
        <v>108</v>
      </c>
      <c r="C100" s="8" t="s">
        <v>196</v>
      </c>
      <c r="D100" s="8" t="s">
        <v>55</v>
      </c>
      <c r="E100" s="17" t="s">
        <v>15</v>
      </c>
      <c r="G100" s="65">
        <f t="shared" si="2"/>
        <v>434.21756756756764</v>
      </c>
      <c r="H100" s="8"/>
      <c r="I100" s="65">
        <f t="shared" si="3"/>
        <v>352.6586250000001</v>
      </c>
      <c r="J100" s="8"/>
      <c r="K100" s="65">
        <f t="shared" si="4"/>
        <v>182.55889473684212</v>
      </c>
      <c r="L100"/>
      <c r="M100" s="65">
        <f t="shared" si="1"/>
        <v>323.14502910146996</v>
      </c>
    </row>
    <row r="101" spans="2:13" ht="12.75">
      <c r="B101" s="8"/>
      <c r="C101" s="8"/>
      <c r="E101" s="17"/>
      <c r="G101" s="57"/>
      <c r="H101" s="76"/>
      <c r="I101" s="57"/>
      <c r="J101" s="8"/>
      <c r="K101" s="57"/>
      <c r="L101" s="63"/>
      <c r="M101" s="57"/>
    </row>
    <row r="102" spans="2:13" ht="12.75">
      <c r="B102" s="8" t="s">
        <v>56</v>
      </c>
      <c r="C102" s="8" t="s">
        <v>196</v>
      </c>
      <c r="D102" s="8" t="s">
        <v>55</v>
      </c>
      <c r="E102" s="17" t="s">
        <v>15</v>
      </c>
      <c r="G102" s="5">
        <f>G91+G94</f>
        <v>107.77502702702702</v>
      </c>
      <c r="H102" s="5"/>
      <c r="I102" s="5">
        <f>I91+I94</f>
        <v>52.3912125</v>
      </c>
      <c r="J102" s="5"/>
      <c r="K102" s="5">
        <f>K91+K94</f>
        <v>60.18806315789474</v>
      </c>
      <c r="L102"/>
      <c r="M102" s="65">
        <f>AVERAGE(G102,I102,K102)</f>
        <v>73.45143422830725</v>
      </c>
    </row>
    <row r="103" spans="2:13" ht="12.75">
      <c r="B103" s="8" t="s">
        <v>57</v>
      </c>
      <c r="C103" s="8" t="s">
        <v>196</v>
      </c>
      <c r="D103" s="8" t="s">
        <v>55</v>
      </c>
      <c r="E103" s="17" t="s">
        <v>15</v>
      </c>
      <c r="G103" s="64">
        <f>G88+G90+G92</f>
        <v>521.2084923783784</v>
      </c>
      <c r="H103" s="64"/>
      <c r="I103" s="64">
        <f>I88+I90+I92</f>
        <v>648.8562069000001</v>
      </c>
      <c r="J103" s="64"/>
      <c r="K103" s="64">
        <f>K88+K90+K92</f>
        <v>325.2512198157895</v>
      </c>
      <c r="L103"/>
      <c r="M103" s="64">
        <f>M88+M90+M92</f>
        <v>498.43863969805597</v>
      </c>
    </row>
    <row r="104" spans="4:9" ht="12.75">
      <c r="D104" s="17"/>
      <c r="E104" s="17"/>
      <c r="F104" s="17"/>
      <c r="I104" s="17"/>
    </row>
    <row r="105" spans="4:9" ht="12.75">
      <c r="D105" s="17"/>
      <c r="E105" s="17"/>
      <c r="F105" s="17"/>
      <c r="I105" s="17"/>
    </row>
    <row r="106" spans="4:9" ht="12.75">
      <c r="D106" s="17"/>
      <c r="E106" s="17"/>
      <c r="F106" s="17"/>
      <c r="I106" s="17"/>
    </row>
    <row r="107" spans="4:9" ht="12.75">
      <c r="D107" s="17"/>
      <c r="E107" s="17"/>
      <c r="F107" s="17"/>
      <c r="I107" s="17"/>
    </row>
    <row r="108" spans="4:9" ht="12.75">
      <c r="D108" s="17"/>
      <c r="E108" s="17"/>
      <c r="F108" s="17"/>
      <c r="I108" s="17"/>
    </row>
    <row r="109" spans="2:13" ht="12.75">
      <c r="B109" s="8"/>
      <c r="C109" s="8"/>
      <c r="E109" s="17"/>
      <c r="G109" s="65"/>
      <c r="H109" s="8"/>
      <c r="I109" s="65"/>
      <c r="J109" s="8"/>
      <c r="K109" s="65"/>
      <c r="L109"/>
      <c r="M109" s="65"/>
    </row>
    <row r="110" spans="2:13" ht="12.75">
      <c r="B110" s="8"/>
      <c r="C110" s="8"/>
      <c r="E110" s="17"/>
      <c r="G110" s="65"/>
      <c r="H110" s="8"/>
      <c r="I110" s="65"/>
      <c r="J110" s="8"/>
      <c r="K110" s="65"/>
      <c r="L110"/>
      <c r="M110" s="65"/>
    </row>
    <row r="111" spans="2:13" ht="12.75">
      <c r="B111" s="8"/>
      <c r="C111" s="8"/>
      <c r="E111" s="17"/>
      <c r="G111" s="65"/>
      <c r="H111" s="8"/>
      <c r="I111" s="65"/>
      <c r="J111" s="8"/>
      <c r="K111" s="65"/>
      <c r="L111"/>
      <c r="M111" s="65"/>
    </row>
    <row r="112" spans="2:13" ht="12.75">
      <c r="B112" s="8"/>
      <c r="C112" s="8"/>
      <c r="E112" s="17"/>
      <c r="G112" s="65"/>
      <c r="H112" s="8"/>
      <c r="I112" s="65"/>
      <c r="J112" s="8"/>
      <c r="K112" s="65"/>
      <c r="L112"/>
      <c r="M112" s="65"/>
    </row>
    <row r="113" spans="2:13" ht="12.75">
      <c r="B113" s="8"/>
      <c r="C113" s="8"/>
      <c r="E113" s="17"/>
      <c r="G113" s="65"/>
      <c r="H113" s="8"/>
      <c r="I113" s="65"/>
      <c r="J113" s="8"/>
      <c r="K113" s="65"/>
      <c r="L113"/>
      <c r="M113" s="65"/>
    </row>
    <row r="114" spans="2:13" ht="12.75">
      <c r="B114" s="8"/>
      <c r="C114" s="8"/>
      <c r="E114" s="17"/>
      <c r="G114" s="5"/>
      <c r="H114"/>
      <c r="I114" s="5"/>
      <c r="J114"/>
      <c r="K114" s="5"/>
      <c r="L114"/>
      <c r="M114" s="65"/>
    </row>
    <row r="115" spans="4:9" ht="12.75">
      <c r="D115" s="17"/>
      <c r="E115" s="17"/>
      <c r="F115" s="17"/>
      <c r="I115" s="17"/>
    </row>
    <row r="116" spans="4:9" ht="12.75">
      <c r="D116" s="17"/>
      <c r="E116" s="17"/>
      <c r="F116" s="17"/>
      <c r="I116" s="17"/>
    </row>
    <row r="117" spans="2:13" ht="12.75">
      <c r="B117" s="8"/>
      <c r="C117" s="8"/>
      <c r="G117" s="63"/>
      <c r="H117"/>
      <c r="I117" s="5"/>
      <c r="J117"/>
      <c r="K117" s="5"/>
      <c r="L117"/>
      <c r="M117" s="5"/>
    </row>
    <row r="118" spans="2:13" ht="12.75">
      <c r="B118" s="21"/>
      <c r="C118" s="8"/>
      <c r="G118" s="63"/>
      <c r="H118" s="8"/>
      <c r="I118" s="5"/>
      <c r="J118" s="8"/>
      <c r="K118" s="5"/>
      <c r="L118"/>
      <c r="M118" s="5"/>
    </row>
    <row r="119" spans="4:9" ht="12.75">
      <c r="D119" s="17"/>
      <c r="E119" s="17"/>
      <c r="F119" s="17"/>
      <c r="I119" s="17"/>
    </row>
    <row r="120" spans="4:9" ht="12.75">
      <c r="D120" s="17"/>
      <c r="E120" s="17"/>
      <c r="F120" s="17"/>
      <c r="I120" s="17"/>
    </row>
    <row r="121" spans="4:9" ht="12.75">
      <c r="D121" s="17"/>
      <c r="E121" s="17"/>
      <c r="F121" s="17"/>
      <c r="I121" s="17"/>
    </row>
    <row r="122" spans="4:9" ht="12.75">
      <c r="D122" s="17"/>
      <c r="E122" s="17"/>
      <c r="F122" s="17"/>
      <c r="I122" s="17"/>
    </row>
    <row r="123" spans="4:9" ht="13.5" customHeight="1">
      <c r="D123" s="17"/>
      <c r="E123" s="17"/>
      <c r="F123" s="17"/>
      <c r="I123" s="17"/>
    </row>
    <row r="124" ht="12.75"/>
    <row r="125" ht="12.75"/>
    <row r="126" spans="2:13" ht="12.75">
      <c r="B126" s="8"/>
      <c r="C126" s="8"/>
      <c r="G126" s="63"/>
      <c r="H126" s="8"/>
      <c r="I126" s="5"/>
      <c r="J126" s="8"/>
      <c r="K126" s="5"/>
      <c r="M126" s="5"/>
    </row>
    <row r="127" ht="12.75"/>
    <row r="128" ht="12.75"/>
    <row r="129" ht="12.75"/>
    <row r="130" ht="12.75"/>
    <row r="131" ht="12.75"/>
    <row r="132" ht="12.75"/>
    <row r="134" ht="12.75"/>
    <row r="142" spans="2:13" ht="12.75">
      <c r="B142" s="8"/>
      <c r="C142" s="8"/>
      <c r="G142" s="63"/>
      <c r="H142" s="8"/>
      <c r="I142" s="5"/>
      <c r="J142" s="8"/>
      <c r="K142" s="5"/>
      <c r="L142"/>
      <c r="M142" s="5"/>
    </row>
    <row r="143" spans="2:13" ht="12.75">
      <c r="B143" s="8"/>
      <c r="C143" s="8"/>
      <c r="G143" s="63"/>
      <c r="I143" s="5"/>
      <c r="K143" s="5"/>
      <c r="M143" s="5"/>
    </row>
    <row r="144" spans="2:13" ht="12.75">
      <c r="B144" s="8"/>
      <c r="C144" s="8"/>
      <c r="F144"/>
      <c r="G144" s="63"/>
      <c r="H144"/>
      <c r="I144" s="5"/>
      <c r="J144"/>
      <c r="K144" s="5"/>
      <c r="L144"/>
      <c r="M144" s="5"/>
    </row>
    <row r="145" spans="2:13" ht="12.75">
      <c r="B145" s="8"/>
      <c r="C145" s="8"/>
      <c r="G145" s="63"/>
      <c r="H145"/>
      <c r="I145" s="5"/>
      <c r="J145"/>
      <c r="K145" s="5"/>
      <c r="L145"/>
      <c r="M145" s="5"/>
    </row>
    <row r="146" spans="2:13" ht="12.75">
      <c r="B146" s="8"/>
      <c r="C146" s="8"/>
      <c r="G146" s="63"/>
      <c r="H146"/>
      <c r="I146"/>
      <c r="J146"/>
      <c r="K146"/>
      <c r="L146"/>
      <c r="M146"/>
    </row>
    <row r="147" spans="2:13" ht="12.75">
      <c r="B147" s="8"/>
      <c r="C147" s="8"/>
      <c r="G147" s="63"/>
      <c r="H147" s="5"/>
      <c r="I147" s="5"/>
      <c r="J147" s="5"/>
      <c r="K147" s="5"/>
      <c r="L147" s="5"/>
      <c r="M147" s="5"/>
    </row>
    <row r="148" spans="2:13" ht="12.75">
      <c r="B148" s="8"/>
      <c r="C148" s="8"/>
      <c r="G148" s="63"/>
      <c r="H148" s="5"/>
      <c r="I148" s="5"/>
      <c r="J148" s="5"/>
      <c r="K148" s="5"/>
      <c r="L148" s="5"/>
      <c r="M148" s="5"/>
    </row>
    <row r="149" spans="2:13" ht="12.75">
      <c r="B149" s="8"/>
      <c r="C149" s="8"/>
      <c r="G149" s="63"/>
      <c r="M149" s="5"/>
    </row>
    <row r="150" spans="2:13" ht="12.75">
      <c r="B150" s="8"/>
      <c r="C150" s="8"/>
      <c r="G150" s="63"/>
      <c r="M150" s="56"/>
    </row>
    <row r="151" spans="2:13" ht="12.75">
      <c r="B151" s="8"/>
      <c r="C151" s="8"/>
      <c r="G151" s="63"/>
      <c r="M151" s="5"/>
    </row>
    <row r="152" spans="2:13" ht="12.75">
      <c r="B152" s="8"/>
      <c r="C152" s="8"/>
      <c r="G152" s="63"/>
      <c r="M152" s="5"/>
    </row>
    <row r="153" spans="2:13" ht="12.75">
      <c r="B153" s="8"/>
      <c r="C153" s="8"/>
      <c r="G153" s="63"/>
      <c r="M153" s="5"/>
    </row>
    <row r="154" spans="2:13" ht="12.75">
      <c r="B154" s="8"/>
      <c r="C154" s="8"/>
      <c r="G154" s="63"/>
      <c r="H154" s="63"/>
      <c r="I154" s="63"/>
      <c r="J154" s="63"/>
      <c r="K154" s="63"/>
      <c r="M154" s="5"/>
    </row>
    <row r="155" spans="2:13" ht="12.75">
      <c r="B155" s="8"/>
      <c r="C155" s="8"/>
      <c r="G155" s="63"/>
      <c r="M155" s="5"/>
    </row>
    <row r="156" spans="2:13" ht="12.75">
      <c r="B156" s="8"/>
      <c r="C156" s="8"/>
      <c r="G156" s="63"/>
      <c r="H156" s="63"/>
      <c r="I156" s="63"/>
      <c r="J156" s="63"/>
      <c r="K156" s="63"/>
      <c r="M156" s="5"/>
    </row>
    <row r="157" spans="2:13" ht="12.75">
      <c r="B157" s="8"/>
      <c r="C157" s="8"/>
      <c r="G157" s="63"/>
      <c r="M157" s="5"/>
    </row>
    <row r="158" spans="2:13" ht="12.75">
      <c r="B158" s="8"/>
      <c r="C158" s="8"/>
      <c r="H158" s="23"/>
      <c r="I158" s="24"/>
      <c r="J158" s="23"/>
      <c r="K158" s="23"/>
      <c r="M158" s="57"/>
    </row>
    <row r="159" spans="7:13" ht="12.75">
      <c r="G159" s="5"/>
      <c r="H159" s="23"/>
      <c r="I159" s="24"/>
      <c r="J159" s="23"/>
      <c r="K159" s="23"/>
      <c r="M159" s="65"/>
    </row>
    <row r="160" spans="7:13" ht="12.75">
      <c r="G160" s="5"/>
      <c r="H160" s="8"/>
      <c r="I160" s="60"/>
      <c r="J160" s="8"/>
      <c r="K160" s="60"/>
      <c r="L160" s="8"/>
      <c r="M160" s="25"/>
    </row>
    <row r="161" spans="8:13" ht="12.75">
      <c r="H161" s="8"/>
      <c r="I161" s="66"/>
      <c r="J161" s="8"/>
      <c r="K161" s="66"/>
      <c r="L161" s="8"/>
      <c r="M161" s="68"/>
    </row>
    <row r="162" ht="12.75">
      <c r="M162" s="5"/>
    </row>
    <row r="163" spans="8:13" ht="12.75">
      <c r="H163" s="8"/>
      <c r="J163" s="8"/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spans="8:13" ht="12.75">
      <c r="H169" s="8"/>
      <c r="J169" s="8"/>
      <c r="M169" s="5"/>
    </row>
    <row r="170" spans="8:13" ht="12.75">
      <c r="H170" s="8"/>
      <c r="J170" s="8"/>
      <c r="M170" s="5"/>
    </row>
    <row r="171" ht="12.75">
      <c r="M171" s="5"/>
    </row>
    <row r="172" spans="8:13" ht="12.75">
      <c r="H172" s="8"/>
      <c r="J172" s="8"/>
      <c r="M172" s="5"/>
    </row>
    <row r="173" spans="8:13" ht="12.75">
      <c r="H173" s="8"/>
      <c r="M173" s="5"/>
    </row>
    <row r="174" ht="12.75">
      <c r="M174" s="5"/>
    </row>
    <row r="175" ht="12.75">
      <c r="M175" s="5"/>
    </row>
    <row r="176" spans="8:13" ht="12.75">
      <c r="H176" s="8"/>
      <c r="J176" s="8"/>
      <c r="M176" s="5"/>
    </row>
    <row r="177" spans="9:13" ht="12.75">
      <c r="I177" s="67"/>
      <c r="M177" s="5"/>
    </row>
    <row r="178" ht="12.75">
      <c r="M178" s="5"/>
    </row>
    <row r="179" spans="8:13" ht="12.75">
      <c r="H179" s="8"/>
      <c r="J179" s="8"/>
      <c r="M179" s="5"/>
    </row>
    <row r="180" ht="12.75">
      <c r="M180" s="5"/>
    </row>
    <row r="181" ht="12.75">
      <c r="M181" s="5"/>
    </row>
    <row r="182" spans="8:13" ht="12.75">
      <c r="H182" s="8"/>
      <c r="J182" s="8"/>
      <c r="M182" s="5"/>
    </row>
    <row r="183" ht="12.75">
      <c r="M183" s="5"/>
    </row>
    <row r="184" ht="12.75">
      <c r="M184" s="5"/>
    </row>
    <row r="185" ht="12.75"/>
    <row r="186" ht="12.75"/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/>
    <row r="192" ht="12.75"/>
    <row r="193" ht="12.75">
      <c r="M193" s="5"/>
    </row>
    <row r="194" ht="12.75">
      <c r="M194" s="5"/>
    </row>
    <row r="195" ht="12.75">
      <c r="M195" s="5"/>
    </row>
    <row r="196" spans="4:13" ht="12.75">
      <c r="D196" s="17"/>
      <c r="E196" s="17"/>
      <c r="F196" s="17"/>
      <c r="H196"/>
      <c r="I196"/>
      <c r="J196"/>
      <c r="K196"/>
      <c r="L196"/>
      <c r="M196" s="5"/>
    </row>
    <row r="197" spans="4:13" ht="12.75">
      <c r="D197" s="17"/>
      <c r="E197" s="17"/>
      <c r="F197" s="17"/>
      <c r="H197"/>
      <c r="I197"/>
      <c r="J197"/>
      <c r="K197"/>
      <c r="L197"/>
      <c r="M197"/>
    </row>
    <row r="198" spans="4:13" ht="12.75">
      <c r="D198" s="17"/>
      <c r="E198" s="17"/>
      <c r="F198" s="17"/>
      <c r="H198" s="8"/>
      <c r="I198" s="5"/>
      <c r="J198" s="8"/>
      <c r="K198" s="5"/>
      <c r="L198"/>
      <c r="M198" s="5"/>
    </row>
    <row r="199" spans="4:13" ht="12.75">
      <c r="D199" s="17"/>
      <c r="E199" s="17"/>
      <c r="F199" s="17"/>
      <c r="H199"/>
      <c r="I199" s="5"/>
      <c r="J199"/>
      <c r="K199" s="5"/>
      <c r="L199"/>
      <c r="M199" s="5"/>
    </row>
    <row r="200" spans="4:13" ht="12.75">
      <c r="D200" s="17"/>
      <c r="E200" s="17"/>
      <c r="F200" s="17"/>
      <c r="H200"/>
      <c r="I200" s="5"/>
      <c r="J200"/>
      <c r="K200" s="5"/>
      <c r="L200"/>
      <c r="M200" s="5"/>
    </row>
    <row r="201" spans="4:13" ht="12.75">
      <c r="D201" s="17"/>
      <c r="E201" s="17"/>
      <c r="F201" s="17"/>
      <c r="H201"/>
      <c r="I201" s="5"/>
      <c r="J201"/>
      <c r="K201" s="5"/>
      <c r="L201"/>
      <c r="M201" s="5"/>
    </row>
    <row r="202" spans="4:13" ht="12.75">
      <c r="D202" s="17"/>
      <c r="E202" s="17"/>
      <c r="F202" s="17"/>
      <c r="H202"/>
      <c r="I202" s="5"/>
      <c r="J202"/>
      <c r="K202" s="5"/>
      <c r="L202"/>
      <c r="M202" s="5"/>
    </row>
    <row r="203" spans="4:13" ht="12.75">
      <c r="D203" s="17"/>
      <c r="E203" s="17"/>
      <c r="F203" s="17"/>
      <c r="H203"/>
      <c r="I203" s="5"/>
      <c r="J203"/>
      <c r="K203" s="5"/>
      <c r="L203"/>
      <c r="M203" s="5"/>
    </row>
    <row r="204" spans="4:13" ht="12.75">
      <c r="D204" s="17"/>
      <c r="E204" s="17"/>
      <c r="F204" s="17"/>
      <c r="H204" s="8"/>
      <c r="I204" s="5"/>
      <c r="J204" s="8"/>
      <c r="K204" s="5"/>
      <c r="L204"/>
      <c r="M204" s="5"/>
    </row>
    <row r="205" spans="4:13" ht="12.75">
      <c r="D205" s="17"/>
      <c r="E205" s="17"/>
      <c r="F205" s="17"/>
      <c r="H205" s="8"/>
      <c r="I205" s="5"/>
      <c r="J205" s="8"/>
      <c r="K205" s="5"/>
      <c r="L205"/>
      <c r="M205" s="5"/>
    </row>
    <row r="206" spans="4:13" ht="12.75">
      <c r="D206" s="17"/>
      <c r="E206" s="17"/>
      <c r="F206" s="17"/>
      <c r="H206"/>
      <c r="I206" s="5"/>
      <c r="J206"/>
      <c r="K206" s="5"/>
      <c r="L206"/>
      <c r="M206" s="5"/>
    </row>
    <row r="207" spans="4:13" ht="12.75">
      <c r="D207" s="17"/>
      <c r="E207" s="17"/>
      <c r="F207" s="17"/>
      <c r="H207" s="8"/>
      <c r="I207" s="5"/>
      <c r="J207" s="8"/>
      <c r="K207" s="5"/>
      <c r="L207"/>
      <c r="M207" s="5"/>
    </row>
    <row r="208" spans="4:13" ht="12.75">
      <c r="D208" s="17"/>
      <c r="E208" s="17"/>
      <c r="F208" s="17"/>
      <c r="H208" s="8"/>
      <c r="I208" s="5"/>
      <c r="J208"/>
      <c r="K208" s="5"/>
      <c r="L208"/>
      <c r="M208" s="5"/>
    </row>
    <row r="209" spans="4:13" ht="12.75">
      <c r="D209" s="17"/>
      <c r="E209" s="17"/>
      <c r="F209" s="17"/>
      <c r="H209"/>
      <c r="I209" s="5"/>
      <c r="J209"/>
      <c r="K209" s="5"/>
      <c r="L209"/>
      <c r="M209" s="5"/>
    </row>
    <row r="210" spans="4:13" ht="12.75">
      <c r="D210" s="17"/>
      <c r="E210" s="17"/>
      <c r="F210" s="17"/>
      <c r="H210"/>
      <c r="I210" s="5"/>
      <c r="J210"/>
      <c r="K210" s="5"/>
      <c r="L210"/>
      <c r="M210" s="5"/>
    </row>
    <row r="211" spans="4:13" ht="12.75">
      <c r="D211" s="17"/>
      <c r="E211" s="17"/>
      <c r="F211" s="17"/>
      <c r="H211" s="8"/>
      <c r="I211" s="5"/>
      <c r="J211" s="8"/>
      <c r="K211" s="5"/>
      <c r="L211"/>
      <c r="M211" s="5"/>
    </row>
    <row r="212" spans="4:13" ht="12.75">
      <c r="D212" s="17"/>
      <c r="E212" s="17"/>
      <c r="F212" s="17"/>
      <c r="H212"/>
      <c r="I212" s="5"/>
      <c r="J212"/>
      <c r="K212" s="5"/>
      <c r="L212"/>
      <c r="M212" s="5"/>
    </row>
    <row r="213" spans="4:13" ht="12.75">
      <c r="D213" s="17"/>
      <c r="E213" s="17"/>
      <c r="F213" s="17"/>
      <c r="H213"/>
      <c r="I213" s="5"/>
      <c r="J213"/>
      <c r="K213" s="5"/>
      <c r="L213"/>
      <c r="M213" s="5"/>
    </row>
    <row r="214" spans="4:13" ht="12.75">
      <c r="D214" s="17"/>
      <c r="E214" s="17"/>
      <c r="F214" s="17"/>
      <c r="H214" s="8"/>
      <c r="I214" s="5"/>
      <c r="J214" s="8"/>
      <c r="K214" s="5"/>
      <c r="L214"/>
      <c r="M214" s="5"/>
    </row>
    <row r="215" spans="4:13" ht="12.75">
      <c r="D215" s="17"/>
      <c r="E215" s="17"/>
      <c r="F215" s="17"/>
      <c r="H215"/>
      <c r="I215" s="5"/>
      <c r="J215"/>
      <c r="K215" s="5"/>
      <c r="L215"/>
      <c r="M215" s="5"/>
    </row>
    <row r="216" spans="4:13" ht="12.75">
      <c r="D216" s="17"/>
      <c r="E216" s="17"/>
      <c r="F216" s="17"/>
      <c r="H216"/>
      <c r="I216" s="5"/>
      <c r="J216"/>
      <c r="K216" s="5"/>
      <c r="L216"/>
      <c r="M216" s="5"/>
    </row>
    <row r="217" spans="4:13" ht="12.75">
      <c r="D217" s="17"/>
      <c r="E217" s="17"/>
      <c r="F217" s="17"/>
      <c r="H217" s="8"/>
      <c r="I217" s="5"/>
      <c r="J217" s="8"/>
      <c r="K217" s="5"/>
      <c r="L217"/>
      <c r="M217" s="5"/>
    </row>
    <row r="218" spans="4:13" ht="12.75">
      <c r="D218" s="17"/>
      <c r="E218" s="17"/>
      <c r="F218" s="17"/>
      <c r="H218"/>
      <c r="I218" s="5"/>
      <c r="J218"/>
      <c r="K218" s="5"/>
      <c r="L218"/>
      <c r="M218" s="5"/>
    </row>
    <row r="219" spans="4:13" ht="12.75">
      <c r="D219" s="17"/>
      <c r="E219" s="17"/>
      <c r="F219" s="17"/>
      <c r="H219"/>
      <c r="I219" s="5"/>
      <c r="J219"/>
      <c r="K219" s="5"/>
      <c r="L219"/>
      <c r="M219" s="5"/>
    </row>
    <row r="220" spans="4:13" ht="12.75">
      <c r="D220" s="17"/>
      <c r="E220" s="17"/>
      <c r="F220" s="17"/>
      <c r="H220"/>
      <c r="I220"/>
      <c r="J220"/>
      <c r="K220"/>
      <c r="L220"/>
      <c r="M220"/>
    </row>
    <row r="221" spans="4:13" ht="12.75">
      <c r="D221" s="17"/>
      <c r="E221" s="17"/>
      <c r="F221" s="17"/>
      <c r="H221" s="63"/>
      <c r="I221" s="63"/>
      <c r="J221" s="63"/>
      <c r="K221" s="63"/>
      <c r="L221" s="5"/>
      <c r="M221" s="5"/>
    </row>
    <row r="222" spans="4:13" ht="12.75">
      <c r="D222" s="17"/>
      <c r="E222" s="17"/>
      <c r="F222" s="17"/>
      <c r="H222" s="5"/>
      <c r="I222" s="5"/>
      <c r="J222" s="5"/>
      <c r="K222" s="5"/>
      <c r="L222" s="5"/>
      <c r="M222" s="5"/>
    </row>
    <row r="223" spans="4:13" ht="12.75">
      <c r="D223" s="17"/>
      <c r="E223" s="17"/>
      <c r="F223" s="17"/>
      <c r="H223"/>
      <c r="I223"/>
      <c r="J223"/>
      <c r="K223"/>
      <c r="L223"/>
      <c r="M223"/>
    </row>
    <row r="224" spans="4:6" ht="12.75">
      <c r="D224" s="17"/>
      <c r="E224" s="17"/>
      <c r="F224" s="17"/>
    </row>
    <row r="225" spans="4:6" ht="12.75">
      <c r="D225" s="17"/>
      <c r="E225" s="17"/>
      <c r="F225" s="17"/>
    </row>
    <row r="226" spans="4:6" ht="12.75">
      <c r="D226" s="17"/>
      <c r="E226" s="17"/>
      <c r="F226" s="17"/>
    </row>
    <row r="227" spans="4:6" ht="12.75">
      <c r="D227" s="17"/>
      <c r="E227" s="17"/>
      <c r="F227" s="17"/>
    </row>
    <row r="292" spans="2:7" ht="12.75">
      <c r="B292" s="8"/>
      <c r="C292" s="8"/>
      <c r="F292"/>
      <c r="G29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7"/>
  <sheetViews>
    <sheetView workbookViewId="0" topLeftCell="B1">
      <selection activeCell="W25" sqref="W25"/>
    </sheetView>
  </sheetViews>
  <sheetFormatPr defaultColWidth="9.140625" defaultRowHeight="12.75"/>
  <cols>
    <col min="1" max="1" width="6.28125" style="0" hidden="1" customWidth="1"/>
    <col min="2" max="2" width="19.421875" style="0" customWidth="1"/>
    <col min="3" max="3" width="6.7109375" style="0" customWidth="1"/>
    <col min="4" max="4" width="9.8515625" style="0" customWidth="1"/>
    <col min="5" max="5" width="3.28125" style="0" customWidth="1"/>
    <col min="6" max="6" width="4.140625" style="0" customWidth="1"/>
    <col min="7" max="7" width="11.57421875" style="0" customWidth="1"/>
    <col min="8" max="8" width="3.140625" style="0" customWidth="1"/>
    <col min="9" max="9" width="12.140625" style="0" customWidth="1"/>
    <col min="10" max="10" width="3.421875" style="0" customWidth="1"/>
    <col min="11" max="11" width="12.00390625" style="0" customWidth="1"/>
    <col min="12" max="12" width="1.7109375" style="0" customWidth="1"/>
    <col min="13" max="13" width="11.00390625" style="0" customWidth="1"/>
    <col min="14" max="18" width="0" style="0" hidden="1" customWidth="1"/>
    <col min="19" max="20" width="9.140625" style="0" hidden="1" customWidth="1"/>
    <col min="21" max="21" width="0" style="0" hidden="1" customWidth="1"/>
  </cols>
  <sheetData>
    <row r="1" ht="12.75">
      <c r="B1" s="6" t="s">
        <v>179</v>
      </c>
    </row>
    <row r="2" ht="12.75">
      <c r="B2" s="6"/>
    </row>
    <row r="3" ht="12.75">
      <c r="B3" s="6"/>
    </row>
    <row r="4" spans="2:13" ht="12.75">
      <c r="B4" s="6" t="s">
        <v>139</v>
      </c>
      <c r="G4" s="51" t="s">
        <v>168</v>
      </c>
      <c r="H4" s="51"/>
      <c r="I4" s="51" t="s">
        <v>169</v>
      </c>
      <c r="J4" s="51"/>
      <c r="K4" s="51" t="s">
        <v>170</v>
      </c>
      <c r="M4" t="s">
        <v>47</v>
      </c>
    </row>
    <row r="6" spans="1:57" s="87" customFormat="1" ht="12.75">
      <c r="A6" s="87" t="s">
        <v>139</v>
      </c>
      <c r="B6" s="87" t="s">
        <v>126</v>
      </c>
      <c r="C6" s="87" t="s">
        <v>195</v>
      </c>
      <c r="D6" s="87" t="s">
        <v>18</v>
      </c>
      <c r="G6" s="88">
        <v>99.9996</v>
      </c>
      <c r="H6" s="88"/>
      <c r="I6" s="88">
        <v>99.9997</v>
      </c>
      <c r="J6" s="88"/>
      <c r="K6" s="88">
        <v>99.9996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s="87" customFormat="1" ht="12.75">
      <c r="A7" s="87" t="s">
        <v>139</v>
      </c>
      <c r="B7" s="87" t="s">
        <v>171</v>
      </c>
      <c r="C7" s="87" t="s">
        <v>195</v>
      </c>
      <c r="D7" s="87" t="s">
        <v>18</v>
      </c>
      <c r="G7" s="88">
        <v>99.9983</v>
      </c>
      <c r="H7" s="88"/>
      <c r="I7" s="88">
        <v>99.9947</v>
      </c>
      <c r="J7" s="88"/>
      <c r="K7" s="88">
        <v>99.9983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</row>
    <row r="9" spans="2:13" ht="12.75">
      <c r="B9" t="s">
        <v>13</v>
      </c>
      <c r="C9" t="s">
        <v>195</v>
      </c>
      <c r="D9" t="s">
        <v>14</v>
      </c>
      <c r="E9" t="s">
        <v>15</v>
      </c>
      <c r="G9">
        <v>0.0096</v>
      </c>
      <c r="I9">
        <v>0.011</v>
      </c>
      <c r="K9">
        <v>0.013</v>
      </c>
      <c r="M9">
        <f>AVERAGE(G9,I9,K9)</f>
        <v>0.0112</v>
      </c>
    </row>
    <row r="10" spans="2:11" ht="12.75">
      <c r="B10" t="s">
        <v>50</v>
      </c>
      <c r="D10" t="s">
        <v>53</v>
      </c>
      <c r="G10">
        <v>0.07</v>
      </c>
      <c r="I10">
        <v>0.1</v>
      </c>
      <c r="K10">
        <v>0.11</v>
      </c>
    </row>
    <row r="11" spans="2:11" ht="12.75">
      <c r="B11" t="s">
        <v>51</v>
      </c>
      <c r="D11" t="s">
        <v>53</v>
      </c>
      <c r="F11" t="s">
        <v>96</v>
      </c>
      <c r="G11">
        <v>0</v>
      </c>
      <c r="H11" t="s">
        <v>96</v>
      </c>
      <c r="I11">
        <v>0</v>
      </c>
      <c r="J11" t="s">
        <v>96</v>
      </c>
      <c r="K11">
        <v>0</v>
      </c>
    </row>
    <row r="13" spans="2:11" ht="12.75">
      <c r="B13" t="s">
        <v>109</v>
      </c>
      <c r="D13" t="s">
        <v>16</v>
      </c>
      <c r="G13">
        <v>2.4</v>
      </c>
      <c r="I13">
        <v>4.9</v>
      </c>
      <c r="K13">
        <v>10</v>
      </c>
    </row>
    <row r="14" spans="2:11" ht="12.75">
      <c r="B14" t="s">
        <v>193</v>
      </c>
      <c r="D14" t="s">
        <v>16</v>
      </c>
      <c r="G14">
        <v>2.29</v>
      </c>
      <c r="I14">
        <v>2.59</v>
      </c>
      <c r="K14">
        <v>1.8</v>
      </c>
    </row>
    <row r="15" spans="2:13" ht="12.75">
      <c r="B15" t="s">
        <v>109</v>
      </c>
      <c r="C15" t="s">
        <v>195</v>
      </c>
      <c r="D15" t="s">
        <v>16</v>
      </c>
      <c r="E15" t="s">
        <v>15</v>
      </c>
      <c r="G15" s="5">
        <f>G13*14/(21-G49)</f>
        <v>2.7791563275434243</v>
      </c>
      <c r="I15" s="5">
        <f>I13*14/(21-I49)</f>
        <v>5.883361921097771</v>
      </c>
      <c r="K15" s="5">
        <f>K13*14/(21-K49)</f>
        <v>13.257575757575758</v>
      </c>
      <c r="M15" s="5">
        <f aca="true" t="shared" si="0" ref="M15:M20">AVERAGE(G15,I15,K15)</f>
        <v>7.306698002072317</v>
      </c>
    </row>
    <row r="16" spans="2:13" ht="12.75">
      <c r="B16" t="s">
        <v>193</v>
      </c>
      <c r="C16" t="s">
        <v>195</v>
      </c>
      <c r="D16" t="s">
        <v>16</v>
      </c>
      <c r="E16" t="s">
        <v>15</v>
      </c>
      <c r="G16" s="5">
        <f>G14*14/(21-G49)</f>
        <v>2.6517783291976844</v>
      </c>
      <c r="I16" s="5">
        <f>I14*14/(21-I49)</f>
        <v>3.1097770154373925</v>
      </c>
      <c r="K16" s="5">
        <f>K14*14/(21-K49)</f>
        <v>2.3863636363636362</v>
      </c>
      <c r="M16" s="5">
        <f t="shared" si="0"/>
        <v>2.715972993666238</v>
      </c>
    </row>
    <row r="18" spans="2:13" ht="12.75">
      <c r="B18" t="s">
        <v>50</v>
      </c>
      <c r="C18" t="s">
        <v>195</v>
      </c>
      <c r="D18" t="s">
        <v>16</v>
      </c>
      <c r="E18" t="s">
        <v>15</v>
      </c>
      <c r="G18" s="5">
        <f>G10*454/60/0.0283*14/(21-G49)*1000000/1500/G48</f>
        <v>1.9104363915748737</v>
      </c>
      <c r="H18" s="5"/>
      <c r="I18" s="5">
        <f>I10*454/60/0.0283*14/(21-I49)*1000000/1500/I48</f>
        <v>2.700921278060814</v>
      </c>
      <c r="J18" s="5"/>
      <c r="K18" s="5">
        <f>K10*454/60/0.0283*14/(21-K49)*1000000/1500/K48</f>
        <v>3.2100066942679564</v>
      </c>
      <c r="M18" s="5">
        <f t="shared" si="0"/>
        <v>2.607121454634548</v>
      </c>
    </row>
    <row r="19" spans="2:13" ht="12.75">
      <c r="B19" t="s">
        <v>51</v>
      </c>
      <c r="C19" t="s">
        <v>195</v>
      </c>
      <c r="D19" t="s">
        <v>16</v>
      </c>
      <c r="E19" t="s">
        <v>15</v>
      </c>
      <c r="G19" s="5">
        <f>G11*454/60/0.0283*14/(21-G49)*1000000/1500/G48</f>
        <v>0</v>
      </c>
      <c r="H19" s="5"/>
      <c r="I19" s="5">
        <f>I11*454/60/0.0283*14/(21-I49)*1000000/1500/I48</f>
        <v>0</v>
      </c>
      <c r="J19" s="5"/>
      <c r="K19" s="5">
        <f>K11*454/60/0.0283*14/(21-K49)*1000000/1500/K48</f>
        <v>0</v>
      </c>
      <c r="M19" s="5">
        <f t="shared" si="0"/>
        <v>0</v>
      </c>
    </row>
    <row r="20" spans="2:13" ht="12.75">
      <c r="B20" t="s">
        <v>194</v>
      </c>
      <c r="C20" t="s">
        <v>195</v>
      </c>
      <c r="D20" t="s">
        <v>16</v>
      </c>
      <c r="E20" t="s">
        <v>15</v>
      </c>
      <c r="G20" s="5">
        <f>G18+2*G19</f>
        <v>1.9104363915748737</v>
      </c>
      <c r="H20" s="5"/>
      <c r="I20" s="5">
        <f>I18+2*I19</f>
        <v>2.700921278060814</v>
      </c>
      <c r="J20" s="5"/>
      <c r="K20" s="5">
        <f>K18+2*K19</f>
        <v>3.2100066942679564</v>
      </c>
      <c r="M20" s="5">
        <f t="shared" si="0"/>
        <v>2.607121454634548</v>
      </c>
    </row>
    <row r="21" spans="7:11" ht="12.75">
      <c r="G21" s="5"/>
      <c r="H21" s="5"/>
      <c r="I21" s="5"/>
      <c r="J21" s="5"/>
      <c r="K21" s="5"/>
    </row>
    <row r="22" spans="2:11" ht="12.75">
      <c r="B22" t="s">
        <v>105</v>
      </c>
      <c r="D22" t="s">
        <v>156</v>
      </c>
      <c r="E22" t="s">
        <v>98</v>
      </c>
      <c r="F22" t="s">
        <v>96</v>
      </c>
      <c r="G22" s="67">
        <v>0.1</v>
      </c>
      <c r="H22" s="67" t="s">
        <v>96</v>
      </c>
      <c r="I22" s="67">
        <v>0.1</v>
      </c>
      <c r="J22" s="67" t="s">
        <v>96</v>
      </c>
      <c r="K22" s="67">
        <v>0.1</v>
      </c>
    </row>
    <row r="23" spans="2:11" ht="12.75">
      <c r="B23" t="s">
        <v>101</v>
      </c>
      <c r="D23" t="s">
        <v>156</v>
      </c>
      <c r="E23" t="s">
        <v>98</v>
      </c>
      <c r="F23" t="s">
        <v>96</v>
      </c>
      <c r="G23" s="67">
        <v>0.04</v>
      </c>
      <c r="H23" s="67" t="s">
        <v>96</v>
      </c>
      <c r="I23" s="67">
        <v>0.04</v>
      </c>
      <c r="J23" s="67" t="s">
        <v>96</v>
      </c>
      <c r="K23" s="67">
        <v>0.04</v>
      </c>
    </row>
    <row r="24" spans="2:11" ht="12.75">
      <c r="B24" t="s">
        <v>102</v>
      </c>
      <c r="D24" t="s">
        <v>156</v>
      </c>
      <c r="E24" t="s">
        <v>98</v>
      </c>
      <c r="G24" s="67">
        <v>0.2</v>
      </c>
      <c r="H24" s="67"/>
      <c r="I24" s="67">
        <v>0.3</v>
      </c>
      <c r="J24" s="67"/>
      <c r="K24" s="67">
        <v>0.2</v>
      </c>
    </row>
    <row r="25" spans="2:11" ht="12.75">
      <c r="B25" t="s">
        <v>78</v>
      </c>
      <c r="D25" t="s">
        <v>156</v>
      </c>
      <c r="E25" t="s">
        <v>98</v>
      </c>
      <c r="G25" s="67">
        <v>0.01</v>
      </c>
      <c r="H25" s="67"/>
      <c r="I25" s="67">
        <v>0.02</v>
      </c>
      <c r="J25" s="67"/>
      <c r="K25" s="67">
        <v>0.01</v>
      </c>
    </row>
    <row r="26" spans="2:11" ht="12.75">
      <c r="B26" t="s">
        <v>103</v>
      </c>
      <c r="D26" t="s">
        <v>156</v>
      </c>
      <c r="E26" t="s">
        <v>98</v>
      </c>
      <c r="G26" s="67">
        <v>0.1</v>
      </c>
      <c r="H26" s="67"/>
      <c r="I26" s="67">
        <v>0.1</v>
      </c>
      <c r="J26" s="67"/>
      <c r="K26" s="67">
        <v>0.1</v>
      </c>
    </row>
    <row r="27" spans="2:11" ht="12.75">
      <c r="B27" t="s">
        <v>83</v>
      </c>
      <c r="D27" t="s">
        <v>156</v>
      </c>
      <c r="E27" t="s">
        <v>98</v>
      </c>
      <c r="G27" s="67">
        <v>0.3</v>
      </c>
      <c r="H27" s="67"/>
      <c r="I27" s="67">
        <v>0.2</v>
      </c>
      <c r="J27" s="67"/>
      <c r="K27" s="67">
        <v>0.2</v>
      </c>
    </row>
    <row r="28" spans="2:11" ht="12.75">
      <c r="B28" t="s">
        <v>77</v>
      </c>
      <c r="D28" t="s">
        <v>156</v>
      </c>
      <c r="E28" t="s">
        <v>98</v>
      </c>
      <c r="G28" s="67">
        <v>1.2</v>
      </c>
      <c r="H28" s="67"/>
      <c r="I28" s="67">
        <v>1.4</v>
      </c>
      <c r="J28" s="67"/>
      <c r="K28" s="67">
        <v>1.7</v>
      </c>
    </row>
    <row r="29" spans="2:11" ht="12.75">
      <c r="B29" t="s">
        <v>79</v>
      </c>
      <c r="D29" t="s">
        <v>156</v>
      </c>
      <c r="E29" t="s">
        <v>98</v>
      </c>
      <c r="G29" s="67">
        <v>0.1</v>
      </c>
      <c r="H29" s="67"/>
      <c r="I29" s="67">
        <v>0.1</v>
      </c>
      <c r="J29" s="67"/>
      <c r="K29" s="67">
        <v>0.1</v>
      </c>
    </row>
    <row r="30" spans="2:11" ht="12.75">
      <c r="B30" t="s">
        <v>100</v>
      </c>
      <c r="D30" t="s">
        <v>156</v>
      </c>
      <c r="E30" t="s">
        <v>98</v>
      </c>
      <c r="F30" t="s">
        <v>96</v>
      </c>
      <c r="G30" s="67">
        <v>0.02</v>
      </c>
      <c r="H30" s="67"/>
      <c r="I30" s="67">
        <v>0.02</v>
      </c>
      <c r="J30" s="67"/>
      <c r="K30" s="67">
        <v>0.02</v>
      </c>
    </row>
    <row r="31" spans="2:11" ht="12.75">
      <c r="B31" t="s">
        <v>107</v>
      </c>
      <c r="D31" t="s">
        <v>156</v>
      </c>
      <c r="E31" t="s">
        <v>98</v>
      </c>
      <c r="G31" s="67">
        <v>0.1</v>
      </c>
      <c r="H31" s="67"/>
      <c r="I31" s="67">
        <v>0.1</v>
      </c>
      <c r="J31" s="67"/>
      <c r="K31" s="67">
        <v>0.1</v>
      </c>
    </row>
    <row r="32" spans="7:11" ht="12.75">
      <c r="G32" s="67"/>
      <c r="H32" s="67"/>
      <c r="I32" s="67"/>
      <c r="J32" s="67"/>
      <c r="K32" s="67"/>
    </row>
    <row r="33" spans="2:13" ht="12.75">
      <c r="B33" t="s">
        <v>105</v>
      </c>
      <c r="C33" t="s">
        <v>195</v>
      </c>
      <c r="D33" t="s">
        <v>55</v>
      </c>
      <c r="E33" t="s">
        <v>15</v>
      </c>
      <c r="G33" s="67">
        <f aca="true" t="shared" si="1" ref="G33:G42">G22/0.0283*14/(21-G$49)</f>
        <v>4.091808491671709</v>
      </c>
      <c r="H33" s="67"/>
      <c r="I33" s="67">
        <f aca="true" t="shared" si="2" ref="I33:I42">I22/0.0283*14/(21-I$49)</f>
        <v>4.242707089563547</v>
      </c>
      <c r="J33" s="67"/>
      <c r="K33" s="67">
        <f aca="true" t="shared" si="3" ref="K33:K42">K22/0.0283*14/(21-K$49)</f>
        <v>4.684655744726416</v>
      </c>
      <c r="M33" s="5">
        <f aca="true" t="shared" si="4" ref="M33:M45">AVERAGE(G33,I33,K33)</f>
        <v>4.339723775320557</v>
      </c>
    </row>
    <row r="34" spans="2:13" ht="12.75">
      <c r="B34" t="s">
        <v>101</v>
      </c>
      <c r="C34" t="s">
        <v>195</v>
      </c>
      <c r="D34" t="s">
        <v>55</v>
      </c>
      <c r="E34" t="s">
        <v>15</v>
      </c>
      <c r="G34" s="67">
        <f t="shared" si="1"/>
        <v>1.6367233966686836</v>
      </c>
      <c r="H34" s="67"/>
      <c r="I34" s="67">
        <f t="shared" si="2"/>
        <v>1.6970828358254189</v>
      </c>
      <c r="J34" s="67"/>
      <c r="K34" s="67">
        <f t="shared" si="3"/>
        <v>1.8738622978905666</v>
      </c>
      <c r="M34" s="5">
        <f t="shared" si="4"/>
        <v>1.7358895101282228</v>
      </c>
    </row>
    <row r="35" spans="2:13" ht="12.75">
      <c r="B35" t="s">
        <v>102</v>
      </c>
      <c r="C35" t="s">
        <v>195</v>
      </c>
      <c r="D35" t="s">
        <v>55</v>
      </c>
      <c r="E35" t="s">
        <v>15</v>
      </c>
      <c r="G35" s="67">
        <f t="shared" si="1"/>
        <v>8.183616983343418</v>
      </c>
      <c r="H35" s="67"/>
      <c r="I35" s="67">
        <f t="shared" si="2"/>
        <v>12.72812126869064</v>
      </c>
      <c r="J35" s="67"/>
      <c r="K35" s="67">
        <f t="shared" si="3"/>
        <v>9.369311489452832</v>
      </c>
      <c r="M35" s="5">
        <f t="shared" si="4"/>
        <v>10.093683247162296</v>
      </c>
    </row>
    <row r="36" spans="2:13" ht="12.75">
      <c r="B36" t="s">
        <v>78</v>
      </c>
      <c r="C36" t="s">
        <v>195</v>
      </c>
      <c r="D36" t="s">
        <v>55</v>
      </c>
      <c r="E36" t="s">
        <v>15</v>
      </c>
      <c r="G36" s="67">
        <f t="shared" si="1"/>
        <v>0.4091808491671709</v>
      </c>
      <c r="H36" s="67"/>
      <c r="I36" s="67">
        <f t="shared" si="2"/>
        <v>0.8485414179127094</v>
      </c>
      <c r="J36" s="67"/>
      <c r="K36" s="67">
        <f t="shared" si="3"/>
        <v>0.46846557447264164</v>
      </c>
      <c r="M36" s="5">
        <f t="shared" si="4"/>
        <v>0.575395947184174</v>
      </c>
    </row>
    <row r="37" spans="2:13" ht="12.75">
      <c r="B37" t="s">
        <v>103</v>
      </c>
      <c r="C37" t="s">
        <v>195</v>
      </c>
      <c r="D37" t="s">
        <v>55</v>
      </c>
      <c r="E37" t="s">
        <v>15</v>
      </c>
      <c r="G37" s="67">
        <f t="shared" si="1"/>
        <v>4.091808491671709</v>
      </c>
      <c r="H37" s="67"/>
      <c r="I37" s="67">
        <f t="shared" si="2"/>
        <v>4.242707089563547</v>
      </c>
      <c r="J37" s="67"/>
      <c r="K37" s="67">
        <f t="shared" si="3"/>
        <v>4.684655744726416</v>
      </c>
      <c r="M37" s="5">
        <f t="shared" si="4"/>
        <v>4.339723775320557</v>
      </c>
    </row>
    <row r="38" spans="2:13" ht="12.75">
      <c r="B38" t="s">
        <v>83</v>
      </c>
      <c r="C38" t="s">
        <v>195</v>
      </c>
      <c r="D38" t="s">
        <v>55</v>
      </c>
      <c r="E38" t="s">
        <v>15</v>
      </c>
      <c r="G38" s="67">
        <f t="shared" si="1"/>
        <v>12.275425475015126</v>
      </c>
      <c r="H38" s="67"/>
      <c r="I38" s="67">
        <f t="shared" si="2"/>
        <v>8.485414179127094</v>
      </c>
      <c r="J38" s="67"/>
      <c r="K38" s="67">
        <f t="shared" si="3"/>
        <v>9.369311489452832</v>
      </c>
      <c r="M38" s="5">
        <f t="shared" si="4"/>
        <v>10.043383714531684</v>
      </c>
    </row>
    <row r="39" spans="2:13" ht="12.75">
      <c r="B39" t="s">
        <v>77</v>
      </c>
      <c r="C39" t="s">
        <v>195</v>
      </c>
      <c r="D39" t="s">
        <v>55</v>
      </c>
      <c r="E39" t="s">
        <v>15</v>
      </c>
      <c r="G39" s="67">
        <f t="shared" si="1"/>
        <v>49.101701900060505</v>
      </c>
      <c r="H39" s="67"/>
      <c r="I39" s="67">
        <f t="shared" si="2"/>
        <v>59.39789925388965</v>
      </c>
      <c r="J39" s="67"/>
      <c r="K39" s="67">
        <f t="shared" si="3"/>
        <v>79.63914766034907</v>
      </c>
      <c r="M39" s="5">
        <f t="shared" si="4"/>
        <v>62.71291627143307</v>
      </c>
    </row>
    <row r="40" spans="2:13" ht="12.75">
      <c r="B40" t="s">
        <v>79</v>
      </c>
      <c r="C40" t="s">
        <v>195</v>
      </c>
      <c r="D40" t="s">
        <v>55</v>
      </c>
      <c r="E40" t="s">
        <v>15</v>
      </c>
      <c r="G40" s="67">
        <f t="shared" si="1"/>
        <v>4.091808491671709</v>
      </c>
      <c r="H40" s="67"/>
      <c r="I40" s="67">
        <f t="shared" si="2"/>
        <v>4.242707089563547</v>
      </c>
      <c r="J40" s="67"/>
      <c r="K40" s="67">
        <f t="shared" si="3"/>
        <v>4.684655744726416</v>
      </c>
      <c r="M40" s="5">
        <f t="shared" si="4"/>
        <v>4.339723775320557</v>
      </c>
    </row>
    <row r="41" spans="2:13" ht="12.75">
      <c r="B41" t="s">
        <v>100</v>
      </c>
      <c r="C41" t="s">
        <v>195</v>
      </c>
      <c r="D41" t="s">
        <v>55</v>
      </c>
      <c r="E41" t="s">
        <v>15</v>
      </c>
      <c r="G41" s="67">
        <f t="shared" si="1"/>
        <v>0.8183616983343418</v>
      </c>
      <c r="H41" s="67"/>
      <c r="I41" s="67">
        <f t="shared" si="2"/>
        <v>0.8485414179127094</v>
      </c>
      <c r="J41" s="67"/>
      <c r="K41" s="67">
        <f t="shared" si="3"/>
        <v>0.9369311489452833</v>
      </c>
      <c r="M41" s="5">
        <f t="shared" si="4"/>
        <v>0.8679447550641114</v>
      </c>
    </row>
    <row r="42" spans="2:13" ht="12.75">
      <c r="B42" t="s">
        <v>107</v>
      </c>
      <c r="C42" t="s">
        <v>195</v>
      </c>
      <c r="D42" t="s">
        <v>55</v>
      </c>
      <c r="E42" t="s">
        <v>15</v>
      </c>
      <c r="G42" s="67">
        <f t="shared" si="1"/>
        <v>4.091808491671709</v>
      </c>
      <c r="H42" s="67"/>
      <c r="I42" s="67">
        <f t="shared" si="2"/>
        <v>4.242707089563547</v>
      </c>
      <c r="J42" s="67"/>
      <c r="K42" s="67">
        <f t="shared" si="3"/>
        <v>4.684655744726416</v>
      </c>
      <c r="M42" s="5">
        <f t="shared" si="4"/>
        <v>4.339723775320557</v>
      </c>
    </row>
    <row r="43" spans="7:13" ht="12.75">
      <c r="G43" s="67"/>
      <c r="H43" s="67"/>
      <c r="I43" s="67"/>
      <c r="J43" s="67"/>
      <c r="K43" s="67"/>
      <c r="M43" s="5"/>
    </row>
    <row r="44" spans="2:13" ht="12.75">
      <c r="B44" t="s">
        <v>56</v>
      </c>
      <c r="C44" t="s">
        <v>195</v>
      </c>
      <c r="D44" t="s">
        <v>55</v>
      </c>
      <c r="E44" t="s">
        <v>15</v>
      </c>
      <c r="G44" s="67">
        <f>G39+G37</f>
        <v>53.19351039173221</v>
      </c>
      <c r="H44" s="67"/>
      <c r="I44" s="67">
        <f>I39+I37</f>
        <v>63.64060634345319</v>
      </c>
      <c r="J44" s="67"/>
      <c r="K44" s="67">
        <f>K39+K37</f>
        <v>84.32380340507548</v>
      </c>
      <c r="M44" s="5">
        <f t="shared" si="4"/>
        <v>67.05264004675364</v>
      </c>
    </row>
    <row r="45" spans="2:13" ht="12.75">
      <c r="B45" t="s">
        <v>57</v>
      </c>
      <c r="C45" t="s">
        <v>195</v>
      </c>
      <c r="D45" t="s">
        <v>55</v>
      </c>
      <c r="E45" t="s">
        <v>15</v>
      </c>
      <c r="G45" s="67">
        <f>G34+G36+G38</f>
        <v>14.321329720850981</v>
      </c>
      <c r="H45" s="67"/>
      <c r="I45" s="67">
        <f>I34+I36+I38</f>
        <v>11.031038432865223</v>
      </c>
      <c r="J45" s="67"/>
      <c r="K45" s="67">
        <f>K34+K36+K38</f>
        <v>11.71163936181604</v>
      </c>
      <c r="M45" s="5">
        <f t="shared" si="4"/>
        <v>12.354669171844082</v>
      </c>
    </row>
    <row r="47" spans="2:4" ht="12.75">
      <c r="B47" t="s">
        <v>84</v>
      </c>
      <c r="C47" t="s">
        <v>13</v>
      </c>
      <c r="D47" t="s">
        <v>195</v>
      </c>
    </row>
    <row r="48" spans="2:11" ht="12.75">
      <c r="B48" s="8" t="s">
        <v>76</v>
      </c>
      <c r="C48" s="8"/>
      <c r="D48" s="8" t="s">
        <v>17</v>
      </c>
      <c r="G48">
        <v>7563</v>
      </c>
      <c r="I48">
        <v>7924</v>
      </c>
      <c r="K48">
        <v>8098</v>
      </c>
    </row>
    <row r="49" spans="2:11" ht="12.75">
      <c r="B49" s="8" t="s">
        <v>81</v>
      </c>
      <c r="C49" s="8"/>
      <c r="D49" s="8" t="s">
        <v>18</v>
      </c>
      <c r="G49">
        <v>8.91</v>
      </c>
      <c r="I49">
        <v>9.34</v>
      </c>
      <c r="K49">
        <v>10.44</v>
      </c>
    </row>
    <row r="50" spans="2:11" ht="12.75">
      <c r="B50" s="8" t="s">
        <v>82</v>
      </c>
      <c r="C50" s="8"/>
      <c r="D50" s="8" t="s">
        <v>18</v>
      </c>
      <c r="G50">
        <v>44.6</v>
      </c>
      <c r="I50">
        <v>44.2</v>
      </c>
      <c r="K50">
        <v>42.1</v>
      </c>
    </row>
    <row r="51" spans="2:11" ht="12.75">
      <c r="B51" s="8" t="s">
        <v>75</v>
      </c>
      <c r="C51" s="8"/>
      <c r="D51" s="8" t="s">
        <v>19</v>
      </c>
      <c r="G51">
        <v>174.7</v>
      </c>
      <c r="I51">
        <v>177.8</v>
      </c>
      <c r="K51">
        <v>173</v>
      </c>
    </row>
    <row r="53" spans="2:13" ht="12.75">
      <c r="B53" s="6" t="s">
        <v>142</v>
      </c>
      <c r="G53" s="51" t="s">
        <v>168</v>
      </c>
      <c r="H53" s="51"/>
      <c r="I53" s="51" t="s">
        <v>169</v>
      </c>
      <c r="J53" s="51"/>
      <c r="K53" s="51" t="s">
        <v>170</v>
      </c>
      <c r="M53" t="s">
        <v>47</v>
      </c>
    </row>
    <row r="55" spans="1:57" s="87" customFormat="1" ht="12.75">
      <c r="A55" s="87" t="s">
        <v>142</v>
      </c>
      <c r="B55" s="87" t="s">
        <v>126</v>
      </c>
      <c r="C55" s="87" t="s">
        <v>195</v>
      </c>
      <c r="D55" s="87" t="s">
        <v>18</v>
      </c>
      <c r="G55" s="88">
        <v>99.9996</v>
      </c>
      <c r="H55" s="88"/>
      <c r="I55" s="88">
        <v>99.9997</v>
      </c>
      <c r="J55" s="88"/>
      <c r="K55" s="88">
        <v>99.9997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</row>
    <row r="56" spans="1:57" s="87" customFormat="1" ht="12.75">
      <c r="A56" s="87" t="s">
        <v>142</v>
      </c>
      <c r="B56" s="87" t="s">
        <v>171</v>
      </c>
      <c r="C56" s="87" t="s">
        <v>195</v>
      </c>
      <c r="D56" s="87" t="s">
        <v>18</v>
      </c>
      <c r="G56" s="88">
        <v>99.998</v>
      </c>
      <c r="H56" s="88"/>
      <c r="I56" s="88">
        <v>99.9982</v>
      </c>
      <c r="J56" s="88"/>
      <c r="K56" s="88">
        <v>99.996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</row>
    <row r="58" spans="2:13" ht="12.75">
      <c r="B58" t="s">
        <v>13</v>
      </c>
      <c r="C58" t="s">
        <v>195</v>
      </c>
      <c r="D58" t="s">
        <v>14</v>
      </c>
      <c r="E58" t="s">
        <v>15</v>
      </c>
      <c r="G58">
        <v>0.0058</v>
      </c>
      <c r="I58">
        <v>0.0106</v>
      </c>
      <c r="K58">
        <v>0.009</v>
      </c>
      <c r="M58" s="56">
        <f>AVERAGE(G58,I58,K58)</f>
        <v>0.008466666666666666</v>
      </c>
    </row>
    <row r="59" spans="2:11" ht="12.75">
      <c r="B59" t="s">
        <v>50</v>
      </c>
      <c r="D59" t="s">
        <v>53</v>
      </c>
      <c r="G59">
        <v>0.24</v>
      </c>
      <c r="I59">
        <v>0.14</v>
      </c>
      <c r="K59">
        <v>0.14</v>
      </c>
    </row>
    <row r="60" spans="2:11" ht="12.75">
      <c r="B60" t="s">
        <v>51</v>
      </c>
      <c r="D60" t="s">
        <v>53</v>
      </c>
      <c r="F60" t="s">
        <v>96</v>
      </c>
      <c r="G60">
        <v>0</v>
      </c>
      <c r="H60" t="s">
        <v>96</v>
      </c>
      <c r="I60">
        <v>0</v>
      </c>
      <c r="J60" t="s">
        <v>96</v>
      </c>
      <c r="K60">
        <v>0</v>
      </c>
    </row>
    <row r="62" spans="2:11" ht="12.75">
      <c r="B62" t="s">
        <v>109</v>
      </c>
      <c r="G62">
        <v>26</v>
      </c>
      <c r="I62">
        <v>25.6</v>
      </c>
      <c r="K62">
        <v>26.3</v>
      </c>
    </row>
    <row r="63" spans="2:11" ht="12.75">
      <c r="B63" t="s">
        <v>193</v>
      </c>
      <c r="D63" t="s">
        <v>16</v>
      </c>
      <c r="G63">
        <v>0.99</v>
      </c>
      <c r="I63">
        <v>1.38</v>
      </c>
      <c r="K63">
        <v>1.68</v>
      </c>
    </row>
    <row r="64" spans="2:13" ht="12.75">
      <c r="B64" t="s">
        <v>109</v>
      </c>
      <c r="C64" t="s">
        <v>195</v>
      </c>
      <c r="D64" t="s">
        <v>16</v>
      </c>
      <c r="E64" t="s">
        <v>15</v>
      </c>
      <c r="G64" s="5">
        <f>G62*14/(21-G73)</f>
        <v>23.214285714285715</v>
      </c>
      <c r="I64" s="5">
        <f>I62*14/(21-I73)</f>
        <v>25.654974946313533</v>
      </c>
      <c r="K64" s="5">
        <f>K62*14/(21-K73)</f>
        <v>27.334818114328137</v>
      </c>
      <c r="M64" s="5">
        <f>AVERAGE(G64,I64,K64)</f>
        <v>25.40135959164246</v>
      </c>
    </row>
    <row r="65" spans="2:13" ht="12.75">
      <c r="B65" t="s">
        <v>193</v>
      </c>
      <c r="C65" t="s">
        <v>195</v>
      </c>
      <c r="D65" t="s">
        <v>16</v>
      </c>
      <c r="E65" t="s">
        <v>15</v>
      </c>
      <c r="G65" s="5">
        <f>G63*14/(21-G73)</f>
        <v>0.8839285714285714</v>
      </c>
      <c r="I65" s="5">
        <f>I63*14/(21-I73)</f>
        <v>1.382963493199714</v>
      </c>
      <c r="K65" s="5">
        <f>K63*14/(21-K73)</f>
        <v>1.7461024498886415</v>
      </c>
      <c r="M65" s="5">
        <f>AVERAGE(G65,I65,K65)</f>
        <v>1.3376648381723089</v>
      </c>
    </row>
    <row r="67" spans="2:13" ht="12.75">
      <c r="B67" t="s">
        <v>50</v>
      </c>
      <c r="C67" t="s">
        <v>195</v>
      </c>
      <c r="D67" t="s">
        <v>16</v>
      </c>
      <c r="E67" t="s">
        <v>15</v>
      </c>
      <c r="G67" s="5">
        <f>G59*454/60/0.0283*14/(21-G73)*1000000/1500/G72</f>
        <v>5.571207293873675</v>
      </c>
      <c r="H67" s="5"/>
      <c r="I67" s="5">
        <f>I59*454/60/0.0283*14/(21-I73)*1000000/1500/I72</f>
        <v>3.694554343703658</v>
      </c>
      <c r="J67" s="5"/>
      <c r="K67" s="5">
        <f>K59*454/60/0.0283*14/(21-K73)*1000000/1500/K72</f>
        <v>3.8856538879278957</v>
      </c>
      <c r="M67" s="5">
        <f>AVERAGE(G67,I67,K67)</f>
        <v>4.383805175168409</v>
      </c>
    </row>
    <row r="68" spans="2:13" ht="12.75">
      <c r="B68" t="s">
        <v>51</v>
      </c>
      <c r="C68" t="s">
        <v>195</v>
      </c>
      <c r="D68" t="s">
        <v>16</v>
      </c>
      <c r="E68" t="s">
        <v>15</v>
      </c>
      <c r="G68" s="5">
        <f>G60*454/60/0.0283*14/(21-G73)*1000000/1500/G72</f>
        <v>0</v>
      </c>
      <c r="H68" s="5"/>
      <c r="I68" s="5">
        <f>I60*454/60/0.0283*14/(21-I73)*1000000/1500/I72</f>
        <v>0</v>
      </c>
      <c r="J68" s="5"/>
      <c r="K68" s="5">
        <f>K60*454/60/0.0283*14/(21-K73)*1000000/1500/K72</f>
        <v>0</v>
      </c>
      <c r="M68" s="5">
        <f>AVERAGE(G68,I68,K68)</f>
        <v>0</v>
      </c>
    </row>
    <row r="69" spans="2:13" ht="12.75">
      <c r="B69" t="s">
        <v>194</v>
      </c>
      <c r="C69" t="s">
        <v>195</v>
      </c>
      <c r="D69" t="s">
        <v>16</v>
      </c>
      <c r="E69" t="s">
        <v>15</v>
      </c>
      <c r="G69" s="5">
        <f>G67+2*G68</f>
        <v>5.571207293873675</v>
      </c>
      <c r="H69" s="5"/>
      <c r="I69" s="5">
        <f>I67+2*I68</f>
        <v>3.694554343703658</v>
      </c>
      <c r="J69" s="5"/>
      <c r="K69" s="5">
        <f>K67+2*K68</f>
        <v>3.8856538879278957</v>
      </c>
      <c r="M69" s="5">
        <f>AVERAGE(G69,I69,K69)</f>
        <v>4.383805175168409</v>
      </c>
    </row>
    <row r="71" spans="2:4" ht="12.75">
      <c r="B71" t="s">
        <v>84</v>
      </c>
      <c r="C71" t="s">
        <v>13</v>
      </c>
      <c r="D71" t="s">
        <v>195</v>
      </c>
    </row>
    <row r="72" spans="2:11" ht="12.75">
      <c r="B72" s="8" t="s">
        <v>76</v>
      </c>
      <c r="C72" s="8"/>
      <c r="D72" s="8" t="s">
        <v>17</v>
      </c>
      <c r="G72">
        <v>6856</v>
      </c>
      <c r="I72">
        <v>6769</v>
      </c>
      <c r="K72">
        <v>6675</v>
      </c>
    </row>
    <row r="73" spans="2:11" ht="12.75">
      <c r="B73" s="8" t="s">
        <v>81</v>
      </c>
      <c r="C73" s="8"/>
      <c r="D73" s="8" t="s">
        <v>18</v>
      </c>
      <c r="G73">
        <v>5.32</v>
      </c>
      <c r="I73">
        <v>7.03</v>
      </c>
      <c r="K73">
        <v>7.53</v>
      </c>
    </row>
    <row r="74" spans="2:11" ht="12.75">
      <c r="B74" s="8" t="s">
        <v>82</v>
      </c>
      <c r="C74" s="8"/>
      <c r="D74" s="8" t="s">
        <v>18</v>
      </c>
      <c r="G74">
        <v>54.9</v>
      </c>
      <c r="I74">
        <v>52.7</v>
      </c>
      <c r="K74">
        <v>51.3</v>
      </c>
    </row>
    <row r="75" spans="2:11" ht="12.75">
      <c r="B75" s="8" t="s">
        <v>75</v>
      </c>
      <c r="C75" s="8"/>
      <c r="D75" s="8" t="s">
        <v>19</v>
      </c>
      <c r="G75">
        <v>184.8</v>
      </c>
      <c r="I75">
        <v>181.7</v>
      </c>
      <c r="K75">
        <v>180.7</v>
      </c>
    </row>
    <row r="77" spans="2:11" ht="12.75">
      <c r="B77" t="s">
        <v>105</v>
      </c>
      <c r="D77" t="s">
        <v>156</v>
      </c>
      <c r="E77" t="s">
        <v>98</v>
      </c>
      <c r="F77" t="s">
        <v>96</v>
      </c>
      <c r="G77" s="67">
        <v>0.1</v>
      </c>
      <c r="H77" s="67" t="s">
        <v>96</v>
      </c>
      <c r="I77" s="67">
        <v>0.1</v>
      </c>
      <c r="J77" s="67" t="s">
        <v>96</v>
      </c>
      <c r="K77" s="67">
        <v>0.1</v>
      </c>
    </row>
    <row r="78" spans="2:11" ht="12.75">
      <c r="B78" t="s">
        <v>101</v>
      </c>
      <c r="D78" t="s">
        <v>156</v>
      </c>
      <c r="E78" t="s">
        <v>98</v>
      </c>
      <c r="F78" t="s">
        <v>96</v>
      </c>
      <c r="G78" s="67">
        <v>0.04</v>
      </c>
      <c r="H78" s="67" t="s">
        <v>96</v>
      </c>
      <c r="I78" s="67">
        <v>0.06</v>
      </c>
      <c r="J78" s="67" t="s">
        <v>96</v>
      </c>
      <c r="K78" s="67">
        <v>0.06</v>
      </c>
    </row>
    <row r="79" spans="2:11" ht="12.75">
      <c r="B79" t="s">
        <v>102</v>
      </c>
      <c r="D79" t="s">
        <v>156</v>
      </c>
      <c r="E79" t="s">
        <v>98</v>
      </c>
      <c r="G79" s="67">
        <v>0.2</v>
      </c>
      <c r="H79" s="67"/>
      <c r="I79" s="67">
        <v>0.1</v>
      </c>
      <c r="J79" s="67"/>
      <c r="K79" s="67">
        <v>0.1</v>
      </c>
    </row>
    <row r="80" spans="2:11" ht="12.75">
      <c r="B80" t="s">
        <v>78</v>
      </c>
      <c r="D80" t="s">
        <v>156</v>
      </c>
      <c r="E80" t="s">
        <v>98</v>
      </c>
      <c r="G80" s="67">
        <v>0.01</v>
      </c>
      <c r="H80" s="67"/>
      <c r="I80" s="67">
        <v>0.01</v>
      </c>
      <c r="J80" s="67"/>
      <c r="K80" s="67">
        <v>0</v>
      </c>
    </row>
    <row r="81" spans="2:11" ht="12.75">
      <c r="B81" t="s">
        <v>103</v>
      </c>
      <c r="D81" t="s">
        <v>156</v>
      </c>
      <c r="E81" t="s">
        <v>98</v>
      </c>
      <c r="G81" s="67">
        <v>0.03</v>
      </c>
      <c r="H81" s="67"/>
      <c r="I81" s="67">
        <v>0.03</v>
      </c>
      <c r="J81" s="67"/>
      <c r="K81" s="67">
        <v>0.07</v>
      </c>
    </row>
    <row r="82" spans="2:11" ht="12.75">
      <c r="B82" t="s">
        <v>83</v>
      </c>
      <c r="D82" t="s">
        <v>156</v>
      </c>
      <c r="E82" t="s">
        <v>98</v>
      </c>
      <c r="G82" s="67">
        <v>0.1</v>
      </c>
      <c r="H82" s="67"/>
      <c r="I82" s="67">
        <v>0.1</v>
      </c>
      <c r="J82" s="67"/>
      <c r="K82" s="67">
        <v>0</v>
      </c>
    </row>
    <row r="83" spans="2:11" ht="12.75">
      <c r="B83" t="s">
        <v>77</v>
      </c>
      <c r="D83" t="s">
        <v>156</v>
      </c>
      <c r="E83" t="s">
        <v>98</v>
      </c>
      <c r="G83" s="67">
        <v>0.7</v>
      </c>
      <c r="H83" s="67"/>
      <c r="I83" s="67">
        <v>0.7</v>
      </c>
      <c r="J83" s="67"/>
      <c r="K83" s="67">
        <v>0.4</v>
      </c>
    </row>
    <row r="84" spans="2:11" ht="12.75">
      <c r="B84" t="s">
        <v>79</v>
      </c>
      <c r="D84" t="s">
        <v>156</v>
      </c>
      <c r="E84" t="s">
        <v>98</v>
      </c>
      <c r="G84" s="67">
        <v>0.1</v>
      </c>
      <c r="H84" s="67"/>
      <c r="I84" s="67">
        <v>0.1</v>
      </c>
      <c r="J84" s="67"/>
      <c r="K84" s="67">
        <v>0.1</v>
      </c>
    </row>
    <row r="85" spans="2:11" ht="12.75">
      <c r="B85" t="s">
        <v>100</v>
      </c>
      <c r="D85" t="s">
        <v>156</v>
      </c>
      <c r="E85" t="s">
        <v>98</v>
      </c>
      <c r="G85" s="67">
        <v>0.02</v>
      </c>
      <c r="H85" s="67" t="s">
        <v>96</v>
      </c>
      <c r="I85" s="67">
        <v>0.03</v>
      </c>
      <c r="J85" s="67" t="s">
        <v>96</v>
      </c>
      <c r="K85" s="67">
        <v>0.03</v>
      </c>
    </row>
    <row r="86" spans="2:11" ht="12.75">
      <c r="B86" t="s">
        <v>107</v>
      </c>
      <c r="D86" t="s">
        <v>156</v>
      </c>
      <c r="E86" t="s">
        <v>98</v>
      </c>
      <c r="F86" t="s">
        <v>96</v>
      </c>
      <c r="G86" s="67">
        <v>0.1</v>
      </c>
      <c r="H86" s="67" t="s">
        <v>96</v>
      </c>
      <c r="I86" s="67">
        <v>0.1</v>
      </c>
      <c r="J86" s="67" t="s">
        <v>96</v>
      </c>
      <c r="K86" s="67">
        <v>0.1</v>
      </c>
    </row>
    <row r="87" spans="7:11" ht="12.75">
      <c r="G87" s="67"/>
      <c r="H87" s="67"/>
      <c r="I87" s="67"/>
      <c r="J87" s="67"/>
      <c r="K87" s="67"/>
    </row>
    <row r="88" spans="2:13" ht="12.75">
      <c r="B88" t="s">
        <v>105</v>
      </c>
      <c r="C88" t="s">
        <v>195</v>
      </c>
      <c r="D88" t="s">
        <v>55</v>
      </c>
      <c r="E88" t="s">
        <v>15</v>
      </c>
      <c r="G88" s="67">
        <f>G77/0.0283*14/(21-G$73)</f>
        <v>3.1549722362443213</v>
      </c>
      <c r="H88" s="67"/>
      <c r="I88" s="67">
        <f>I77/0.0283*14/(21-I$73)</f>
        <v>3.5411570983758742</v>
      </c>
      <c r="J88" s="67"/>
      <c r="K88" s="67">
        <f aca="true" t="shared" si="5" ref="K88:K97">K77/0.0283*14/(21-K$73)</f>
        <v>3.6726031673579036</v>
      </c>
      <c r="M88" s="5">
        <f aca="true" t="shared" si="6" ref="M88:M97">AVERAGE(G88,I88,K88)</f>
        <v>3.4562441673260333</v>
      </c>
    </row>
    <row r="89" spans="2:13" ht="12.75">
      <c r="B89" t="s">
        <v>101</v>
      </c>
      <c r="C89" t="s">
        <v>195</v>
      </c>
      <c r="D89" t="s">
        <v>55</v>
      </c>
      <c r="E89" t="s">
        <v>15</v>
      </c>
      <c r="G89" s="67">
        <f aca="true" t="shared" si="7" ref="G89:I97">G78/0.0283*14/(21-G$73)</f>
        <v>1.2619888944977287</v>
      </c>
      <c r="H89" s="67"/>
      <c r="I89" s="67">
        <f t="shared" si="7"/>
        <v>2.124694259025524</v>
      </c>
      <c r="J89" s="67"/>
      <c r="K89" s="67">
        <f t="shared" si="5"/>
        <v>2.203561900414742</v>
      </c>
      <c r="M89" s="5">
        <f t="shared" si="6"/>
        <v>1.8634150179793316</v>
      </c>
    </row>
    <row r="90" spans="2:13" ht="12.75">
      <c r="B90" t="s">
        <v>102</v>
      </c>
      <c r="C90" t="s">
        <v>195</v>
      </c>
      <c r="D90" t="s">
        <v>55</v>
      </c>
      <c r="E90" t="s">
        <v>15</v>
      </c>
      <c r="G90" s="67">
        <f t="shared" si="7"/>
        <v>6.309944472488643</v>
      </c>
      <c r="H90" s="67"/>
      <c r="I90" s="67">
        <f t="shared" si="7"/>
        <v>3.5411570983758742</v>
      </c>
      <c r="J90" s="67"/>
      <c r="K90" s="67">
        <f t="shared" si="5"/>
        <v>3.6726031673579036</v>
      </c>
      <c r="M90" s="5">
        <f t="shared" si="6"/>
        <v>4.5079015794074735</v>
      </c>
    </row>
    <row r="91" spans="2:13" ht="12.75">
      <c r="B91" t="s">
        <v>78</v>
      </c>
      <c r="C91" t="s">
        <v>195</v>
      </c>
      <c r="D91" t="s">
        <v>55</v>
      </c>
      <c r="E91" t="s">
        <v>15</v>
      </c>
      <c r="G91" s="67">
        <f t="shared" si="7"/>
        <v>0.31549722362443217</v>
      </c>
      <c r="H91" s="67"/>
      <c r="I91" s="67">
        <f t="shared" si="7"/>
        <v>0.35411570983758744</v>
      </c>
      <c r="J91" s="67"/>
      <c r="K91" s="67">
        <f t="shared" si="5"/>
        <v>0</v>
      </c>
      <c r="M91" s="5">
        <f t="shared" si="6"/>
        <v>0.22320431115400652</v>
      </c>
    </row>
    <row r="92" spans="2:13" ht="12.75">
      <c r="B92" t="s">
        <v>103</v>
      </c>
      <c r="C92" t="s">
        <v>195</v>
      </c>
      <c r="D92" t="s">
        <v>55</v>
      </c>
      <c r="E92" t="s">
        <v>15</v>
      </c>
      <c r="G92" s="67">
        <f t="shared" si="7"/>
        <v>0.9464916708732962</v>
      </c>
      <c r="H92" s="67"/>
      <c r="I92" s="67">
        <f t="shared" si="7"/>
        <v>1.062347129512762</v>
      </c>
      <c r="J92" s="67"/>
      <c r="K92" s="67">
        <f t="shared" si="5"/>
        <v>2.570822217150533</v>
      </c>
      <c r="M92" s="5">
        <f t="shared" si="6"/>
        <v>1.5265536725121969</v>
      </c>
    </row>
    <row r="93" spans="2:13" ht="12.75">
      <c r="B93" t="s">
        <v>83</v>
      </c>
      <c r="C93" t="s">
        <v>195</v>
      </c>
      <c r="D93" t="s">
        <v>55</v>
      </c>
      <c r="E93" t="s">
        <v>15</v>
      </c>
      <c r="G93" s="67">
        <f t="shared" si="7"/>
        <v>3.1549722362443213</v>
      </c>
      <c r="H93" s="67"/>
      <c r="I93" s="67">
        <f t="shared" si="7"/>
        <v>3.5411570983758742</v>
      </c>
      <c r="J93" s="67"/>
      <c r="K93" s="67">
        <f t="shared" si="5"/>
        <v>0</v>
      </c>
      <c r="M93" s="5">
        <f t="shared" si="6"/>
        <v>2.232043111540065</v>
      </c>
    </row>
    <row r="94" spans="2:13" ht="12.75">
      <c r="B94" t="s">
        <v>77</v>
      </c>
      <c r="C94" t="s">
        <v>195</v>
      </c>
      <c r="D94" t="s">
        <v>55</v>
      </c>
      <c r="E94" t="s">
        <v>15</v>
      </c>
      <c r="G94" s="67">
        <f t="shared" si="7"/>
        <v>22.084805653710244</v>
      </c>
      <c r="H94" s="67"/>
      <c r="I94" s="67">
        <f t="shared" si="7"/>
        <v>24.788099688631114</v>
      </c>
      <c r="J94" s="67"/>
      <c r="K94" s="67">
        <f t="shared" si="5"/>
        <v>14.690412669431614</v>
      </c>
      <c r="M94" s="5">
        <f t="shared" si="6"/>
        <v>20.521106003924324</v>
      </c>
    </row>
    <row r="95" spans="2:13" ht="12.75">
      <c r="B95" t="s">
        <v>79</v>
      </c>
      <c r="C95" t="s">
        <v>195</v>
      </c>
      <c r="D95" t="s">
        <v>55</v>
      </c>
      <c r="E95" t="s">
        <v>15</v>
      </c>
      <c r="G95" s="67">
        <f t="shared" si="7"/>
        <v>3.1549722362443213</v>
      </c>
      <c r="H95" s="67"/>
      <c r="I95" s="67">
        <f t="shared" si="7"/>
        <v>3.5411570983758742</v>
      </c>
      <c r="J95" s="67"/>
      <c r="K95" s="67">
        <f t="shared" si="5"/>
        <v>3.6726031673579036</v>
      </c>
      <c r="M95" s="5">
        <f t="shared" si="6"/>
        <v>3.4562441673260333</v>
      </c>
    </row>
    <row r="96" spans="2:13" ht="12.75">
      <c r="B96" t="s">
        <v>100</v>
      </c>
      <c r="C96" t="s">
        <v>195</v>
      </c>
      <c r="D96" t="s">
        <v>55</v>
      </c>
      <c r="E96" t="s">
        <v>15</v>
      </c>
      <c r="G96" s="67">
        <f t="shared" si="7"/>
        <v>0.6309944472488643</v>
      </c>
      <c r="H96" s="67"/>
      <c r="I96" s="67">
        <f t="shared" si="7"/>
        <v>1.062347129512762</v>
      </c>
      <c r="J96" s="67"/>
      <c r="K96" s="67">
        <f t="shared" si="5"/>
        <v>1.101780950207371</v>
      </c>
      <c r="M96" s="5">
        <f t="shared" si="6"/>
        <v>0.9317075089896658</v>
      </c>
    </row>
    <row r="97" spans="2:13" ht="12.75">
      <c r="B97" t="s">
        <v>107</v>
      </c>
      <c r="C97" t="s">
        <v>195</v>
      </c>
      <c r="D97" t="s">
        <v>55</v>
      </c>
      <c r="E97" t="s">
        <v>15</v>
      </c>
      <c r="G97" s="67">
        <f t="shared" si="7"/>
        <v>3.1549722362443213</v>
      </c>
      <c r="H97" s="67"/>
      <c r="I97" s="67">
        <f t="shared" si="7"/>
        <v>3.5411570983758742</v>
      </c>
      <c r="J97" s="67"/>
      <c r="K97" s="67">
        <f t="shared" si="5"/>
        <v>3.6726031673579036</v>
      </c>
      <c r="M97" s="5">
        <f t="shared" si="6"/>
        <v>3.4562441673260333</v>
      </c>
    </row>
    <row r="98" spans="7:11" ht="12.75">
      <c r="G98" s="67"/>
      <c r="H98" s="67"/>
      <c r="I98" s="67"/>
      <c r="J98" s="67"/>
      <c r="K98" s="67"/>
    </row>
    <row r="99" spans="2:13" ht="12.75">
      <c r="B99" t="s">
        <v>56</v>
      </c>
      <c r="C99" t="s">
        <v>195</v>
      </c>
      <c r="D99" t="s">
        <v>55</v>
      </c>
      <c r="E99" t="s">
        <v>15</v>
      </c>
      <c r="G99" s="67">
        <f>G94+G92</f>
        <v>23.03129732458354</v>
      </c>
      <c r="H99" s="67"/>
      <c r="I99" s="67">
        <f>I94+I92</f>
        <v>25.850446818143876</v>
      </c>
      <c r="J99" s="67"/>
      <c r="K99" s="67">
        <f>K94+K92</f>
        <v>17.261234886582148</v>
      </c>
      <c r="M99" s="5">
        <f>AVERAGE(G99,I99,K99)</f>
        <v>22.04765967643652</v>
      </c>
    </row>
    <row r="100" spans="2:13" ht="12.75">
      <c r="B100" t="s">
        <v>57</v>
      </c>
      <c r="C100" t="s">
        <v>195</v>
      </c>
      <c r="D100" t="s">
        <v>55</v>
      </c>
      <c r="E100" t="s">
        <v>15</v>
      </c>
      <c r="G100" s="67">
        <f>G89+G91+G93</f>
        <v>4.732458354366482</v>
      </c>
      <c r="H100" s="67"/>
      <c r="I100" s="67">
        <f>I89+I91+I93</f>
        <v>6.019967067238985</v>
      </c>
      <c r="J100" s="67"/>
      <c r="K100" s="67">
        <f>K89+K91+K93</f>
        <v>2.203561900414742</v>
      </c>
      <c r="M100" s="5">
        <f>AVERAGE(G100,I100,K100)</f>
        <v>4.318662440673403</v>
      </c>
    </row>
    <row r="102" spans="2:13" ht="12.75">
      <c r="B102" s="6" t="s">
        <v>172</v>
      </c>
      <c r="G102" s="51" t="s">
        <v>168</v>
      </c>
      <c r="H102" s="51"/>
      <c r="I102" s="51" t="s">
        <v>169</v>
      </c>
      <c r="J102" s="51"/>
      <c r="K102" s="51" t="s">
        <v>170</v>
      </c>
      <c r="M102" t="s">
        <v>47</v>
      </c>
    </row>
    <row r="104" spans="1:57" s="87" customFormat="1" ht="12.75">
      <c r="A104" s="87" t="s">
        <v>172</v>
      </c>
      <c r="B104" s="87" t="s">
        <v>126</v>
      </c>
      <c r="C104" s="87" t="s">
        <v>52</v>
      </c>
      <c r="D104" s="87" t="s">
        <v>18</v>
      </c>
      <c r="G104" s="88">
        <v>99.9995</v>
      </c>
      <c r="H104" s="88"/>
      <c r="I104" s="88">
        <v>99.9996</v>
      </c>
      <c r="J104" s="88"/>
      <c r="K104" s="88">
        <v>99.9997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</row>
    <row r="105" spans="1:57" s="87" customFormat="1" ht="12.75">
      <c r="A105" s="87" t="s">
        <v>172</v>
      </c>
      <c r="B105" s="87" t="s">
        <v>171</v>
      </c>
      <c r="C105" s="87" t="s">
        <v>52</v>
      </c>
      <c r="D105" s="87" t="s">
        <v>18</v>
      </c>
      <c r="G105" s="88">
        <v>99.9976</v>
      </c>
      <c r="H105" s="88"/>
      <c r="I105" s="88">
        <v>99.9985</v>
      </c>
      <c r="J105" s="88"/>
      <c r="K105" s="88">
        <v>99.9968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</row>
    <row r="107" spans="2:13" ht="12.75">
      <c r="B107" t="s">
        <v>13</v>
      </c>
      <c r="C107" t="s">
        <v>195</v>
      </c>
      <c r="D107" t="s">
        <v>14</v>
      </c>
      <c r="E107" t="s">
        <v>15</v>
      </c>
      <c r="G107">
        <v>0.0076</v>
      </c>
      <c r="I107">
        <v>0.0046</v>
      </c>
      <c r="K107">
        <v>0.0125</v>
      </c>
      <c r="M107" s="56">
        <f>AVERAGE(G107,I107,K107)</f>
        <v>0.008233333333333334</v>
      </c>
    </row>
    <row r="109" spans="2:11" ht="12.75">
      <c r="B109" t="s">
        <v>109</v>
      </c>
      <c r="D109" t="s">
        <v>16</v>
      </c>
      <c r="G109">
        <v>70.2</v>
      </c>
      <c r="I109">
        <v>67.8</v>
      </c>
      <c r="K109">
        <v>71.2</v>
      </c>
    </row>
    <row r="110" spans="2:11" ht="12.75">
      <c r="B110" t="s">
        <v>193</v>
      </c>
      <c r="D110" t="s">
        <v>16</v>
      </c>
      <c r="G110">
        <v>1.48</v>
      </c>
      <c r="I110">
        <v>2.08</v>
      </c>
      <c r="K110">
        <v>1.78</v>
      </c>
    </row>
    <row r="111" spans="2:13" ht="12.75">
      <c r="B111" t="s">
        <v>109</v>
      </c>
      <c r="C111" t="s">
        <v>195</v>
      </c>
      <c r="D111" t="s">
        <v>16</v>
      </c>
      <c r="E111" t="s">
        <v>15</v>
      </c>
      <c r="G111" s="5">
        <f>G109*14/(21-G120)</f>
        <v>92.80453257790369</v>
      </c>
      <c r="I111" s="5">
        <f>I109*14/(21-I120)</f>
        <v>84.44839857651245</v>
      </c>
      <c r="K111" s="5">
        <f>K109*14/(21-K120)</f>
        <v>89.96389891696751</v>
      </c>
      <c r="M111" s="5">
        <f>AVERAGE(G111,I111,K111)</f>
        <v>89.07227669046121</v>
      </c>
    </row>
    <row r="112" spans="2:13" ht="12.75">
      <c r="B112" t="s">
        <v>193</v>
      </c>
      <c r="C112" t="s">
        <v>195</v>
      </c>
      <c r="D112" t="s">
        <v>16</v>
      </c>
      <c r="E112" t="s">
        <v>15</v>
      </c>
      <c r="G112" s="5">
        <f>G110*14/(21-G120)</f>
        <v>1.956562795089707</v>
      </c>
      <c r="I112" s="5">
        <f>I110*14/(21-I120)</f>
        <v>2.590747330960854</v>
      </c>
      <c r="K112" s="5">
        <f>K110*14/(21-K120)</f>
        <v>2.2490974729241877</v>
      </c>
      <c r="M112" s="5">
        <f>AVERAGE(G112,I112,K112)</f>
        <v>2.26546919965825</v>
      </c>
    </row>
    <row r="114" spans="2:13" ht="12.75">
      <c r="B114" t="s">
        <v>50</v>
      </c>
      <c r="C114" t="s">
        <v>195</v>
      </c>
      <c r="D114" t="s">
        <v>16</v>
      </c>
      <c r="E114" t="s">
        <v>15</v>
      </c>
      <c r="G114" s="5">
        <f>13000/81.7/0.0283/1516*14/(21-G120)</f>
        <v>4.903065945995452</v>
      </c>
      <c r="I114" s="5">
        <f>7800/81.7/0.0283/1516*14/(21-I120)</f>
        <v>2.7717153933145107</v>
      </c>
      <c r="K114" s="5">
        <f>14000/81.7/0.0283/1516*14/(21-K120)</f>
        <v>5.046713115476852</v>
      </c>
      <c r="M114" s="5">
        <f>AVERAGE(G114,I114,K114)</f>
        <v>4.240498151595605</v>
      </c>
    </row>
    <row r="115" spans="2:13" ht="12.75">
      <c r="B115" t="s">
        <v>51</v>
      </c>
      <c r="C115" t="s">
        <v>195</v>
      </c>
      <c r="D115" t="s">
        <v>16</v>
      </c>
      <c r="E115" t="s">
        <v>15</v>
      </c>
      <c r="F115" t="s">
        <v>96</v>
      </c>
      <c r="G115" s="5">
        <f>0/81.7/0.0283/3000*14/(21-G120)</f>
        <v>0</v>
      </c>
      <c r="I115" s="5">
        <f>1100/81.7/0.0283/3000*14/(21-I120)</f>
        <v>0.1975261790551828</v>
      </c>
      <c r="K115" s="5">
        <f>4800/81.7/0.0283/3000*14/(21-K120)</f>
        <v>0.8743790952071891</v>
      </c>
      <c r="M115" s="5">
        <f>AVERAGE(G115,I115,K115)</f>
        <v>0.35730175808745734</v>
      </c>
    </row>
    <row r="116" spans="2:13" ht="12.75">
      <c r="B116" t="s">
        <v>225</v>
      </c>
      <c r="C116" t="s">
        <v>195</v>
      </c>
      <c r="D116" t="s">
        <v>16</v>
      </c>
      <c r="E116" t="s">
        <v>15</v>
      </c>
      <c r="G116" s="5">
        <f>G114+2*G115</f>
        <v>4.903065945995452</v>
      </c>
      <c r="H116" s="5"/>
      <c r="I116" s="5">
        <f>I114+2*I115</f>
        <v>3.166767751424876</v>
      </c>
      <c r="J116" s="5"/>
      <c r="K116" s="5">
        <f>K114+2*K115</f>
        <v>6.79547130589123</v>
      </c>
      <c r="M116" s="5">
        <f>AVERAGE(G116,I116,K116)</f>
        <v>4.95510166777052</v>
      </c>
    </row>
    <row r="118" spans="2:4" ht="12.75">
      <c r="B118" t="s">
        <v>84</v>
      </c>
      <c r="C118" t="s">
        <v>13</v>
      </c>
      <c r="D118" t="s">
        <v>195</v>
      </c>
    </row>
    <row r="119" spans="2:11" ht="12.75">
      <c r="B119" s="8" t="s">
        <v>76</v>
      </c>
      <c r="C119" s="8"/>
      <c r="D119" s="8" t="s">
        <v>17</v>
      </c>
      <c r="G119">
        <v>7400</v>
      </c>
      <c r="I119">
        <v>7704</v>
      </c>
      <c r="K119">
        <v>8082</v>
      </c>
    </row>
    <row r="120" spans="2:11" ht="12.75">
      <c r="B120" s="8" t="s">
        <v>81</v>
      </c>
      <c r="C120" s="8"/>
      <c r="D120" s="8" t="s">
        <v>18</v>
      </c>
      <c r="G120">
        <v>10.41</v>
      </c>
      <c r="I120">
        <v>9.76</v>
      </c>
      <c r="K120">
        <v>9.92</v>
      </c>
    </row>
    <row r="121" spans="2:11" ht="12.75">
      <c r="B121" s="8" t="s">
        <v>82</v>
      </c>
      <c r="C121" s="8"/>
      <c r="D121" s="8" t="s">
        <v>18</v>
      </c>
      <c r="G121">
        <v>42.5</v>
      </c>
      <c r="I121">
        <v>44.3</v>
      </c>
      <c r="K121">
        <v>43.9</v>
      </c>
    </row>
    <row r="122" spans="2:11" ht="12.75">
      <c r="B122" s="8" t="s">
        <v>75</v>
      </c>
      <c r="C122" s="8"/>
      <c r="D122" s="8" t="s">
        <v>19</v>
      </c>
      <c r="G122">
        <v>172.7</v>
      </c>
      <c r="I122">
        <v>174.8</v>
      </c>
      <c r="K122">
        <v>173.8</v>
      </c>
    </row>
    <row r="124" spans="2:11" ht="12.75">
      <c r="B124" t="s">
        <v>105</v>
      </c>
      <c r="D124" t="s">
        <v>156</v>
      </c>
      <c r="E124" t="s">
        <v>98</v>
      </c>
      <c r="F124" t="s">
        <v>96</v>
      </c>
      <c r="G124" s="67">
        <v>0.1</v>
      </c>
      <c r="H124" s="67" t="s">
        <v>96</v>
      </c>
      <c r="I124" s="67">
        <v>0.1</v>
      </c>
      <c r="J124" s="67" t="s">
        <v>96</v>
      </c>
      <c r="K124" s="67">
        <v>0.1</v>
      </c>
    </row>
    <row r="125" spans="2:11" ht="12.75">
      <c r="B125" t="s">
        <v>101</v>
      </c>
      <c r="D125" t="s">
        <v>156</v>
      </c>
      <c r="E125" t="s">
        <v>98</v>
      </c>
      <c r="F125" t="s">
        <v>96</v>
      </c>
      <c r="G125" s="67">
        <v>0.05</v>
      </c>
      <c r="H125" s="67" t="s">
        <v>96</v>
      </c>
      <c r="I125" s="67">
        <v>0.05</v>
      </c>
      <c r="J125" s="67" t="s">
        <v>96</v>
      </c>
      <c r="K125" s="67">
        <v>0.05</v>
      </c>
    </row>
    <row r="126" spans="2:11" ht="12.75">
      <c r="B126" t="s">
        <v>102</v>
      </c>
      <c r="D126" t="s">
        <v>156</v>
      </c>
      <c r="E126" t="s">
        <v>98</v>
      </c>
      <c r="G126" s="67">
        <v>0.1</v>
      </c>
      <c r="H126" s="67"/>
      <c r="I126" s="67">
        <v>0.1</v>
      </c>
      <c r="J126" s="67"/>
      <c r="K126" s="67">
        <v>0.1</v>
      </c>
    </row>
    <row r="127" spans="2:11" ht="12.75">
      <c r="B127" t="s">
        <v>78</v>
      </c>
      <c r="D127" t="s">
        <v>156</v>
      </c>
      <c r="E127" t="s">
        <v>98</v>
      </c>
      <c r="G127" s="67">
        <v>0.01</v>
      </c>
      <c r="H127" s="67"/>
      <c r="I127" s="67">
        <v>0.01</v>
      </c>
      <c r="J127" s="67"/>
      <c r="K127" s="67">
        <v>0.01</v>
      </c>
    </row>
    <row r="128" spans="2:11" ht="12.75">
      <c r="B128" t="s">
        <v>103</v>
      </c>
      <c r="D128" t="s">
        <v>156</v>
      </c>
      <c r="E128" t="s">
        <v>98</v>
      </c>
      <c r="G128" s="67">
        <v>0.01</v>
      </c>
      <c r="H128" s="67"/>
      <c r="I128" s="67">
        <v>0.01</v>
      </c>
      <c r="J128" s="67"/>
      <c r="K128" s="67">
        <v>0.03</v>
      </c>
    </row>
    <row r="129" spans="2:11" ht="12.75">
      <c r="B129" t="s">
        <v>83</v>
      </c>
      <c r="D129" t="s">
        <v>156</v>
      </c>
      <c r="E129" t="s">
        <v>98</v>
      </c>
      <c r="G129" s="67">
        <v>0.1</v>
      </c>
      <c r="H129" s="67"/>
      <c r="I129" s="67">
        <v>0.1</v>
      </c>
      <c r="J129" s="67"/>
      <c r="K129" s="67">
        <v>0.1</v>
      </c>
    </row>
    <row r="130" spans="2:11" ht="12.75">
      <c r="B130" t="s">
        <v>77</v>
      </c>
      <c r="D130" t="s">
        <v>156</v>
      </c>
      <c r="E130" t="s">
        <v>98</v>
      </c>
      <c r="G130" s="67">
        <v>0.2</v>
      </c>
      <c r="H130" s="67"/>
      <c r="I130" s="67">
        <v>0.1</v>
      </c>
      <c r="J130" s="67"/>
      <c r="K130" s="67">
        <v>0.1</v>
      </c>
    </row>
    <row r="131" spans="2:11" ht="12.75">
      <c r="B131" t="s">
        <v>79</v>
      </c>
      <c r="D131" t="s">
        <v>156</v>
      </c>
      <c r="E131" t="s">
        <v>98</v>
      </c>
      <c r="G131" s="67">
        <v>0.2</v>
      </c>
      <c r="H131" s="67"/>
      <c r="I131" s="67">
        <v>0.1</v>
      </c>
      <c r="J131" s="67"/>
      <c r="K131" s="67">
        <v>0.1</v>
      </c>
    </row>
    <row r="132" spans="2:11" ht="12.75">
      <c r="B132" t="s">
        <v>100</v>
      </c>
      <c r="D132" t="s">
        <v>156</v>
      </c>
      <c r="E132" t="s">
        <v>98</v>
      </c>
      <c r="F132" t="s">
        <v>96</v>
      </c>
      <c r="G132" s="67">
        <v>0.03</v>
      </c>
      <c r="H132" s="67"/>
      <c r="I132" s="67">
        <v>0.06</v>
      </c>
      <c r="J132" s="67"/>
      <c r="K132" s="67">
        <v>0.02</v>
      </c>
    </row>
    <row r="133" spans="2:11" ht="12.75">
      <c r="B133" t="s">
        <v>107</v>
      </c>
      <c r="D133" t="s">
        <v>156</v>
      </c>
      <c r="E133" t="s">
        <v>98</v>
      </c>
      <c r="F133" t="s">
        <v>96</v>
      </c>
      <c r="G133" s="67">
        <v>0.1</v>
      </c>
      <c r="H133" s="67" t="s">
        <v>96</v>
      </c>
      <c r="I133" s="67">
        <v>0.1</v>
      </c>
      <c r="J133" s="67" t="s">
        <v>96</v>
      </c>
      <c r="K133" s="67">
        <v>0.1</v>
      </c>
    </row>
    <row r="134" spans="7:11" ht="12.75">
      <c r="G134" s="67"/>
      <c r="H134" s="67"/>
      <c r="I134" s="67"/>
      <c r="J134" s="67"/>
      <c r="K134" s="67"/>
    </row>
    <row r="135" spans="2:13" ht="12.75">
      <c r="B135" t="s">
        <v>105</v>
      </c>
      <c r="C135" t="s">
        <v>195</v>
      </c>
      <c r="D135" t="s">
        <v>55</v>
      </c>
      <c r="E135" t="s">
        <v>15</v>
      </c>
      <c r="G135" s="67">
        <f>G124/0.0283*14/(21-G$120)</f>
        <v>4.6713847652795994</v>
      </c>
      <c r="H135" s="67"/>
      <c r="I135" s="67">
        <f>I124/0.0283*14/(21-I$120)</f>
        <v>4.401242407856847</v>
      </c>
      <c r="J135" s="67"/>
      <c r="K135" s="67">
        <f aca="true" t="shared" si="8" ref="K135:K144">K124/0.0283*14/(21-K$120)</f>
        <v>4.464798254901711</v>
      </c>
      <c r="M135" s="5">
        <f aca="true" t="shared" si="9" ref="M135:M144">AVERAGE(G135,I135,K135)</f>
        <v>4.512475142679386</v>
      </c>
    </row>
    <row r="136" spans="2:13" ht="12.75">
      <c r="B136" t="s">
        <v>101</v>
      </c>
      <c r="C136" t="s">
        <v>195</v>
      </c>
      <c r="D136" t="s">
        <v>55</v>
      </c>
      <c r="E136" t="s">
        <v>15</v>
      </c>
      <c r="G136" s="67">
        <f aca="true" t="shared" si="10" ref="G136:I144">G125/0.0283*14/(21-G$120)</f>
        <v>2.3356923826397997</v>
      </c>
      <c r="H136" s="67"/>
      <c r="I136" s="67">
        <f t="shared" si="10"/>
        <v>2.2006212039284234</v>
      </c>
      <c r="J136" s="67"/>
      <c r="K136" s="67">
        <f t="shared" si="8"/>
        <v>2.2323991274508557</v>
      </c>
      <c r="M136" s="5">
        <f t="shared" si="9"/>
        <v>2.256237571339693</v>
      </c>
    </row>
    <row r="137" spans="2:13" ht="12.75">
      <c r="B137" t="s">
        <v>102</v>
      </c>
      <c r="C137" t="s">
        <v>195</v>
      </c>
      <c r="D137" t="s">
        <v>55</v>
      </c>
      <c r="E137" t="s">
        <v>15</v>
      </c>
      <c r="G137" s="67">
        <f t="shared" si="10"/>
        <v>4.6713847652795994</v>
      </c>
      <c r="H137" s="67"/>
      <c r="I137" s="67">
        <f t="shared" si="10"/>
        <v>4.401242407856847</v>
      </c>
      <c r="J137" s="67"/>
      <c r="K137" s="67">
        <f t="shared" si="8"/>
        <v>4.464798254901711</v>
      </c>
      <c r="M137" s="5">
        <f t="shared" si="9"/>
        <v>4.512475142679386</v>
      </c>
    </row>
    <row r="138" spans="2:13" ht="12.75">
      <c r="B138" t="s">
        <v>78</v>
      </c>
      <c r="C138" t="s">
        <v>195</v>
      </c>
      <c r="D138" t="s">
        <v>55</v>
      </c>
      <c r="E138" t="s">
        <v>15</v>
      </c>
      <c r="G138" s="67">
        <f t="shared" si="10"/>
        <v>0.46713847652796</v>
      </c>
      <c r="H138" s="67"/>
      <c r="I138" s="67">
        <f t="shared" si="10"/>
        <v>0.4401242407856847</v>
      </c>
      <c r="J138" s="67"/>
      <c r="K138" s="67">
        <f t="shared" si="8"/>
        <v>0.4464798254901711</v>
      </c>
      <c r="M138" s="5">
        <f t="shared" si="9"/>
        <v>0.45124751426793863</v>
      </c>
    </row>
    <row r="139" spans="2:13" ht="12.75">
      <c r="B139" t="s">
        <v>103</v>
      </c>
      <c r="C139" t="s">
        <v>195</v>
      </c>
      <c r="D139" t="s">
        <v>55</v>
      </c>
      <c r="E139" t="s">
        <v>15</v>
      </c>
      <c r="G139" s="67">
        <f t="shared" si="10"/>
        <v>0.46713847652796</v>
      </c>
      <c r="H139" s="67"/>
      <c r="I139" s="67">
        <f t="shared" si="10"/>
        <v>0.4401242407856847</v>
      </c>
      <c r="J139" s="67"/>
      <c r="K139" s="67">
        <f t="shared" si="8"/>
        <v>1.339439476470513</v>
      </c>
      <c r="M139" s="5">
        <f t="shared" si="9"/>
        <v>0.7489007312613859</v>
      </c>
    </row>
    <row r="140" spans="2:13" ht="12.75">
      <c r="B140" t="s">
        <v>83</v>
      </c>
      <c r="C140" t="s">
        <v>195</v>
      </c>
      <c r="D140" t="s">
        <v>55</v>
      </c>
      <c r="E140" t="s">
        <v>15</v>
      </c>
      <c r="G140" s="67">
        <f t="shared" si="10"/>
        <v>4.6713847652795994</v>
      </c>
      <c r="H140" s="67"/>
      <c r="I140" s="67">
        <f t="shared" si="10"/>
        <v>4.401242407856847</v>
      </c>
      <c r="J140" s="67"/>
      <c r="K140" s="67">
        <f t="shared" si="8"/>
        <v>4.464798254901711</v>
      </c>
      <c r="M140" s="5">
        <f t="shared" si="9"/>
        <v>4.512475142679386</v>
      </c>
    </row>
    <row r="141" spans="2:13" ht="12.75">
      <c r="B141" t="s">
        <v>77</v>
      </c>
      <c r="C141" t="s">
        <v>195</v>
      </c>
      <c r="D141" t="s">
        <v>55</v>
      </c>
      <c r="E141" t="s">
        <v>15</v>
      </c>
      <c r="G141" s="67">
        <f t="shared" si="10"/>
        <v>9.342769530559199</v>
      </c>
      <c r="H141" s="67"/>
      <c r="I141" s="67">
        <f t="shared" si="10"/>
        <v>4.401242407856847</v>
      </c>
      <c r="J141" s="67"/>
      <c r="K141" s="67">
        <f t="shared" si="8"/>
        <v>4.464798254901711</v>
      </c>
      <c r="M141" s="5">
        <f t="shared" si="9"/>
        <v>6.069603397772585</v>
      </c>
    </row>
    <row r="142" spans="2:13" ht="12.75">
      <c r="B142" t="s">
        <v>79</v>
      </c>
      <c r="C142" t="s">
        <v>195</v>
      </c>
      <c r="D142" t="s">
        <v>55</v>
      </c>
      <c r="E142" t="s">
        <v>15</v>
      </c>
      <c r="G142" s="67">
        <f t="shared" si="10"/>
        <v>9.342769530559199</v>
      </c>
      <c r="H142" s="67"/>
      <c r="I142" s="67">
        <f t="shared" si="10"/>
        <v>4.401242407856847</v>
      </c>
      <c r="J142" s="67"/>
      <c r="K142" s="67">
        <f t="shared" si="8"/>
        <v>4.464798254901711</v>
      </c>
      <c r="M142" s="5">
        <f t="shared" si="9"/>
        <v>6.069603397772585</v>
      </c>
    </row>
    <row r="143" spans="2:13" ht="12.75">
      <c r="B143" t="s">
        <v>100</v>
      </c>
      <c r="C143" t="s">
        <v>195</v>
      </c>
      <c r="D143" t="s">
        <v>55</v>
      </c>
      <c r="E143" t="s">
        <v>15</v>
      </c>
      <c r="G143" s="67">
        <f t="shared" si="10"/>
        <v>1.4014154295838797</v>
      </c>
      <c r="H143" s="67"/>
      <c r="I143" s="67">
        <f t="shared" si="10"/>
        <v>2.6407454447141077</v>
      </c>
      <c r="J143" s="67"/>
      <c r="K143" s="67">
        <f t="shared" si="8"/>
        <v>0.8929596509803422</v>
      </c>
      <c r="M143" s="5">
        <f t="shared" si="9"/>
        <v>1.6450401750927766</v>
      </c>
    </row>
    <row r="144" spans="2:13" ht="12.75">
      <c r="B144" t="s">
        <v>107</v>
      </c>
      <c r="C144" t="s">
        <v>195</v>
      </c>
      <c r="D144" t="s">
        <v>55</v>
      </c>
      <c r="E144" t="s">
        <v>15</v>
      </c>
      <c r="G144" s="67">
        <f t="shared" si="10"/>
        <v>4.6713847652795994</v>
      </c>
      <c r="H144" s="67"/>
      <c r="I144" s="67">
        <f t="shared" si="10"/>
        <v>4.401242407856847</v>
      </c>
      <c r="J144" s="67"/>
      <c r="K144" s="67">
        <f t="shared" si="8"/>
        <v>4.464798254901711</v>
      </c>
      <c r="M144" s="5">
        <f t="shared" si="9"/>
        <v>4.512475142679386</v>
      </c>
    </row>
    <row r="145" spans="7:11" ht="12.75">
      <c r="G145" s="67"/>
      <c r="H145" s="67"/>
      <c r="I145" s="67"/>
      <c r="J145" s="67"/>
      <c r="K145" s="67"/>
    </row>
    <row r="146" spans="2:13" ht="12.75">
      <c r="B146" t="s">
        <v>56</v>
      </c>
      <c r="C146" t="s">
        <v>195</v>
      </c>
      <c r="D146" t="s">
        <v>55</v>
      </c>
      <c r="E146" t="s">
        <v>15</v>
      </c>
      <c r="G146" s="67">
        <f>G141+G139</f>
        <v>9.80990800708716</v>
      </c>
      <c r="H146" s="67"/>
      <c r="I146" s="67">
        <f>I141+I139</f>
        <v>4.8413666486425315</v>
      </c>
      <c r="J146" s="67"/>
      <c r="K146" s="67">
        <f>K141+K139</f>
        <v>5.804237731372225</v>
      </c>
      <c r="M146" s="5">
        <f>AVERAGE(G146,I146,K146)</f>
        <v>6.818504129033972</v>
      </c>
    </row>
    <row r="147" spans="2:13" ht="12.75">
      <c r="B147" t="s">
        <v>57</v>
      </c>
      <c r="C147" t="s">
        <v>195</v>
      </c>
      <c r="D147" t="s">
        <v>55</v>
      </c>
      <c r="E147" t="s">
        <v>15</v>
      </c>
      <c r="G147" s="67">
        <f>G136+G138+G140</f>
        <v>7.474215624447359</v>
      </c>
      <c r="H147" s="67"/>
      <c r="I147" s="67">
        <f>I136+I138+I140</f>
        <v>7.041987852570955</v>
      </c>
      <c r="J147" s="67"/>
      <c r="K147" s="67">
        <f>K136+K138+K140</f>
        <v>7.143677207842738</v>
      </c>
      <c r="M147" s="5">
        <f>AVERAGE(G147,I147,K147)</f>
        <v>7.219960228287017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87"/>
  <sheetViews>
    <sheetView workbookViewId="0" topLeftCell="B1">
      <selection activeCell="P74" sqref="P74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7.57421875" style="2" customWidth="1"/>
    <col min="4" max="4" width="11.7109375" style="2" customWidth="1"/>
    <col min="5" max="5" width="6.421875" style="2" customWidth="1"/>
    <col min="6" max="6" width="2.8515625" style="3" customWidth="1"/>
    <col min="7" max="7" width="10.28125" style="4" customWidth="1"/>
    <col min="8" max="8" width="3.140625" style="4" customWidth="1"/>
    <col min="9" max="9" width="10.7109375" style="3" customWidth="1"/>
    <col min="10" max="10" width="3.140625" style="3" customWidth="1"/>
    <col min="11" max="11" width="11.421875" style="3" customWidth="1"/>
    <col min="12" max="12" width="2.7109375" style="3" customWidth="1"/>
    <col min="13" max="13" width="11.00390625" style="3" customWidth="1"/>
    <col min="14" max="14" width="7.00390625" style="3" customWidth="1"/>
    <col min="15" max="15" width="6.7109375" style="3" customWidth="1"/>
    <col min="16" max="16" width="6.8515625" style="3" customWidth="1"/>
    <col min="17" max="17" width="9.00390625" style="3" customWidth="1"/>
    <col min="18" max="18" width="9.28125" style="3" customWidth="1"/>
    <col min="19" max="19" width="1.57421875" style="3" customWidth="1"/>
    <col min="20" max="20" width="14.28125" style="3" customWidth="1"/>
    <col min="21" max="21" width="16.140625" style="3" customWidth="1"/>
    <col min="22" max="16384" width="8.8515625" style="3" customWidth="1"/>
  </cols>
  <sheetData>
    <row r="1" spans="2:20" ht="12.75">
      <c r="B1" s="26" t="s">
        <v>180</v>
      </c>
      <c r="C1" s="26"/>
      <c r="D1" s="9"/>
      <c r="E1" s="9"/>
      <c r="F1" s="27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2.75">
      <c r="B2" s="9"/>
      <c r="C2" s="9"/>
      <c r="D2" s="9"/>
      <c r="E2" s="9"/>
      <c r="F2" s="27"/>
      <c r="G2" s="28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12.75">
      <c r="B3" s="9"/>
      <c r="C3" s="9"/>
      <c r="D3" s="9"/>
      <c r="E3" s="9"/>
      <c r="F3" s="27"/>
      <c r="G3" s="28"/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2.75">
      <c r="A4" s="3" t="s">
        <v>85</v>
      </c>
      <c r="B4" s="26" t="str">
        <f>'emiss 1'!B5</f>
        <v>492C10</v>
      </c>
      <c r="C4" s="26" t="str">
        <f>cond!C10</f>
        <v>Trial burn - min temp/DRE</v>
      </c>
      <c r="D4" s="9"/>
      <c r="E4" s="9" t="s">
        <v>119</v>
      </c>
      <c r="F4" s="27"/>
      <c r="G4" s="29" t="s">
        <v>168</v>
      </c>
      <c r="H4" s="29"/>
      <c r="I4" s="29" t="s">
        <v>169</v>
      </c>
      <c r="J4" s="29"/>
      <c r="K4" s="29" t="s">
        <v>170</v>
      </c>
      <c r="L4" s="29"/>
      <c r="M4" s="29" t="s">
        <v>47</v>
      </c>
      <c r="N4" s="27"/>
      <c r="O4" s="27"/>
      <c r="P4" s="27"/>
      <c r="Q4" s="27"/>
      <c r="R4" s="27"/>
      <c r="S4" s="27"/>
      <c r="T4" s="27"/>
    </row>
    <row r="5" spans="2:20" ht="12.75">
      <c r="B5" s="9"/>
      <c r="C5" s="9"/>
      <c r="D5" s="9"/>
      <c r="E5" s="9"/>
      <c r="F5" s="27"/>
      <c r="N5" s="27"/>
      <c r="O5" s="27"/>
      <c r="P5" s="27"/>
      <c r="Q5" s="50"/>
      <c r="R5" s="27"/>
      <c r="S5" s="27"/>
      <c r="T5" s="27"/>
    </row>
    <row r="6" spans="2:20" ht="12.75">
      <c r="B6" s="9" t="s">
        <v>215</v>
      </c>
      <c r="C6" s="9"/>
      <c r="D6" s="9"/>
      <c r="E6" s="9"/>
      <c r="F6" s="27"/>
      <c r="G6" s="4" t="s">
        <v>217</v>
      </c>
      <c r="I6" s="4" t="s">
        <v>217</v>
      </c>
      <c r="K6" s="4" t="s">
        <v>217</v>
      </c>
      <c r="M6" s="4" t="s">
        <v>217</v>
      </c>
      <c r="N6" s="27"/>
      <c r="O6" s="27"/>
      <c r="P6" s="27"/>
      <c r="Q6" s="50"/>
      <c r="R6" s="27"/>
      <c r="S6" s="27"/>
      <c r="T6" s="27"/>
    </row>
    <row r="7" spans="2:20" ht="12.75">
      <c r="B7" s="9" t="s">
        <v>216</v>
      </c>
      <c r="C7" s="9"/>
      <c r="D7" s="9"/>
      <c r="E7" s="9"/>
      <c r="F7" s="27"/>
      <c r="G7" s="4" t="s">
        <v>25</v>
      </c>
      <c r="I7" s="4" t="s">
        <v>25</v>
      </c>
      <c r="K7" s="4" t="s">
        <v>25</v>
      </c>
      <c r="M7" s="4" t="s">
        <v>25</v>
      </c>
      <c r="N7" s="27"/>
      <c r="O7" s="27"/>
      <c r="P7" s="27"/>
      <c r="Q7" s="50"/>
      <c r="R7" s="27"/>
      <c r="S7" s="27"/>
      <c r="T7" s="27"/>
    </row>
    <row r="8" spans="2:20" ht="12.75">
      <c r="B8" s="9" t="s">
        <v>218</v>
      </c>
      <c r="C8" s="9"/>
      <c r="D8" s="9"/>
      <c r="E8" s="9"/>
      <c r="F8" s="27"/>
      <c r="G8" s="4" t="s">
        <v>25</v>
      </c>
      <c r="I8" s="4" t="s">
        <v>25</v>
      </c>
      <c r="K8" s="4" t="s">
        <v>25</v>
      </c>
      <c r="M8" s="4" t="s">
        <v>25</v>
      </c>
      <c r="N8" s="27"/>
      <c r="O8" s="27"/>
      <c r="P8" s="27"/>
      <c r="Q8" s="50"/>
      <c r="R8" s="27"/>
      <c r="S8" s="27"/>
      <c r="T8" s="27"/>
    </row>
    <row r="9" spans="2:18" s="50" customFormat="1" ht="12.75">
      <c r="B9" s="50" t="s">
        <v>48</v>
      </c>
      <c r="F9" s="48"/>
      <c r="G9" s="59" t="s">
        <v>25</v>
      </c>
      <c r="H9" s="59"/>
      <c r="I9" s="59" t="s">
        <v>25</v>
      </c>
      <c r="J9" s="59"/>
      <c r="K9" s="59" t="s">
        <v>25</v>
      </c>
      <c r="L9" s="59"/>
      <c r="M9" s="59" t="s">
        <v>25</v>
      </c>
      <c r="R9" s="54"/>
    </row>
    <row r="10" spans="2:20" ht="12.75">
      <c r="B10" s="9" t="s">
        <v>187</v>
      </c>
      <c r="C10" s="50"/>
      <c r="D10" s="9" t="s">
        <v>53</v>
      </c>
      <c r="E10" s="9"/>
      <c r="F10"/>
      <c r="G10">
        <v>14032</v>
      </c>
      <c r="H10"/>
      <c r="I10">
        <v>14645</v>
      </c>
      <c r="J10"/>
      <c r="K10">
        <v>14431</v>
      </c>
      <c r="L10"/>
      <c r="M10" s="64">
        <v>14369.333333333334</v>
      </c>
      <c r="N10" s="40"/>
      <c r="O10" s="40"/>
      <c r="P10" s="40"/>
      <c r="Q10" s="63"/>
      <c r="R10" s="27"/>
      <c r="S10" s="27"/>
      <c r="T10" s="27"/>
    </row>
    <row r="11" spans="2:20" ht="12.75">
      <c r="B11" s="9" t="s">
        <v>49</v>
      </c>
      <c r="C11" s="50"/>
      <c r="D11" s="9" t="s">
        <v>53</v>
      </c>
      <c r="E11" s="9"/>
      <c r="F11"/>
      <c r="G11" s="27">
        <v>751</v>
      </c>
      <c r="H11" s="27"/>
      <c r="I11" s="27">
        <v>802</v>
      </c>
      <c r="J11" s="27"/>
      <c r="K11" s="27">
        <v>843</v>
      </c>
      <c r="L11" s="27"/>
      <c r="M11" s="63">
        <f>AVERAGE(G11:K11)</f>
        <v>798.6666666666666</v>
      </c>
      <c r="N11" s="40"/>
      <c r="O11" s="40"/>
      <c r="P11" s="40"/>
      <c r="Q11" s="63"/>
      <c r="R11" s="27"/>
      <c r="S11" s="27"/>
      <c r="T11" s="27"/>
    </row>
    <row r="12" spans="2:20" ht="12.75">
      <c r="B12" s="9" t="s">
        <v>121</v>
      </c>
      <c r="C12" s="9"/>
      <c r="D12" s="9" t="s">
        <v>53</v>
      </c>
      <c r="E12" s="9"/>
      <c r="F12"/>
      <c r="G12" s="64">
        <v>15.9</v>
      </c>
      <c r="H12" s="64"/>
      <c r="I12" s="64">
        <v>16</v>
      </c>
      <c r="J12" s="64"/>
      <c r="K12" s="64">
        <v>16</v>
      </c>
      <c r="L12" s="64"/>
      <c r="M12" s="64">
        <v>16</v>
      </c>
      <c r="N12" s="40"/>
      <c r="O12" s="40"/>
      <c r="P12" s="40"/>
      <c r="Q12" s="63"/>
      <c r="R12" s="27"/>
      <c r="S12" s="27"/>
      <c r="T12" s="27"/>
    </row>
    <row r="13" spans="2:20" ht="12.75">
      <c r="B13" s="9" t="s">
        <v>186</v>
      </c>
      <c r="C13" s="3"/>
      <c r="D13" s="9" t="s">
        <v>123</v>
      </c>
      <c r="E13" s="9"/>
      <c r="F13"/>
      <c r="G13" s="5">
        <v>20.03636</v>
      </c>
      <c r="H13" s="5"/>
      <c r="I13" s="5">
        <v>22.993221</v>
      </c>
      <c r="J13" s="5"/>
      <c r="K13" s="5">
        <v>20.790432000000003</v>
      </c>
      <c r="L13" s="5"/>
      <c r="M13" s="64">
        <v>21.273337666666666</v>
      </c>
      <c r="N13" s="40"/>
      <c r="O13" s="40"/>
      <c r="P13" s="40"/>
      <c r="Q13" s="63"/>
      <c r="R13" s="27"/>
      <c r="S13" s="27"/>
      <c r="T13" s="27"/>
    </row>
    <row r="14" spans="2:20" ht="12.75">
      <c r="B14" s="9"/>
      <c r="C14" s="3"/>
      <c r="D14" s="9"/>
      <c r="E14" s="9"/>
      <c r="F14"/>
      <c r="G14" s="5"/>
      <c r="H14" s="5"/>
      <c r="I14" s="5"/>
      <c r="J14" s="5"/>
      <c r="K14" s="5"/>
      <c r="L14" s="5"/>
      <c r="M14" s="64"/>
      <c r="N14" s="40"/>
      <c r="O14" s="40"/>
      <c r="P14" s="40"/>
      <c r="Q14" s="63"/>
      <c r="R14" s="27"/>
      <c r="S14" s="27"/>
      <c r="T14" s="27"/>
    </row>
    <row r="15" spans="2:20" ht="12.75">
      <c r="B15" s="9" t="s">
        <v>116</v>
      </c>
      <c r="D15" s="9" t="s">
        <v>17</v>
      </c>
      <c r="E15" s="9"/>
      <c r="F15"/>
      <c r="G15">
        <f>'emiss 1'!G29</f>
        <v>7570</v>
      </c>
      <c r="H15"/>
      <c r="I15">
        <f>'emiss 1'!I29</f>
        <v>7340</v>
      </c>
      <c r="J15"/>
      <c r="K15">
        <f>'emiss 1'!K29</f>
        <v>7300</v>
      </c>
      <c r="L15"/>
      <c r="M15" s="64">
        <f>AVERAGE(K15,I15,G15)</f>
        <v>7403.333333333333</v>
      </c>
      <c r="O15" s="40"/>
      <c r="P15" s="40"/>
      <c r="Q15" s="63"/>
      <c r="R15" s="27"/>
      <c r="S15" s="27"/>
      <c r="T15" s="27"/>
    </row>
    <row r="16" spans="2:20" ht="12.75">
      <c r="B16" s="9" t="s">
        <v>117</v>
      </c>
      <c r="D16" s="9" t="s">
        <v>18</v>
      </c>
      <c r="E16" s="9"/>
      <c r="F16"/>
      <c r="G16">
        <f>'emiss 1'!G30</f>
        <v>8.8</v>
      </c>
      <c r="H16"/>
      <c r="I16">
        <f>'emiss 1'!I30</f>
        <v>9.9</v>
      </c>
      <c r="J16"/>
      <c r="K16">
        <f>'emiss 1'!K30</f>
        <v>9</v>
      </c>
      <c r="L16"/>
      <c r="M16" s="5">
        <f>AVERAGE(K16,I16,G16)</f>
        <v>9.233333333333333</v>
      </c>
      <c r="O16" s="40"/>
      <c r="P16" s="40"/>
      <c r="Q16" s="63"/>
      <c r="R16" s="27"/>
      <c r="S16" s="27"/>
      <c r="T16" s="27"/>
    </row>
    <row r="17" spans="2:20" ht="12.75">
      <c r="B17" s="9"/>
      <c r="D17" s="9"/>
      <c r="E17" s="9"/>
      <c r="F17"/>
      <c r="G17"/>
      <c r="H17"/>
      <c r="I17"/>
      <c r="J17"/>
      <c r="K17"/>
      <c r="L17"/>
      <c r="M17" s="5"/>
      <c r="O17" s="40"/>
      <c r="P17" s="40"/>
      <c r="Q17" s="63"/>
      <c r="R17" s="27"/>
      <c r="S17" s="27"/>
      <c r="T17" s="27"/>
    </row>
    <row r="18" spans="2:20" ht="12.75">
      <c r="B18" s="8" t="s">
        <v>221</v>
      </c>
      <c r="C18" s="8"/>
      <c r="D18" s="8" t="s">
        <v>123</v>
      </c>
      <c r="E18" s="9"/>
      <c r="F18"/>
      <c r="G18" s="57">
        <f>G15/9000*60*(21-G16)/21</f>
        <v>29.318730158730155</v>
      </c>
      <c r="H18"/>
      <c r="I18" s="57">
        <f>I15/9000*60*(21-I16)/21</f>
        <v>25.864761904761902</v>
      </c>
      <c r="J18"/>
      <c r="K18" s="57">
        <f>K15/9000*60*(21-K16)/21</f>
        <v>27.80952380952381</v>
      </c>
      <c r="L18"/>
      <c r="M18" s="57">
        <f>M15/9000*60*(21-M16)/21</f>
        <v>27.65477954144621</v>
      </c>
      <c r="O18" s="40"/>
      <c r="P18" s="40"/>
      <c r="Q18" s="63"/>
      <c r="R18" s="27"/>
      <c r="S18" s="27"/>
      <c r="T18" s="27"/>
    </row>
    <row r="19" spans="2:20" ht="12.75">
      <c r="B19" s="9"/>
      <c r="C19" s="3"/>
      <c r="D19" s="9"/>
      <c r="E19" s="9"/>
      <c r="F19"/>
      <c r="G19" s="5"/>
      <c r="H19" s="5"/>
      <c r="I19" s="5"/>
      <c r="J19" s="5"/>
      <c r="K19" s="5"/>
      <c r="L19" s="5"/>
      <c r="M19" s="64"/>
      <c r="N19" s="40"/>
      <c r="O19" s="40"/>
      <c r="P19" s="40"/>
      <c r="Q19" s="63"/>
      <c r="R19" s="27"/>
      <c r="S19" s="27"/>
      <c r="T19" s="27"/>
    </row>
    <row r="20" spans="2:20" ht="12.75">
      <c r="B20" s="45" t="s">
        <v>118</v>
      </c>
      <c r="C20" s="9"/>
      <c r="D20" s="9"/>
      <c r="E20" s="9"/>
      <c r="F20" s="27"/>
      <c r="G20" s="61"/>
      <c r="H20" s="61"/>
      <c r="I20" s="62"/>
      <c r="J20" s="62"/>
      <c r="K20" s="62"/>
      <c r="L20" s="62"/>
      <c r="M20" s="63"/>
      <c r="N20" s="27"/>
      <c r="O20" s="27"/>
      <c r="P20" s="27"/>
      <c r="Q20" s="30"/>
      <c r="R20" s="30"/>
      <c r="S20" s="27"/>
      <c r="T20" s="27"/>
    </row>
    <row r="21" spans="2:20" ht="12.75">
      <c r="B21" s="9" t="s">
        <v>49</v>
      </c>
      <c r="C21" s="9"/>
      <c r="D21" s="9" t="s">
        <v>61</v>
      </c>
      <c r="E21" s="9" t="s">
        <v>15</v>
      </c>
      <c r="F21"/>
      <c r="G21" s="64">
        <f>(G11/60)*454*1000/(G$15*0.0283)*(21-7)/(21-G$16)</f>
        <v>30439.00342189741</v>
      </c>
      <c r="H21" s="64"/>
      <c r="I21" s="64">
        <f>(I11/60)*454*1000/(I$15*0.0283)*(21-7)/(21-I$16)</f>
        <v>36846.94891211294</v>
      </c>
      <c r="J21" s="64"/>
      <c r="K21" s="64">
        <f>(K11/60)*454*1000/(K$15*0.0283)*(21-7)/(21-K$16)</f>
        <v>36022.15337947949</v>
      </c>
      <c r="L21" s="64"/>
      <c r="M21" s="40">
        <f>AVERAGE(G21,I21,K21)</f>
        <v>34436.03523782995</v>
      </c>
      <c r="N21" s="27"/>
      <c r="O21" s="27"/>
      <c r="P21" s="27"/>
      <c r="Q21" s="30"/>
      <c r="R21" s="30"/>
      <c r="S21" s="27"/>
      <c r="T21" s="27"/>
    </row>
    <row r="22" spans="2:20" ht="12.75">
      <c r="B22" s="9" t="s">
        <v>121</v>
      </c>
      <c r="C22" s="9"/>
      <c r="D22" s="9" t="s">
        <v>55</v>
      </c>
      <c r="E22" s="9" t="s">
        <v>15</v>
      </c>
      <c r="F22" s="29"/>
      <c r="G22" s="64">
        <f>(G12/60)*454*1000000/(G$15*0.0283)*(21-7)/(21-G$16)</f>
        <v>644447.6090654711</v>
      </c>
      <c r="H22" s="64"/>
      <c r="I22" s="64">
        <f>(I12/60)*454*1000000/(I$15*0.0283)*(21-7)/(21-I$16)</f>
        <v>735101.2251793103</v>
      </c>
      <c r="J22" s="64"/>
      <c r="K22" s="64">
        <f>(K12/60)*454*1000000/(K$15*0.0283)*(21-7)/(21-K$16)</f>
        <v>683694.4888157434</v>
      </c>
      <c r="L22" s="64"/>
      <c r="M22" s="40">
        <f>AVERAGE(G22,I22,K22)</f>
        <v>687747.7743535083</v>
      </c>
      <c r="N22" s="27"/>
      <c r="O22" s="27"/>
      <c r="P22" s="27"/>
      <c r="Q22" s="30"/>
      <c r="R22" s="30"/>
      <c r="S22" s="27"/>
      <c r="T22" s="27"/>
    </row>
    <row r="23" spans="13:20" ht="12.75">
      <c r="M23" s="63"/>
      <c r="N23" s="40"/>
      <c r="O23" s="40"/>
      <c r="P23" s="40"/>
      <c r="Q23" s="63"/>
      <c r="R23" s="27"/>
      <c r="S23" s="27"/>
      <c r="T23" s="27"/>
    </row>
    <row r="24" spans="13:20" ht="12.75">
      <c r="M24" s="63"/>
      <c r="N24" s="40"/>
      <c r="O24" s="40"/>
      <c r="P24" s="40"/>
      <c r="Q24" s="63"/>
      <c r="R24" s="27"/>
      <c r="S24" s="27"/>
      <c r="T24" s="27"/>
    </row>
    <row r="25" spans="13:20" ht="12.75">
      <c r="M25" s="63"/>
      <c r="N25" s="40"/>
      <c r="O25" s="40"/>
      <c r="P25" s="40"/>
      <c r="Q25" s="63"/>
      <c r="R25" s="27"/>
      <c r="S25" s="27"/>
      <c r="T25" s="27"/>
    </row>
    <row r="26" spans="2:20" ht="12.75">
      <c r="B26" s="26" t="str">
        <f>cond!C13</f>
        <v>492C11</v>
      </c>
      <c r="C26" s="26" t="str">
        <f>cond!C20</f>
        <v>Trial burn - worst-case metals</v>
      </c>
      <c r="D26" s="9"/>
      <c r="E26" s="9"/>
      <c r="F26" s="27"/>
      <c r="G26" s="29" t="s">
        <v>170</v>
      </c>
      <c r="H26" s="29"/>
      <c r="I26" s="29" t="s">
        <v>223</v>
      </c>
      <c r="J26" s="29"/>
      <c r="K26" s="29" t="s">
        <v>224</v>
      </c>
      <c r="L26" s="29"/>
      <c r="M26" s="29" t="s">
        <v>47</v>
      </c>
      <c r="N26" s="62"/>
      <c r="O26" s="62"/>
      <c r="P26" s="62"/>
      <c r="Q26" s="63"/>
      <c r="R26" s="27"/>
      <c r="S26" s="27"/>
      <c r="T26" s="27"/>
    </row>
    <row r="27" spans="4:20" ht="12.75">
      <c r="D27" s="9"/>
      <c r="E27" s="9"/>
      <c r="F27" s="27"/>
      <c r="G27" s="28"/>
      <c r="H27" s="28"/>
      <c r="I27" s="27"/>
      <c r="J27" s="27"/>
      <c r="K27" s="27"/>
      <c r="L27" s="27"/>
      <c r="M27" s="30"/>
      <c r="N27" s="62"/>
      <c r="O27" s="62"/>
      <c r="P27" s="62"/>
      <c r="Q27" s="63"/>
      <c r="R27" s="27"/>
      <c r="S27" s="27"/>
      <c r="T27" s="27"/>
    </row>
    <row r="28" spans="2:20" ht="12.75">
      <c r="B28" s="9" t="s">
        <v>215</v>
      </c>
      <c r="C28" s="9"/>
      <c r="D28" s="9"/>
      <c r="E28" s="9"/>
      <c r="F28" s="27"/>
      <c r="G28" s="4" t="s">
        <v>217</v>
      </c>
      <c r="I28" s="4" t="s">
        <v>217</v>
      </c>
      <c r="K28" s="4" t="s">
        <v>217</v>
      </c>
      <c r="M28" s="4" t="s">
        <v>217</v>
      </c>
      <c r="N28" s="62"/>
      <c r="O28" s="62"/>
      <c r="P28" s="62"/>
      <c r="Q28" s="63"/>
      <c r="R28" s="27"/>
      <c r="S28" s="27"/>
      <c r="T28" s="27"/>
    </row>
    <row r="29" spans="2:20" ht="12.75">
      <c r="B29" s="9" t="s">
        <v>216</v>
      </c>
      <c r="C29" s="9"/>
      <c r="D29" s="9"/>
      <c r="E29" s="9"/>
      <c r="F29" s="27"/>
      <c r="G29" s="4" t="s">
        <v>25</v>
      </c>
      <c r="I29" s="4" t="s">
        <v>25</v>
      </c>
      <c r="K29" s="4" t="s">
        <v>25</v>
      </c>
      <c r="M29" s="4" t="s">
        <v>25</v>
      </c>
      <c r="N29" s="62"/>
      <c r="O29" s="62"/>
      <c r="P29" s="62"/>
      <c r="Q29" s="63"/>
      <c r="R29" s="27"/>
      <c r="S29" s="27"/>
      <c r="T29" s="27"/>
    </row>
    <row r="30" spans="2:20" ht="12.75">
      <c r="B30" s="9" t="s">
        <v>218</v>
      </c>
      <c r="C30" s="9"/>
      <c r="D30" s="9"/>
      <c r="E30" s="9"/>
      <c r="F30" s="27"/>
      <c r="G30" s="4" t="s">
        <v>25</v>
      </c>
      <c r="I30" s="4" t="s">
        <v>25</v>
      </c>
      <c r="K30" s="4" t="s">
        <v>25</v>
      </c>
      <c r="M30" s="4" t="s">
        <v>25</v>
      </c>
      <c r="N30" s="62"/>
      <c r="O30" s="62"/>
      <c r="P30" s="62"/>
      <c r="Q30" s="63"/>
      <c r="R30" s="27"/>
      <c r="S30" s="27"/>
      <c r="T30" s="27"/>
    </row>
    <row r="31" spans="2:20" ht="12.75">
      <c r="B31" s="50" t="s">
        <v>48</v>
      </c>
      <c r="C31" s="50"/>
      <c r="D31" s="50"/>
      <c r="E31" s="50"/>
      <c r="F31" s="48"/>
      <c r="G31" s="59" t="s">
        <v>25</v>
      </c>
      <c r="H31" s="59"/>
      <c r="I31" s="59" t="s">
        <v>25</v>
      </c>
      <c r="J31" s="59"/>
      <c r="K31" s="59" t="s">
        <v>25</v>
      </c>
      <c r="L31" s="59"/>
      <c r="M31" s="59" t="s">
        <v>25</v>
      </c>
      <c r="N31" s="62"/>
      <c r="O31" s="62"/>
      <c r="P31" s="62"/>
      <c r="Q31" s="63"/>
      <c r="R31" s="27"/>
      <c r="S31" s="27"/>
      <c r="T31" s="27"/>
    </row>
    <row r="32" spans="2:20" ht="12.75">
      <c r="B32" s="9" t="s">
        <v>187</v>
      </c>
      <c r="C32" s="50"/>
      <c r="D32" s="9" t="s">
        <v>53</v>
      </c>
      <c r="E32" s="9"/>
      <c r="F32"/>
      <c r="G32">
        <v>8969</v>
      </c>
      <c r="H32"/>
      <c r="I32">
        <v>8992</v>
      </c>
      <c r="J32"/>
      <c r="K32">
        <v>9005</v>
      </c>
      <c r="L32"/>
      <c r="M32" s="64">
        <v>8988.666666666666</v>
      </c>
      <c r="N32" s="62"/>
      <c r="O32" s="62"/>
      <c r="P32" s="62"/>
      <c r="Q32" s="63"/>
      <c r="R32" s="27"/>
      <c r="S32" s="27"/>
      <c r="T32" s="27"/>
    </row>
    <row r="33" spans="2:20" ht="12.75">
      <c r="B33" s="9" t="s">
        <v>49</v>
      </c>
      <c r="C33" s="50"/>
      <c r="D33" s="9" t="s">
        <v>53</v>
      </c>
      <c r="E33" s="9"/>
      <c r="F33"/>
      <c r="G33">
        <v>361</v>
      </c>
      <c r="H33"/>
      <c r="I33">
        <v>343</v>
      </c>
      <c r="J33"/>
      <c r="K33">
        <v>327</v>
      </c>
      <c r="L33"/>
      <c r="M33" s="64">
        <v>344</v>
      </c>
      <c r="N33" s="62"/>
      <c r="O33" s="62"/>
      <c r="P33" s="62"/>
      <c r="Q33" s="63"/>
      <c r="R33" s="27"/>
      <c r="S33" s="27"/>
      <c r="T33" s="27"/>
    </row>
    <row r="34" spans="2:20" ht="12.75">
      <c r="B34" s="9" t="s">
        <v>121</v>
      </c>
      <c r="C34" s="50"/>
      <c r="D34" s="9" t="s">
        <v>53</v>
      </c>
      <c r="E34" s="9"/>
      <c r="F34"/>
      <c r="G34" s="5">
        <v>1.7938</v>
      </c>
      <c r="H34" s="5"/>
      <c r="I34" s="5">
        <v>1.7984</v>
      </c>
      <c r="J34" s="5"/>
      <c r="K34" s="5">
        <v>1.8010000000000002</v>
      </c>
      <c r="L34" s="5"/>
      <c r="M34" s="64">
        <v>1.7977333333333334</v>
      </c>
      <c r="N34" s="62"/>
      <c r="O34" s="62"/>
      <c r="P34" s="62"/>
      <c r="Q34" s="63"/>
      <c r="R34" s="27"/>
      <c r="S34" s="27"/>
      <c r="T34" s="27"/>
    </row>
    <row r="35" spans="2:20" ht="12.75">
      <c r="B35" s="9"/>
      <c r="C35" s="50"/>
      <c r="D35" s="9"/>
      <c r="E35" s="9"/>
      <c r="F35"/>
      <c r="G35" s="5"/>
      <c r="H35" s="5"/>
      <c r="I35" s="5"/>
      <c r="J35" s="5"/>
      <c r="K35" s="5"/>
      <c r="L35" s="5"/>
      <c r="M35" s="5"/>
      <c r="N35" s="62"/>
      <c r="O35" s="62"/>
      <c r="P35" s="62"/>
      <c r="Q35" s="63"/>
      <c r="R35" s="27"/>
      <c r="S35" s="27"/>
      <c r="T35" s="27"/>
    </row>
    <row r="36" spans="2:20" ht="12.75">
      <c r="B36" s="9"/>
      <c r="C36" s="50"/>
      <c r="D36" s="9"/>
      <c r="E36" s="9"/>
      <c r="F36"/>
      <c r="G36" s="5"/>
      <c r="H36" s="5"/>
      <c r="I36" s="5"/>
      <c r="J36" s="5"/>
      <c r="K36" s="5"/>
      <c r="L36" s="5"/>
      <c r="M36" s="5"/>
      <c r="N36" s="62"/>
      <c r="O36" s="62"/>
      <c r="P36" s="62"/>
      <c r="Q36" s="63"/>
      <c r="R36" s="27"/>
      <c r="S36" s="27"/>
      <c r="T36" s="27"/>
    </row>
    <row r="37" spans="2:20" ht="12.75">
      <c r="B37" s="8" t="s">
        <v>105</v>
      </c>
      <c r="C37" s="9"/>
      <c r="D37" s="9" t="s">
        <v>53</v>
      </c>
      <c r="E37" s="9"/>
      <c r="F37"/>
      <c r="G37">
        <v>0.54</v>
      </c>
      <c r="H37" s="64"/>
      <c r="I37" s="63">
        <v>0.538</v>
      </c>
      <c r="J37" s="64"/>
      <c r="K37" s="63">
        <v>0.531</v>
      </c>
      <c r="L37" s="63"/>
      <c r="M37" s="32">
        <f aca="true" t="shared" si="0" ref="M37:M43">AVERAGE(G37:K37)</f>
        <v>0.5363333333333333</v>
      </c>
      <c r="N37" s="62"/>
      <c r="O37" s="62"/>
      <c r="P37" s="62"/>
      <c r="Q37" s="63"/>
      <c r="R37" s="27"/>
      <c r="S37" s="27"/>
      <c r="T37" s="27"/>
    </row>
    <row r="38" spans="2:20" ht="12.75">
      <c r="B38" s="8" t="s">
        <v>101</v>
      </c>
      <c r="C38" s="3"/>
      <c r="D38" s="9" t="s">
        <v>53</v>
      </c>
      <c r="E38" s="9"/>
      <c r="F38"/>
      <c r="G38" s="61">
        <v>0.0191</v>
      </c>
      <c r="H38" s="5"/>
      <c r="I38" s="56">
        <v>0.0185</v>
      </c>
      <c r="J38" s="5"/>
      <c r="K38" s="56">
        <v>0.0185</v>
      </c>
      <c r="L38" s="56"/>
      <c r="M38" s="31">
        <f t="shared" si="0"/>
        <v>0.018699999999999998</v>
      </c>
      <c r="N38" s="62"/>
      <c r="O38" s="62"/>
      <c r="P38" s="62"/>
      <c r="Q38" s="63"/>
      <c r="R38" s="27"/>
      <c r="S38" s="27"/>
      <c r="T38" s="27"/>
    </row>
    <row r="39" spans="2:20" ht="12.75">
      <c r="B39" s="8" t="s">
        <v>102</v>
      </c>
      <c r="C39" s="27"/>
      <c r="D39" s="9" t="s">
        <v>53</v>
      </c>
      <c r="E39" s="9"/>
      <c r="F39" s="27"/>
      <c r="G39" s="61">
        <v>1.24</v>
      </c>
      <c r="H39" s="28"/>
      <c r="I39" s="27">
        <v>1.21</v>
      </c>
      <c r="J39" s="27"/>
      <c r="K39" s="27">
        <v>1.21</v>
      </c>
      <c r="L39" s="27"/>
      <c r="M39" s="30">
        <f t="shared" si="0"/>
        <v>1.22</v>
      </c>
      <c r="N39" s="62"/>
      <c r="O39" s="62"/>
      <c r="P39" s="62"/>
      <c r="Q39" s="63"/>
      <c r="R39" s="27"/>
      <c r="S39" s="27"/>
      <c r="T39" s="27"/>
    </row>
    <row r="40" spans="2:20" ht="12.75">
      <c r="B40" s="8" t="s">
        <v>78</v>
      </c>
      <c r="C40" s="3"/>
      <c r="D40" s="9" t="s">
        <v>53</v>
      </c>
      <c r="E40" s="9"/>
      <c r="F40"/>
      <c r="G40" s="85">
        <v>0.00399</v>
      </c>
      <c r="H40"/>
      <c r="I40" s="72">
        <v>0.00341</v>
      </c>
      <c r="J40"/>
      <c r="K40" s="72">
        <v>0.00356</v>
      </c>
      <c r="L40" s="72"/>
      <c r="M40" s="31">
        <f t="shared" si="0"/>
        <v>0.003653333333333333</v>
      </c>
      <c r="N40" s="62"/>
      <c r="O40" s="62"/>
      <c r="P40" s="62"/>
      <c r="Q40" s="63"/>
      <c r="R40" s="27"/>
      <c r="S40" s="27"/>
      <c r="T40" s="27"/>
    </row>
    <row r="41" spans="2:20" ht="12.75">
      <c r="B41" s="8" t="s">
        <v>103</v>
      </c>
      <c r="C41" s="3"/>
      <c r="D41" s="9" t="s">
        <v>53</v>
      </c>
      <c r="E41" s="9"/>
      <c r="F41" s="29"/>
      <c r="G41" s="85">
        <v>0.00818</v>
      </c>
      <c r="H41" s="61"/>
      <c r="I41" s="85">
        <v>0.00806</v>
      </c>
      <c r="J41" s="61"/>
      <c r="K41" s="85">
        <v>0.00818</v>
      </c>
      <c r="L41" s="85"/>
      <c r="M41" s="31">
        <f t="shared" si="0"/>
        <v>0.00814</v>
      </c>
      <c r="N41" s="62"/>
      <c r="O41" s="62"/>
      <c r="P41" s="62"/>
      <c r="Q41" s="63"/>
      <c r="R41" s="27"/>
      <c r="S41" s="27"/>
      <c r="T41" s="27"/>
    </row>
    <row r="42" spans="2:20" ht="12.75">
      <c r="B42" s="8" t="s">
        <v>83</v>
      </c>
      <c r="C42" s="3"/>
      <c r="D42" s="9" t="s">
        <v>53</v>
      </c>
      <c r="E42" s="9"/>
      <c r="F42" s="27"/>
      <c r="G42" s="61">
        <v>1.67</v>
      </c>
      <c r="H42" s="61"/>
      <c r="I42" s="62">
        <v>1.66</v>
      </c>
      <c r="J42" s="62"/>
      <c r="K42" s="62">
        <v>1.67</v>
      </c>
      <c r="L42" s="62"/>
      <c r="M42" s="30">
        <f t="shared" si="0"/>
        <v>1.6666666666666667</v>
      </c>
      <c r="N42" s="62"/>
      <c r="O42" s="62"/>
      <c r="P42" s="62"/>
      <c r="Q42" s="63"/>
      <c r="R42" s="30"/>
      <c r="S42" s="30"/>
      <c r="T42" s="27"/>
    </row>
    <row r="43" spans="2:20" ht="12.75">
      <c r="B43" s="8" t="s">
        <v>77</v>
      </c>
      <c r="C43" s="3"/>
      <c r="D43" s="9" t="s">
        <v>53</v>
      </c>
      <c r="E43" s="9"/>
      <c r="F43" s="27"/>
      <c r="G43" s="61">
        <v>0.052</v>
      </c>
      <c r="H43" s="27"/>
      <c r="I43" s="62">
        <v>0.0485</v>
      </c>
      <c r="J43" s="27"/>
      <c r="K43" s="62">
        <v>0.0521</v>
      </c>
      <c r="L43" s="62"/>
      <c r="M43" s="31">
        <f t="shared" si="0"/>
        <v>0.05086666666666667</v>
      </c>
      <c r="N43" s="62"/>
      <c r="O43" s="62"/>
      <c r="P43" s="62"/>
      <c r="Q43" s="63"/>
      <c r="R43" s="10"/>
      <c r="S43" s="10"/>
      <c r="T43" s="27"/>
    </row>
    <row r="44" spans="2:20" ht="12.75">
      <c r="B44" s="8" t="s">
        <v>79</v>
      </c>
      <c r="C44" s="3"/>
      <c r="D44" s="9" t="s">
        <v>53</v>
      </c>
      <c r="E44" s="9"/>
      <c r="F44" s="17"/>
      <c r="G44" s="61">
        <v>0.0967</v>
      </c>
      <c r="H44" s="61"/>
      <c r="I44" s="18">
        <v>0.0966</v>
      </c>
      <c r="J44" s="62"/>
      <c r="K44" s="18">
        <v>0.0966</v>
      </c>
      <c r="L44" s="18"/>
      <c r="M44" s="32">
        <f aca="true" t="shared" si="1" ref="M44:M49">AVERAGE(G44:K44)</f>
        <v>0.09663333333333333</v>
      </c>
      <c r="N44" s="62"/>
      <c r="O44" s="62"/>
      <c r="P44" s="62"/>
      <c r="Q44" s="63"/>
      <c r="R44" s="10"/>
      <c r="S44" s="10"/>
      <c r="T44" s="27"/>
    </row>
    <row r="45" spans="2:20" ht="12.75">
      <c r="B45" s="8" t="s">
        <v>104</v>
      </c>
      <c r="C45" s="3"/>
      <c r="D45" s="9" t="s">
        <v>53</v>
      </c>
      <c r="E45" s="9"/>
      <c r="F45" s="17"/>
      <c r="G45" s="61">
        <v>5.54</v>
      </c>
      <c r="H45" s="61"/>
      <c r="I45" s="24">
        <v>5.49</v>
      </c>
      <c r="J45" s="18"/>
      <c r="K45" s="24">
        <v>5.51</v>
      </c>
      <c r="L45" s="24"/>
      <c r="M45" s="30">
        <f t="shared" si="1"/>
        <v>5.513333333333333</v>
      </c>
      <c r="N45" s="62"/>
      <c r="O45" s="62"/>
      <c r="P45" s="62"/>
      <c r="Q45" s="63"/>
      <c r="R45" s="10"/>
      <c r="S45" s="10"/>
      <c r="T45" s="27"/>
    </row>
    <row r="46" spans="2:20" ht="12.75">
      <c r="B46" s="8" t="s">
        <v>106</v>
      </c>
      <c r="C46" s="3"/>
      <c r="D46" s="9" t="s">
        <v>53</v>
      </c>
      <c r="E46" s="9"/>
      <c r="F46" s="17"/>
      <c r="G46" s="61">
        <v>0.1</v>
      </c>
      <c r="H46" s="61"/>
      <c r="I46" s="18">
        <v>0.101</v>
      </c>
      <c r="J46" s="18"/>
      <c r="K46" s="18">
        <v>0.101</v>
      </c>
      <c r="L46" s="18"/>
      <c r="M46" s="32">
        <f t="shared" si="1"/>
        <v>0.10066666666666668</v>
      </c>
      <c r="N46" s="32"/>
      <c r="O46" s="62"/>
      <c r="P46" s="62"/>
      <c r="Q46" s="63"/>
      <c r="R46" s="27"/>
      <c r="S46" s="27"/>
      <c r="T46" s="27"/>
    </row>
    <row r="47" spans="2:20" ht="12.75">
      <c r="B47" s="8" t="s">
        <v>100</v>
      </c>
      <c r="C47" s="3"/>
      <c r="D47" s="9" t="s">
        <v>53</v>
      </c>
      <c r="E47" s="9"/>
      <c r="F47" s="27"/>
      <c r="G47" s="27">
        <v>0.156</v>
      </c>
      <c r="H47" s="27"/>
      <c r="I47" s="61">
        <v>0.155</v>
      </c>
      <c r="J47" s="27"/>
      <c r="K47" s="61">
        <v>0.157</v>
      </c>
      <c r="L47" s="61"/>
      <c r="M47" s="32">
        <f t="shared" si="1"/>
        <v>0.156</v>
      </c>
      <c r="N47" s="32"/>
      <c r="O47" s="62"/>
      <c r="P47" s="62"/>
      <c r="Q47" s="63"/>
      <c r="R47" s="27"/>
      <c r="S47" s="27"/>
      <c r="T47" s="27"/>
    </row>
    <row r="48" spans="2:20" ht="12.75">
      <c r="B48" s="8" t="s">
        <v>107</v>
      </c>
      <c r="C48" s="3"/>
      <c r="D48" s="9" t="s">
        <v>53</v>
      </c>
      <c r="E48" s="9"/>
      <c r="F48" s="17"/>
      <c r="G48" s="27">
        <v>0.225</v>
      </c>
      <c r="H48" s="17"/>
      <c r="I48" s="61">
        <v>0.225</v>
      </c>
      <c r="J48" s="17"/>
      <c r="K48" s="61">
        <v>0.227</v>
      </c>
      <c r="L48" s="61"/>
      <c r="M48" s="32">
        <f t="shared" si="1"/>
        <v>0.22566666666666668</v>
      </c>
      <c r="N48" s="32"/>
      <c r="O48" s="27"/>
      <c r="P48" s="27"/>
      <c r="Q48" s="27"/>
      <c r="R48" s="27"/>
      <c r="S48" s="27"/>
      <c r="T48" s="27"/>
    </row>
    <row r="49" spans="2:20" ht="12.75">
      <c r="B49" s="8" t="s">
        <v>108</v>
      </c>
      <c r="C49" s="3"/>
      <c r="D49" s="9" t="s">
        <v>53</v>
      </c>
      <c r="E49" s="9"/>
      <c r="F49" s="17"/>
      <c r="G49" s="27">
        <v>7.81</v>
      </c>
      <c r="H49" s="17"/>
      <c r="I49" s="61">
        <v>7.65</v>
      </c>
      <c r="J49" s="17"/>
      <c r="K49" s="61">
        <v>7.91</v>
      </c>
      <c r="L49" s="61"/>
      <c r="M49" s="32">
        <f t="shared" si="1"/>
        <v>7.79</v>
      </c>
      <c r="N49" s="27"/>
      <c r="O49" s="27"/>
      <c r="P49" s="27"/>
      <c r="Q49" s="27"/>
      <c r="R49" s="27"/>
      <c r="S49" s="27"/>
      <c r="T49" s="27"/>
    </row>
    <row r="50" spans="2:20" ht="12.75">
      <c r="B50" s="8"/>
      <c r="C50" s="3"/>
      <c r="D50" s="9"/>
      <c r="E50" s="9"/>
      <c r="F50" s="17"/>
      <c r="G50" s="27"/>
      <c r="H50" s="17"/>
      <c r="I50" s="61"/>
      <c r="J50" s="17"/>
      <c r="K50" s="61"/>
      <c r="L50" s="61"/>
      <c r="M50" s="32"/>
      <c r="N50" s="27"/>
      <c r="O50" s="27"/>
      <c r="P50" s="27"/>
      <c r="Q50" s="27"/>
      <c r="R50" s="27"/>
      <c r="S50" s="27"/>
      <c r="T50" s="27"/>
    </row>
    <row r="51" spans="2:20" ht="13.5" customHeight="1">
      <c r="B51" s="8"/>
      <c r="C51" s="3"/>
      <c r="D51" s="9"/>
      <c r="E51" s="9"/>
      <c r="F51" s="17"/>
      <c r="G51" s="61"/>
      <c r="H51" s="61"/>
      <c r="I51" s="18"/>
      <c r="J51" s="18"/>
      <c r="K51" s="18"/>
      <c r="L51" s="18"/>
      <c r="M51" s="64"/>
      <c r="N51" s="62"/>
      <c r="O51" s="62"/>
      <c r="P51" s="62"/>
      <c r="Q51" s="63"/>
      <c r="R51" s="27"/>
      <c r="S51" s="27"/>
      <c r="T51" s="27"/>
    </row>
    <row r="52" spans="2:20" ht="12.75">
      <c r="B52" s="9" t="s">
        <v>116</v>
      </c>
      <c r="D52" s="9" t="s">
        <v>17</v>
      </c>
      <c r="E52" s="9"/>
      <c r="F52" s="27"/>
      <c r="G52" s="61">
        <f>'emiss 1'!G54</f>
        <v>6900</v>
      </c>
      <c r="H52" s="61"/>
      <c r="I52" s="61">
        <f>'emiss 1'!I54</f>
        <v>6900</v>
      </c>
      <c r="J52" s="62"/>
      <c r="K52" s="61">
        <f>'emiss 1'!K54</f>
        <v>7390</v>
      </c>
      <c r="L52" s="18"/>
      <c r="M52" s="40">
        <f>AVERAGE(G52,I52,K52)</f>
        <v>7063.333333333333</v>
      </c>
      <c r="N52" s="27"/>
      <c r="O52" s="27"/>
      <c r="P52" s="27"/>
      <c r="Q52" s="30"/>
      <c r="R52" s="30"/>
      <c r="S52" s="27"/>
      <c r="T52" s="27"/>
    </row>
    <row r="53" spans="2:20" ht="12.75">
      <c r="B53" s="9" t="s">
        <v>117</v>
      </c>
      <c r="D53" s="9" t="s">
        <v>18</v>
      </c>
      <c r="E53" s="9"/>
      <c r="F53" s="27"/>
      <c r="G53" s="61">
        <f>'emiss 1'!G55</f>
        <v>9.9</v>
      </c>
      <c r="H53" s="61"/>
      <c r="I53" s="61">
        <f>'emiss 1'!I55</f>
        <v>9.8</v>
      </c>
      <c r="J53" s="62"/>
      <c r="K53" s="61">
        <f>'emiss 1'!K55</f>
        <v>9.6</v>
      </c>
      <c r="L53" s="18"/>
      <c r="M53" s="40">
        <f>AVERAGE(G53,I53,K53)</f>
        <v>9.766666666666667</v>
      </c>
      <c r="N53" s="27"/>
      <c r="O53" s="27"/>
      <c r="P53" s="27"/>
      <c r="Q53" s="30"/>
      <c r="R53" s="30"/>
      <c r="S53" s="27"/>
      <c r="T53" s="27"/>
    </row>
    <row r="54" spans="2:20" ht="12.75">
      <c r="B54" s="9"/>
      <c r="D54" s="9"/>
      <c r="E54" s="9"/>
      <c r="F54" s="27"/>
      <c r="G54" s="61"/>
      <c r="H54" s="61"/>
      <c r="I54" s="24"/>
      <c r="J54" s="62"/>
      <c r="K54" s="18"/>
      <c r="L54" s="18"/>
      <c r="M54" s="40"/>
      <c r="N54" s="27"/>
      <c r="O54" s="27"/>
      <c r="P54" s="27"/>
      <c r="Q54" s="30"/>
      <c r="R54" s="30"/>
      <c r="S54" s="27"/>
      <c r="T54" s="27"/>
    </row>
    <row r="55" spans="2:20" ht="12.75">
      <c r="B55" s="8" t="s">
        <v>221</v>
      </c>
      <c r="C55" s="8"/>
      <c r="D55" s="8" t="s">
        <v>123</v>
      </c>
      <c r="E55" s="9"/>
      <c r="F55" s="27"/>
      <c r="G55" s="57">
        <f>G52/9000*60*(21-G53)/21</f>
        <v>24.314285714285713</v>
      </c>
      <c r="H55"/>
      <c r="I55" s="57">
        <f>I52/9000*60*(21-I53)/21</f>
        <v>24.53333333333333</v>
      </c>
      <c r="J55"/>
      <c r="K55" s="57">
        <f>K52/9000*60*(21-K53)/21</f>
        <v>26.744761904761905</v>
      </c>
      <c r="L55"/>
      <c r="M55" s="57">
        <f>M52/9000*60*(21-M53)/21</f>
        <v>25.18881834215167</v>
      </c>
      <c r="N55" s="27"/>
      <c r="O55" s="27"/>
      <c r="P55" s="27"/>
      <c r="Q55" s="30"/>
      <c r="R55" s="30"/>
      <c r="S55" s="27"/>
      <c r="T55" s="27"/>
    </row>
    <row r="56" spans="2:20" ht="12.75">
      <c r="B56" s="9"/>
      <c r="C56" s="3"/>
      <c r="D56" s="9"/>
      <c r="E56" s="9"/>
      <c r="F56" s="27"/>
      <c r="G56" s="61"/>
      <c r="H56" s="61"/>
      <c r="I56" s="18"/>
      <c r="J56" s="62"/>
      <c r="K56" s="18"/>
      <c r="L56" s="18"/>
      <c r="M56" s="40"/>
      <c r="N56" s="62"/>
      <c r="O56" s="62"/>
      <c r="P56" s="62"/>
      <c r="Q56" s="63"/>
      <c r="R56" s="27"/>
      <c r="S56" s="27"/>
      <c r="T56" s="27"/>
    </row>
    <row r="57" spans="2:20" ht="12.75">
      <c r="B57" s="45" t="s">
        <v>118</v>
      </c>
      <c r="C57" s="9"/>
      <c r="D57" s="9"/>
      <c r="E57" s="9"/>
      <c r="F57" s="27"/>
      <c r="G57" s="61"/>
      <c r="H57" s="61"/>
      <c r="I57" s="62"/>
      <c r="J57" s="62"/>
      <c r="K57" s="62"/>
      <c r="L57" s="62"/>
      <c r="M57" s="40"/>
      <c r="N57" s="27"/>
      <c r="O57" s="27"/>
      <c r="P57" s="27"/>
      <c r="Q57" s="30"/>
      <c r="R57" s="30"/>
      <c r="S57" s="27"/>
      <c r="T57" s="27"/>
    </row>
    <row r="58" spans="2:20" ht="12.75">
      <c r="B58" s="9" t="s">
        <v>49</v>
      </c>
      <c r="C58" s="9"/>
      <c r="D58" s="9" t="s">
        <v>61</v>
      </c>
      <c r="E58" s="9" t="s">
        <v>15</v>
      </c>
      <c r="F58"/>
      <c r="G58" s="64">
        <f>(G33/60)*454*1000/(G$52*0.0283)*(21-7)/(21-G$53)</f>
        <v>17643.361597886105</v>
      </c>
      <c r="H58" s="64"/>
      <c r="I58" s="64">
        <f>(I33/60)*454*1000/(I$52*0.0283)*(21-7)/(21-I$53)</f>
        <v>16613.961864768444</v>
      </c>
      <c r="J58" s="64"/>
      <c r="K58" s="64">
        <f>(K33/60)*454*1000/(K$52*0.0283)*(21-7)/(21-K$53)</f>
        <v>14529.299144042992</v>
      </c>
      <c r="L58" s="64"/>
      <c r="M58" s="40">
        <f aca="true" t="shared" si="2" ref="M58:M71">AVERAGE(G58,I58,K58)</f>
        <v>16262.207535565845</v>
      </c>
      <c r="N58" s="27"/>
      <c r="O58" s="27"/>
      <c r="P58" s="27"/>
      <c r="Q58" s="30"/>
      <c r="R58" s="30"/>
      <c r="S58" s="27"/>
      <c r="T58" s="27"/>
    </row>
    <row r="59" spans="2:20" ht="12.75">
      <c r="B59" s="9" t="s">
        <v>121</v>
      </c>
      <c r="C59" s="9"/>
      <c r="D59" s="9" t="s">
        <v>55</v>
      </c>
      <c r="E59" s="9" t="s">
        <v>15</v>
      </c>
      <c r="F59" s="29"/>
      <c r="G59" s="64">
        <f>(G34/60)*454*1000000/(G$52*0.0283)*(21-7)/(21-G$53)</f>
        <v>87669.42391769555</v>
      </c>
      <c r="H59" s="72"/>
      <c r="I59" s="64">
        <f>(I34/60)*454*1000000/(I$52*0.0283)*(21-7)/(21-I$53)</f>
        <v>87109.4723545177</v>
      </c>
      <c r="J59" s="72"/>
      <c r="K59" s="64">
        <f>(K34/60)*454*1000000/(K$52*0.0283)*(21-7)/(21-K$53)</f>
        <v>80022.22556092181</v>
      </c>
      <c r="L59" s="64"/>
      <c r="M59" s="40">
        <f t="shared" si="2"/>
        <v>84933.7072777117</v>
      </c>
      <c r="N59" s="27"/>
      <c r="O59" s="27"/>
      <c r="P59" s="27"/>
      <c r="Q59" s="30"/>
      <c r="R59" s="30"/>
      <c r="S59" s="27"/>
      <c r="T59" s="27"/>
    </row>
    <row r="60" spans="2:20" ht="12.75">
      <c r="B60" s="9" t="s">
        <v>105</v>
      </c>
      <c r="C60" s="9"/>
      <c r="D60" s="9" t="s">
        <v>55</v>
      </c>
      <c r="E60" s="9" t="s">
        <v>15</v>
      </c>
      <c r="F60"/>
      <c r="G60" s="64">
        <f aca="true" t="shared" si="3" ref="G60:G71">(G37/60)*454*1000000/(G$52*0.0283)*(21-7)/(21-G$53)</f>
        <v>26391.73203007894</v>
      </c>
      <c r="H60" s="64"/>
      <c r="I60" s="64">
        <f aca="true" t="shared" si="4" ref="I60:I71">(I37/60)*454*1000000/(I$52*0.0283)*(21-7)/(21-I$53)</f>
        <v>26059.21715231902</v>
      </c>
      <c r="J60" s="64"/>
      <c r="K60" s="64">
        <f aca="true" t="shared" si="5" ref="K60:K71">(K37/60)*454*1000000/(K$52*0.0283)*(21-7)/(21-K$53)</f>
        <v>23593.449068767062</v>
      </c>
      <c r="L60" s="64"/>
      <c r="M60" s="40">
        <f t="shared" si="2"/>
        <v>25348.13275038834</v>
      </c>
      <c r="N60" s="27"/>
      <c r="O60" s="27"/>
      <c r="P60" s="27"/>
      <c r="Q60" s="30"/>
      <c r="R60" s="30"/>
      <c r="S60" s="27"/>
      <c r="T60" s="27"/>
    </row>
    <row r="61" spans="2:20" ht="12.75">
      <c r="B61" s="9" t="s">
        <v>101</v>
      </c>
      <c r="C61" s="9"/>
      <c r="D61" s="9" t="s">
        <v>55</v>
      </c>
      <c r="E61" s="9" t="s">
        <v>15</v>
      </c>
      <c r="F61" s="29"/>
      <c r="G61" s="64">
        <f t="shared" si="3"/>
        <v>933.4853366194588</v>
      </c>
      <c r="H61" s="72"/>
      <c r="I61" s="64">
        <f t="shared" si="4"/>
        <v>896.0883221522336</v>
      </c>
      <c r="J61" s="72"/>
      <c r="K61" s="64">
        <f t="shared" si="5"/>
        <v>821.9939882715453</v>
      </c>
      <c r="L61" s="64"/>
      <c r="M61" s="40">
        <f t="shared" si="2"/>
        <v>883.8558823477459</v>
      </c>
      <c r="N61" s="27"/>
      <c r="O61" s="27"/>
      <c r="P61" s="27"/>
      <c r="Q61" s="30"/>
      <c r="R61" s="30"/>
      <c r="S61" s="27"/>
      <c r="T61" s="27"/>
    </row>
    <row r="62" spans="2:20" ht="12.75">
      <c r="B62" s="9" t="s">
        <v>102</v>
      </c>
      <c r="C62" s="9"/>
      <c r="D62" s="9" t="s">
        <v>55</v>
      </c>
      <c r="E62" s="9" t="s">
        <v>15</v>
      </c>
      <c r="F62" s="27"/>
      <c r="G62" s="64">
        <f t="shared" si="3"/>
        <v>60603.2365135146</v>
      </c>
      <c r="H62" s="61"/>
      <c r="I62" s="64">
        <f t="shared" si="4"/>
        <v>58609.019989416374</v>
      </c>
      <c r="J62" s="62"/>
      <c r="K62" s="64">
        <f t="shared" si="5"/>
        <v>53762.85004370647</v>
      </c>
      <c r="L62" s="64"/>
      <c r="M62" s="40">
        <f t="shared" si="2"/>
        <v>57658.36884887915</v>
      </c>
      <c r="N62" s="27"/>
      <c r="O62" s="27"/>
      <c r="P62" s="27"/>
      <c r="Q62" s="30"/>
      <c r="R62" s="30"/>
      <c r="S62" s="27"/>
      <c r="T62" s="27"/>
    </row>
    <row r="63" spans="2:20" ht="12.75">
      <c r="B63" s="9" t="s">
        <v>78</v>
      </c>
      <c r="C63" s="9"/>
      <c r="D63" s="9" t="s">
        <v>55</v>
      </c>
      <c r="E63" s="9" t="s">
        <v>15</v>
      </c>
      <c r="F63" s="27"/>
      <c r="G63" s="64">
        <f t="shared" si="3"/>
        <v>195.00557555558322</v>
      </c>
      <c r="H63" s="27"/>
      <c r="I63" s="64">
        <f t="shared" si="4"/>
        <v>165.17087451562796</v>
      </c>
      <c r="J63" s="27"/>
      <c r="K63" s="64">
        <f t="shared" si="5"/>
        <v>158.17830260792982</v>
      </c>
      <c r="L63" s="64"/>
      <c r="M63" s="40">
        <f t="shared" si="2"/>
        <v>172.78491755971368</v>
      </c>
      <c r="N63" s="27"/>
      <c r="O63" s="27"/>
      <c r="P63" s="27"/>
      <c r="Q63" s="30"/>
      <c r="R63" s="30"/>
      <c r="S63" s="27"/>
      <c r="T63" s="27"/>
    </row>
    <row r="64" spans="2:20" ht="12.75">
      <c r="B64" s="9" t="s">
        <v>103</v>
      </c>
      <c r="C64" s="9"/>
      <c r="D64" s="9" t="s">
        <v>55</v>
      </c>
      <c r="E64" s="9" t="s">
        <v>15</v>
      </c>
      <c r="F64" s="17"/>
      <c r="G64" s="64">
        <f t="shared" si="3"/>
        <v>399.78586667786243</v>
      </c>
      <c r="H64" s="61"/>
      <c r="I64" s="64">
        <f t="shared" si="4"/>
        <v>390.403885218757</v>
      </c>
      <c r="J64" s="62"/>
      <c r="K64" s="64">
        <f t="shared" si="5"/>
        <v>363.4546391384455</v>
      </c>
      <c r="L64" s="64"/>
      <c r="M64" s="40">
        <f t="shared" si="2"/>
        <v>384.54813034502166</v>
      </c>
      <c r="N64" s="27"/>
      <c r="O64" s="27"/>
      <c r="P64" s="27"/>
      <c r="Q64" s="30"/>
      <c r="R64" s="30"/>
      <c r="S64" s="27"/>
      <c r="T64" s="27"/>
    </row>
    <row r="65" spans="2:20" ht="12.75">
      <c r="B65" s="9" t="s">
        <v>83</v>
      </c>
      <c r="C65" s="9"/>
      <c r="D65" s="9" t="s">
        <v>55</v>
      </c>
      <c r="E65" s="9" t="s">
        <v>15</v>
      </c>
      <c r="F65" s="17"/>
      <c r="G65" s="64">
        <f t="shared" si="3"/>
        <v>81618.87498191078</v>
      </c>
      <c r="H65" s="61"/>
      <c r="I65" s="64">
        <f t="shared" si="4"/>
        <v>80405.76296068692</v>
      </c>
      <c r="J65" s="18"/>
      <c r="K65" s="64">
        <f t="shared" si="5"/>
        <v>74201.61948180977</v>
      </c>
      <c r="L65" s="64"/>
      <c r="M65" s="40">
        <f t="shared" si="2"/>
        <v>78742.08580813582</v>
      </c>
      <c r="N65" s="27"/>
      <c r="O65" s="27"/>
      <c r="P65" s="27"/>
      <c r="Q65" s="30"/>
      <c r="R65" s="30"/>
      <c r="S65" s="27"/>
      <c r="T65" s="27"/>
    </row>
    <row r="66" spans="2:20" ht="12.75">
      <c r="B66" s="9" t="s">
        <v>77</v>
      </c>
      <c r="C66" s="9"/>
      <c r="D66" s="9" t="s">
        <v>55</v>
      </c>
      <c r="E66" s="9" t="s">
        <v>15</v>
      </c>
      <c r="F66" s="17"/>
      <c r="G66" s="64">
        <f t="shared" si="3"/>
        <v>2541.4260473409345</v>
      </c>
      <c r="H66" s="61"/>
      <c r="I66" s="64">
        <f t="shared" si="4"/>
        <v>2349.204520236937</v>
      </c>
      <c r="J66" s="18"/>
      <c r="K66" s="64">
        <f t="shared" si="5"/>
        <v>2314.9127994025685</v>
      </c>
      <c r="L66" s="64"/>
      <c r="M66" s="40">
        <f t="shared" si="2"/>
        <v>2401.8477889934798</v>
      </c>
      <c r="N66" s="27"/>
      <c r="O66" s="27"/>
      <c r="P66" s="27"/>
      <c r="Q66" s="30"/>
      <c r="R66" s="30"/>
      <c r="S66" s="27"/>
      <c r="T66" s="27"/>
    </row>
    <row r="67" spans="2:20" ht="12.75">
      <c r="B67" s="9" t="s">
        <v>79</v>
      </c>
      <c r="C67" s="9"/>
      <c r="D67" s="9" t="s">
        <v>55</v>
      </c>
      <c r="E67" s="9" t="s">
        <v>15</v>
      </c>
      <c r="F67" s="27"/>
      <c r="G67" s="64">
        <f t="shared" si="3"/>
        <v>4726.074976497469</v>
      </c>
      <c r="H67" s="27"/>
      <c r="I67" s="64">
        <f t="shared" si="4"/>
        <v>4679.034157832745</v>
      </c>
      <c r="J67" s="27"/>
      <c r="K67" s="64">
        <f t="shared" si="5"/>
        <v>4292.141582001691</v>
      </c>
      <c r="L67" s="64"/>
      <c r="M67" s="40">
        <f t="shared" si="2"/>
        <v>4565.750238777302</v>
      </c>
      <c r="N67" s="27"/>
      <c r="O67" s="27"/>
      <c r="P67" s="27"/>
      <c r="Q67" s="30"/>
      <c r="R67" s="30"/>
      <c r="S67" s="27"/>
      <c r="T67" s="27"/>
    </row>
    <row r="68" spans="2:20" ht="12.75">
      <c r="B68" s="9" t="s">
        <v>106</v>
      </c>
      <c r="C68" s="9"/>
      <c r="D68" s="9" t="s">
        <v>55</v>
      </c>
      <c r="E68" s="9" t="s">
        <v>15</v>
      </c>
      <c r="F68" s="27"/>
      <c r="G68" s="64">
        <f t="shared" si="3"/>
        <v>270759.6211974765</v>
      </c>
      <c r="H68" s="27"/>
      <c r="I68" s="64">
        <f t="shared" si="4"/>
        <v>265920.26424950076</v>
      </c>
      <c r="J68" s="27"/>
      <c r="K68" s="64">
        <f t="shared" si="5"/>
        <v>244820.91218249814</v>
      </c>
      <c r="L68" s="64"/>
      <c r="M68" s="40">
        <f t="shared" si="2"/>
        <v>260500.26587649182</v>
      </c>
      <c r="N68" s="27"/>
      <c r="O68" s="27"/>
      <c r="P68" s="27"/>
      <c r="Q68" s="30"/>
      <c r="R68" s="30"/>
      <c r="S68" s="27"/>
      <c r="T68" s="27"/>
    </row>
    <row r="69" spans="2:20" ht="12.75">
      <c r="B69" s="9" t="s">
        <v>100</v>
      </c>
      <c r="C69" s="9"/>
      <c r="D69" s="9" t="s">
        <v>55</v>
      </c>
      <c r="E69" s="9" t="s">
        <v>15</v>
      </c>
      <c r="F69" s="17"/>
      <c r="G69" s="64">
        <f t="shared" si="3"/>
        <v>4887.357783347952</v>
      </c>
      <c r="H69" s="17"/>
      <c r="I69" s="64">
        <f t="shared" si="4"/>
        <v>4892.157866885168</v>
      </c>
      <c r="J69" s="17"/>
      <c r="K69" s="64">
        <f t="shared" si="5"/>
        <v>4487.642854887898</v>
      </c>
      <c r="L69" s="64"/>
      <c r="M69" s="40">
        <f t="shared" si="2"/>
        <v>4755.719501707005</v>
      </c>
      <c r="N69" s="27"/>
      <c r="O69" s="27"/>
      <c r="P69" s="27"/>
      <c r="Q69" s="30"/>
      <c r="R69" s="30"/>
      <c r="S69" s="27"/>
      <c r="T69" s="27"/>
    </row>
    <row r="70" spans="2:20" ht="12.75">
      <c r="B70" s="9" t="s">
        <v>107</v>
      </c>
      <c r="C70" s="9"/>
      <c r="D70" s="9" t="s">
        <v>55</v>
      </c>
      <c r="E70" s="9" t="s">
        <v>15</v>
      </c>
      <c r="F70" s="17"/>
      <c r="G70" s="64">
        <f t="shared" si="3"/>
        <v>7624.278142022804</v>
      </c>
      <c r="H70" s="17"/>
      <c r="I70" s="64">
        <f t="shared" si="4"/>
        <v>7507.7670234376355</v>
      </c>
      <c r="J70" s="17"/>
      <c r="K70" s="64">
        <f t="shared" si="5"/>
        <v>6975.840873439603</v>
      </c>
      <c r="L70" s="64"/>
      <c r="M70" s="40">
        <f t="shared" si="2"/>
        <v>7369.295346300015</v>
      </c>
      <c r="N70" s="27"/>
      <c r="O70" s="27"/>
      <c r="P70" s="27"/>
      <c r="Q70" s="30"/>
      <c r="R70" s="30"/>
      <c r="S70" s="27"/>
      <c r="T70" s="27"/>
    </row>
    <row r="71" spans="2:20" ht="12.75">
      <c r="B71" s="9" t="s">
        <v>108</v>
      </c>
      <c r="C71" s="9"/>
      <c r="D71" s="9" t="s">
        <v>55</v>
      </c>
      <c r="E71" s="9" t="s">
        <v>15</v>
      </c>
      <c r="F71" s="17"/>
      <c r="G71" s="64">
        <f t="shared" si="3"/>
        <v>10996.555012532892</v>
      </c>
      <c r="H71" s="17"/>
      <c r="I71" s="64">
        <f t="shared" si="4"/>
        <v>10898.371485635278</v>
      </c>
      <c r="J71" s="17"/>
      <c r="K71" s="64">
        <f t="shared" si="5"/>
        <v>10086.088396629233</v>
      </c>
      <c r="L71" s="64"/>
      <c r="M71" s="40">
        <f t="shared" si="2"/>
        <v>10660.3382982658</v>
      </c>
      <c r="N71" s="27"/>
      <c r="O71" s="27"/>
      <c r="P71" s="27"/>
      <c r="Q71" s="30"/>
      <c r="R71" s="30"/>
      <c r="S71" s="27"/>
      <c r="T71" s="27"/>
    </row>
    <row r="73" spans="2:18" s="27" customFormat="1" ht="12.75">
      <c r="B73" s="9" t="s">
        <v>56</v>
      </c>
      <c r="C73" s="9"/>
      <c r="D73" s="9" t="s">
        <v>55</v>
      </c>
      <c r="E73" s="9" t="s">
        <v>15</v>
      </c>
      <c r="G73" s="69">
        <f>G64+G66</f>
        <v>2941.211914018797</v>
      </c>
      <c r="H73" s="69"/>
      <c r="I73" s="69">
        <f>I64+I66</f>
        <v>2739.6084054556936</v>
      </c>
      <c r="J73" s="69"/>
      <c r="K73" s="69">
        <f>K64+K66</f>
        <v>2678.367438541014</v>
      </c>
      <c r="L73" s="69"/>
      <c r="M73" s="40">
        <f>AVERAGE(G73,I73,K73)</f>
        <v>2786.3959193385017</v>
      </c>
      <c r="R73" s="30"/>
    </row>
    <row r="74" spans="2:18" s="27" customFormat="1" ht="12.75">
      <c r="B74" s="9" t="s">
        <v>57</v>
      </c>
      <c r="C74" s="9"/>
      <c r="D74" s="9" t="s">
        <v>55</v>
      </c>
      <c r="E74" s="9" t="s">
        <v>15</v>
      </c>
      <c r="G74" s="69">
        <f>G61+G63+G65</f>
        <v>82747.36589408581</v>
      </c>
      <c r="H74" s="69"/>
      <c r="I74" s="69">
        <f>I61+I63+I65</f>
        <v>81467.02215735478</v>
      </c>
      <c r="J74" s="69"/>
      <c r="K74" s="69">
        <f>K61+K63+K65</f>
        <v>75181.79177268925</v>
      </c>
      <c r="L74" s="69"/>
      <c r="M74" s="40">
        <f>AVERAGE(G74,I74,K74)</f>
        <v>79798.72660804329</v>
      </c>
      <c r="R74" s="30"/>
    </row>
    <row r="78" spans="2:20" ht="12.75">
      <c r="B78" s="26"/>
      <c r="C78" s="26"/>
      <c r="D78" s="9"/>
      <c r="E78" s="9"/>
      <c r="F78" s="27"/>
      <c r="G78" s="28"/>
      <c r="H78" s="28"/>
      <c r="I78" s="27"/>
      <c r="J78" s="27"/>
      <c r="K78" s="27"/>
      <c r="L78" s="27"/>
      <c r="M78" s="75"/>
      <c r="N78" s="27"/>
      <c r="O78" s="27"/>
      <c r="P78" s="27"/>
      <c r="Q78" s="30"/>
      <c r="R78" s="30"/>
      <c r="S78" s="27"/>
      <c r="T78" s="27"/>
    </row>
    <row r="79" spans="3:20" ht="12.75">
      <c r="C79" s="26"/>
      <c r="D79" s="9"/>
      <c r="E79" s="9"/>
      <c r="F79" s="27"/>
      <c r="G79" s="28"/>
      <c r="H79" s="28"/>
      <c r="I79" s="27"/>
      <c r="J79" s="27"/>
      <c r="K79" s="27"/>
      <c r="L79" s="27"/>
      <c r="M79" s="30"/>
      <c r="N79" s="27"/>
      <c r="O79" s="27"/>
      <c r="P79" s="27"/>
      <c r="Q79" s="30"/>
      <c r="R79" s="30"/>
      <c r="S79" s="27"/>
      <c r="T79" s="27"/>
    </row>
    <row r="80" spans="2:20" ht="12.75">
      <c r="B80" s="50"/>
      <c r="C80" s="50"/>
      <c r="D80" s="50"/>
      <c r="E80" s="50"/>
      <c r="F80" s="48"/>
      <c r="G80" s="59"/>
      <c r="H80" s="59"/>
      <c r="I80" s="59"/>
      <c r="J80" s="59"/>
      <c r="K80" s="59"/>
      <c r="L80" s="59"/>
      <c r="M80" s="30"/>
      <c r="N80" s="27"/>
      <c r="O80" s="27"/>
      <c r="P80" s="27"/>
      <c r="Q80" s="30"/>
      <c r="R80" s="30"/>
      <c r="S80" s="27"/>
      <c r="T80" s="27"/>
    </row>
    <row r="81" spans="2:13" ht="12.75">
      <c r="B81" s="9"/>
      <c r="C81" s="50"/>
      <c r="D81" s="9"/>
      <c r="E81" s="9"/>
      <c r="F81"/>
      <c r="G81"/>
      <c r="H81"/>
      <c r="I81"/>
      <c r="J81"/>
      <c r="K81"/>
      <c r="L81"/>
      <c r="M81" s="64"/>
    </row>
    <row r="82" spans="2:20" ht="12.75">
      <c r="B82" s="9"/>
      <c r="C82" s="50"/>
      <c r="D82" s="9"/>
      <c r="E82" s="9"/>
      <c r="F82"/>
      <c r="G82" s="27"/>
      <c r="H82" s="27"/>
      <c r="I82" s="27"/>
      <c r="J82" s="27"/>
      <c r="K82" s="27"/>
      <c r="L82" s="27"/>
      <c r="M82" s="64"/>
      <c r="N82" s="27"/>
      <c r="O82" s="27"/>
      <c r="P82" s="27"/>
      <c r="Q82" s="30"/>
      <c r="R82" s="30"/>
      <c r="S82" s="27"/>
      <c r="T82" s="27"/>
    </row>
    <row r="83" spans="2:13" ht="12.75">
      <c r="B83" s="9"/>
      <c r="C83" s="50"/>
      <c r="D83" s="9"/>
      <c r="E83" s="9"/>
      <c r="F83"/>
      <c r="G83"/>
      <c r="H83"/>
      <c r="I83"/>
      <c r="J83"/>
      <c r="K83"/>
      <c r="L83"/>
      <c r="M83" s="5"/>
    </row>
    <row r="84" spans="2:20" ht="12.75">
      <c r="B84" s="9"/>
      <c r="C84" s="50"/>
      <c r="D84" s="9"/>
      <c r="E84" s="9"/>
      <c r="F84"/>
      <c r="G84"/>
      <c r="H84"/>
      <c r="I84"/>
      <c r="J84"/>
      <c r="K84"/>
      <c r="L84"/>
      <c r="M84" s="5"/>
      <c r="N84" s="27"/>
      <c r="O84" s="27"/>
      <c r="P84" s="27"/>
      <c r="Q84" s="30"/>
      <c r="R84" s="30"/>
      <c r="S84" s="27"/>
      <c r="T84" s="27"/>
    </row>
    <row r="85" spans="2:20" ht="12.75">
      <c r="B85" s="9"/>
      <c r="C85" s="50"/>
      <c r="D85" s="9"/>
      <c r="E85" s="9"/>
      <c r="F85"/>
      <c r="G85" s="5"/>
      <c r="H85" s="5"/>
      <c r="I85" s="5"/>
      <c r="J85" s="5"/>
      <c r="K85" s="5"/>
      <c r="L85" s="5"/>
      <c r="M85" s="5"/>
      <c r="N85" s="27"/>
      <c r="O85" s="27"/>
      <c r="P85" s="27"/>
      <c r="Q85" s="30"/>
      <c r="R85" s="30"/>
      <c r="S85" s="27"/>
      <c r="T85" s="27"/>
    </row>
    <row r="86" spans="2:20" ht="12.75">
      <c r="B86" s="9"/>
      <c r="C86" s="9"/>
      <c r="D86" s="9"/>
      <c r="E86" s="9"/>
      <c r="F86"/>
      <c r="G86" s="5"/>
      <c r="H86" s="64"/>
      <c r="I86" s="5"/>
      <c r="J86" s="64"/>
      <c r="K86" s="5"/>
      <c r="L86" s="5"/>
      <c r="M86" s="5"/>
      <c r="N86" s="27"/>
      <c r="O86" s="27"/>
      <c r="P86" s="27"/>
      <c r="Q86" s="30"/>
      <c r="R86" s="30"/>
      <c r="S86" s="27"/>
      <c r="T86" s="27"/>
    </row>
    <row r="87" spans="2:13" ht="12.75">
      <c r="B87" s="9"/>
      <c r="C87" s="3"/>
      <c r="D87" s="9"/>
      <c r="E87" s="9"/>
      <c r="F87"/>
      <c r="G87" s="5"/>
      <c r="H87" s="5"/>
      <c r="I87" s="5"/>
      <c r="J87" s="5"/>
      <c r="K87" s="5"/>
      <c r="L87" s="5"/>
      <c r="M87" s="5"/>
    </row>
    <row r="88" spans="2:13" ht="12.75">
      <c r="B88" s="8"/>
      <c r="C88" s="27"/>
      <c r="D88" s="9"/>
      <c r="E88" s="9"/>
      <c r="F88" s="27"/>
      <c r="G88" s="28"/>
      <c r="H88" s="28"/>
      <c r="I88" s="27"/>
      <c r="J88" s="27"/>
      <c r="K88" s="27"/>
      <c r="L88" s="27"/>
      <c r="M88" s="27"/>
    </row>
    <row r="89" spans="2:12" ht="12.75">
      <c r="B89" s="9"/>
      <c r="C89" s="3"/>
      <c r="D89" s="9"/>
      <c r="E89" s="9"/>
      <c r="F89"/>
      <c r="G89"/>
      <c r="H89"/>
      <c r="I89"/>
      <c r="J89"/>
      <c r="K89"/>
      <c r="L89"/>
    </row>
    <row r="90" spans="2:18" s="27" customFormat="1" ht="12.75">
      <c r="B90" s="9"/>
      <c r="C90" s="3"/>
      <c r="D90" s="9"/>
      <c r="E90" s="9"/>
      <c r="F90" s="29"/>
      <c r="G90" s="61"/>
      <c r="H90" s="61"/>
      <c r="I90" s="61"/>
      <c r="J90" s="61"/>
      <c r="K90" s="62"/>
      <c r="L90" s="62"/>
      <c r="M90" s="30"/>
      <c r="R90" s="30"/>
    </row>
    <row r="91" spans="2:18" s="27" customFormat="1" ht="12.75">
      <c r="B91" s="9"/>
      <c r="C91" s="3"/>
      <c r="D91" s="9"/>
      <c r="E91" s="9"/>
      <c r="G91" s="61"/>
      <c r="H91" s="61"/>
      <c r="I91" s="62"/>
      <c r="J91" s="62"/>
      <c r="K91" s="18"/>
      <c r="L91" s="18"/>
      <c r="M91" s="30"/>
      <c r="R91" s="30"/>
    </row>
    <row r="92" spans="2:13" ht="12.75">
      <c r="B92" s="9"/>
      <c r="C92" s="3"/>
      <c r="D92" s="9"/>
      <c r="E92" s="9"/>
      <c r="F92" s="27"/>
      <c r="G92" s="61"/>
      <c r="H92" s="27"/>
      <c r="I92" s="18"/>
      <c r="J92" s="27"/>
      <c r="K92" s="61"/>
      <c r="L92" s="61"/>
      <c r="M92" s="30"/>
    </row>
    <row r="93" spans="2:13" ht="12.75">
      <c r="B93" s="9"/>
      <c r="C93" s="3"/>
      <c r="D93" s="9"/>
      <c r="E93" s="9"/>
      <c r="F93" s="17"/>
      <c r="G93" s="61"/>
      <c r="H93" s="61"/>
      <c r="I93" s="18"/>
      <c r="J93" s="62"/>
      <c r="K93" s="18"/>
      <c r="L93" s="18"/>
      <c r="M93" s="29"/>
    </row>
    <row r="94" spans="2:13" ht="12.75">
      <c r="B94" s="9"/>
      <c r="C94" s="3"/>
      <c r="D94" s="9"/>
      <c r="E94" s="9"/>
      <c r="F94" s="17"/>
      <c r="G94" s="61"/>
      <c r="H94" s="61"/>
      <c r="I94" s="24"/>
      <c r="J94" s="18"/>
      <c r="K94" s="18"/>
      <c r="L94" s="18"/>
      <c r="M94" s="59"/>
    </row>
    <row r="95" spans="2:13" ht="12.75">
      <c r="B95" s="9"/>
      <c r="C95" s="3"/>
      <c r="D95" s="9"/>
      <c r="E95" s="9"/>
      <c r="F95" s="17"/>
      <c r="G95" s="61"/>
      <c r="H95" s="61"/>
      <c r="I95" s="18"/>
      <c r="J95" s="18"/>
      <c r="K95" s="18"/>
      <c r="L95" s="18"/>
      <c r="M95" s="64"/>
    </row>
    <row r="96" spans="2:13" ht="12.75">
      <c r="B96" s="9"/>
      <c r="C96" s="3"/>
      <c r="D96" s="9"/>
      <c r="E96" s="9"/>
      <c r="F96" s="17"/>
      <c r="G96" s="61"/>
      <c r="H96" s="24"/>
      <c r="I96" s="61"/>
      <c r="J96" s="27"/>
      <c r="K96" s="61"/>
      <c r="L96" s="61"/>
      <c r="M96" s="63"/>
    </row>
    <row r="97" spans="1:18" ht="12.75">
      <c r="A97" s="3" t="s">
        <v>85</v>
      </c>
      <c r="B97" s="9"/>
      <c r="C97" s="3"/>
      <c r="D97" s="9"/>
      <c r="E97" s="9"/>
      <c r="F97" s="8"/>
      <c r="G97" s="61"/>
      <c r="H97" s="24"/>
      <c r="I97" s="61"/>
      <c r="J97" s="17"/>
      <c r="K97" s="61"/>
      <c r="L97" s="61"/>
      <c r="M97" s="63"/>
      <c r="N97" s="27"/>
      <c r="O97" s="27"/>
      <c r="P97" s="27"/>
      <c r="Q97" s="27"/>
      <c r="R97" s="27"/>
    </row>
    <row r="98" spans="2:18" ht="12.75">
      <c r="B98" s="9"/>
      <c r="C98" s="3"/>
      <c r="D98" s="9"/>
      <c r="E98" s="9"/>
      <c r="F98" s="17"/>
      <c r="G98" s="61"/>
      <c r="H98" s="24"/>
      <c r="I98" s="61"/>
      <c r="J98" s="17"/>
      <c r="K98" s="61"/>
      <c r="L98" s="61"/>
      <c r="M98" s="63"/>
      <c r="N98" s="27"/>
      <c r="O98" s="27"/>
      <c r="P98" s="27"/>
      <c r="Q98" s="50"/>
      <c r="R98" s="27"/>
    </row>
    <row r="99" spans="1:18" ht="12.75">
      <c r="A99" s="50"/>
      <c r="B99" s="9"/>
      <c r="C99" s="3"/>
      <c r="D99" s="9"/>
      <c r="E99" s="9"/>
      <c r="F99" s="17"/>
      <c r="G99" s="61"/>
      <c r="H99" s="61"/>
      <c r="I99" s="18"/>
      <c r="J99" s="18"/>
      <c r="K99" s="18"/>
      <c r="L99" s="18"/>
      <c r="M99" s="64"/>
      <c r="N99" s="50"/>
      <c r="O99" s="50"/>
      <c r="P99" s="50"/>
      <c r="Q99" s="50"/>
      <c r="R99" s="54"/>
    </row>
    <row r="100" spans="2:18" ht="12.75">
      <c r="B100" s="9"/>
      <c r="D100" s="9"/>
      <c r="E100" s="9"/>
      <c r="F100" s="27"/>
      <c r="G100" s="17"/>
      <c r="H100" s="17"/>
      <c r="I100" s="17"/>
      <c r="J100" s="17"/>
      <c r="K100" s="17"/>
      <c r="L100" s="17"/>
      <c r="M100" s="40"/>
      <c r="N100" s="65"/>
      <c r="O100" s="40"/>
      <c r="P100" s="40"/>
      <c r="Q100" s="63"/>
      <c r="R100" s="27"/>
    </row>
    <row r="101" spans="2:18" ht="12.75">
      <c r="B101" s="9"/>
      <c r="D101" s="9"/>
      <c r="E101" s="9"/>
      <c r="F101" s="27"/>
      <c r="G101" s="17"/>
      <c r="H101" s="17"/>
      <c r="I101" s="17"/>
      <c r="J101" s="17"/>
      <c r="K101" s="17"/>
      <c r="L101" s="17"/>
      <c r="M101" s="40"/>
      <c r="N101" s="65"/>
      <c r="O101" s="40"/>
      <c r="P101" s="40"/>
      <c r="Q101" s="63"/>
      <c r="R101" s="27"/>
    </row>
    <row r="102" spans="2:18" ht="12.75">
      <c r="B102" s="9"/>
      <c r="C102" s="3"/>
      <c r="D102" s="9"/>
      <c r="E102" s="9"/>
      <c r="F102" s="27"/>
      <c r="G102" s="61"/>
      <c r="H102" s="61"/>
      <c r="I102" s="18"/>
      <c r="J102" s="62"/>
      <c r="K102" s="18"/>
      <c r="L102" s="18"/>
      <c r="M102" s="40"/>
      <c r="N102" s="62"/>
      <c r="O102" s="62"/>
      <c r="P102" s="62"/>
      <c r="Q102" s="63"/>
      <c r="R102" s="27"/>
    </row>
    <row r="103" spans="2:18" ht="12.75">
      <c r="B103" s="45"/>
      <c r="C103" s="9"/>
      <c r="D103" s="9"/>
      <c r="E103" s="9"/>
      <c r="F103" s="27"/>
      <c r="G103" s="61"/>
      <c r="H103" s="61"/>
      <c r="I103" s="62"/>
      <c r="J103" s="62"/>
      <c r="K103" s="62"/>
      <c r="L103" s="62"/>
      <c r="M103" s="40"/>
      <c r="N103" s="62"/>
      <c r="O103" s="62"/>
      <c r="P103" s="62"/>
      <c r="Q103" s="63"/>
      <c r="R103" s="27"/>
    </row>
    <row r="104" spans="2:18" ht="12.75">
      <c r="B104" s="9"/>
      <c r="C104" s="9"/>
      <c r="D104" s="9"/>
      <c r="E104" s="9"/>
      <c r="F104"/>
      <c r="G104" s="64"/>
      <c r="H104" s="64"/>
      <c r="I104" s="64"/>
      <c r="J104" s="64"/>
      <c r="K104" s="64"/>
      <c r="L104" s="64"/>
      <c r="M104" s="40"/>
      <c r="N104" s="62"/>
      <c r="O104" s="62"/>
      <c r="P104" s="62"/>
      <c r="Q104" s="63"/>
      <c r="R104" s="27"/>
    </row>
    <row r="105" spans="2:18" ht="12.75">
      <c r="B105" s="9"/>
      <c r="C105" s="9"/>
      <c r="D105" s="9"/>
      <c r="E105" s="9"/>
      <c r="F105" s="29"/>
      <c r="G105" s="72"/>
      <c r="H105" s="72"/>
      <c r="I105" s="72"/>
      <c r="J105" s="72"/>
      <c r="K105" s="72"/>
      <c r="L105" s="72"/>
      <c r="M105" s="34"/>
      <c r="N105" s="62"/>
      <c r="O105" s="62"/>
      <c r="P105" s="62"/>
      <c r="Q105" s="63"/>
      <c r="R105" s="27"/>
    </row>
    <row r="106" spans="2:18" ht="12.75">
      <c r="B106" s="9"/>
      <c r="C106" s="9"/>
      <c r="D106" s="9"/>
      <c r="E106" s="9"/>
      <c r="F106"/>
      <c r="G106" s="64"/>
      <c r="H106" s="64"/>
      <c r="I106" s="64"/>
      <c r="J106" s="64"/>
      <c r="K106" s="64"/>
      <c r="L106" s="64"/>
      <c r="M106" s="32"/>
      <c r="N106" s="62"/>
      <c r="O106" s="62"/>
      <c r="P106" s="62"/>
      <c r="Q106" s="63"/>
      <c r="R106" s="27"/>
    </row>
    <row r="107" spans="2:18" ht="12.75">
      <c r="B107" s="9"/>
      <c r="C107" s="9"/>
      <c r="D107" s="9"/>
      <c r="E107" s="9"/>
      <c r="F107" s="29"/>
      <c r="G107" s="64"/>
      <c r="H107" s="61"/>
      <c r="I107" s="64"/>
      <c r="J107" s="61"/>
      <c r="K107" s="64"/>
      <c r="L107" s="64"/>
      <c r="M107" s="40"/>
      <c r="N107" s="62"/>
      <c r="O107" s="62"/>
      <c r="P107" s="62"/>
      <c r="Q107" s="63"/>
      <c r="R107" s="27"/>
    </row>
    <row r="108" spans="2:18" ht="12.75">
      <c r="B108" s="9"/>
      <c r="C108" s="9"/>
      <c r="D108" s="9"/>
      <c r="E108" s="9"/>
      <c r="F108" s="27"/>
      <c r="G108" s="64"/>
      <c r="H108" s="61"/>
      <c r="I108" s="64"/>
      <c r="J108" s="62"/>
      <c r="K108" s="64"/>
      <c r="L108" s="64"/>
      <c r="M108" s="32"/>
      <c r="N108" s="62"/>
      <c r="O108" s="62"/>
      <c r="P108" s="62"/>
      <c r="Q108" s="63"/>
      <c r="R108" s="27"/>
    </row>
    <row r="109" spans="2:18" ht="12.75">
      <c r="B109" s="9"/>
      <c r="C109" s="9"/>
      <c r="D109" s="9"/>
      <c r="E109" s="9"/>
      <c r="F109" s="27"/>
      <c r="G109" s="64"/>
      <c r="H109" s="27"/>
      <c r="I109" s="64"/>
      <c r="J109" s="27"/>
      <c r="K109" s="64"/>
      <c r="L109" s="64"/>
      <c r="M109" s="32"/>
      <c r="N109" s="62"/>
      <c r="O109" s="62"/>
      <c r="P109" s="62"/>
      <c r="Q109" s="63"/>
      <c r="R109" s="27"/>
    </row>
    <row r="110" spans="2:18" ht="12.75">
      <c r="B110" s="9"/>
      <c r="C110" s="9"/>
      <c r="D110" s="9"/>
      <c r="E110" s="9"/>
      <c r="F110" s="17"/>
      <c r="G110" s="64"/>
      <c r="H110" s="61"/>
      <c r="I110" s="64"/>
      <c r="J110" s="62"/>
      <c r="K110" s="64"/>
      <c r="L110" s="64"/>
      <c r="M110" s="32"/>
      <c r="N110" s="62"/>
      <c r="O110" s="62"/>
      <c r="P110" s="62"/>
      <c r="Q110" s="63"/>
      <c r="R110" s="27"/>
    </row>
    <row r="111" spans="2:18" ht="12.75">
      <c r="B111" s="9"/>
      <c r="C111" s="9"/>
      <c r="D111" s="9"/>
      <c r="E111" s="9"/>
      <c r="F111" s="17"/>
      <c r="G111" s="64"/>
      <c r="H111" s="61"/>
      <c r="I111" s="64"/>
      <c r="J111" s="18"/>
      <c r="K111" s="64"/>
      <c r="L111" s="64"/>
      <c r="M111" s="40"/>
      <c r="N111" s="62"/>
      <c r="O111" s="62"/>
      <c r="P111" s="62"/>
      <c r="Q111" s="63"/>
      <c r="R111" s="27"/>
    </row>
    <row r="112" spans="2:18" ht="12.75">
      <c r="B112" s="9"/>
      <c r="C112" s="9"/>
      <c r="D112" s="9"/>
      <c r="E112" s="9"/>
      <c r="F112" s="17"/>
      <c r="G112" s="64"/>
      <c r="H112" s="61"/>
      <c r="I112" s="64"/>
      <c r="J112" s="18"/>
      <c r="K112" s="64"/>
      <c r="L112" s="64"/>
      <c r="M112" s="32"/>
      <c r="N112" s="62"/>
      <c r="O112" s="62"/>
      <c r="P112" s="62"/>
      <c r="Q112" s="63"/>
      <c r="R112" s="27"/>
    </row>
    <row r="113" spans="2:18" ht="12.75">
      <c r="B113" s="9"/>
      <c r="C113" s="9"/>
      <c r="D113" s="9"/>
      <c r="E113" s="9"/>
      <c r="F113" s="17"/>
      <c r="G113" s="64"/>
      <c r="H113" s="24"/>
      <c r="I113" s="64"/>
      <c r="J113" s="27"/>
      <c r="K113" s="64"/>
      <c r="L113" s="64"/>
      <c r="M113" s="32"/>
      <c r="N113" s="62"/>
      <c r="O113" s="62"/>
      <c r="P113" s="62"/>
      <c r="Q113" s="63"/>
      <c r="R113" s="27"/>
    </row>
    <row r="114" spans="2:18" ht="12.75">
      <c r="B114" s="9"/>
      <c r="C114" s="9"/>
      <c r="D114" s="9"/>
      <c r="E114" s="9"/>
      <c r="F114" s="8"/>
      <c r="G114" s="64"/>
      <c r="H114" s="24"/>
      <c r="I114" s="64"/>
      <c r="J114" s="17"/>
      <c r="K114" s="64"/>
      <c r="L114" s="64"/>
      <c r="M114" s="32"/>
      <c r="N114" s="62"/>
      <c r="O114" s="62"/>
      <c r="P114" s="62"/>
      <c r="Q114" s="63"/>
      <c r="R114" s="27"/>
    </row>
    <row r="115" spans="2:18" ht="12.75">
      <c r="B115" s="9"/>
      <c r="C115" s="9"/>
      <c r="D115" s="9"/>
      <c r="E115" s="9"/>
      <c r="F115" s="17"/>
      <c r="G115" s="64"/>
      <c r="H115" s="24"/>
      <c r="I115" s="64"/>
      <c r="J115" s="17"/>
      <c r="K115" s="64"/>
      <c r="L115" s="64"/>
      <c r="M115" s="32"/>
      <c r="N115" s="62"/>
      <c r="O115" s="62"/>
      <c r="P115" s="62"/>
      <c r="Q115" s="63"/>
      <c r="R115" s="27"/>
    </row>
    <row r="116" spans="14:18" ht="12.75">
      <c r="N116" s="62"/>
      <c r="O116" s="62"/>
      <c r="P116" s="62"/>
      <c r="Q116" s="63"/>
      <c r="R116" s="30"/>
    </row>
    <row r="117" spans="2:18" ht="12.75">
      <c r="B117" s="9"/>
      <c r="C117" s="9"/>
      <c r="D117" s="9"/>
      <c r="E117" s="9"/>
      <c r="F117" s="27"/>
      <c r="G117" s="69"/>
      <c r="H117" s="69"/>
      <c r="I117" s="69"/>
      <c r="J117" s="69"/>
      <c r="K117" s="69"/>
      <c r="L117" s="69"/>
      <c r="M117" s="40"/>
      <c r="N117" s="62"/>
      <c r="O117" s="62"/>
      <c r="P117" s="62"/>
      <c r="Q117" s="63"/>
      <c r="R117" s="30"/>
    </row>
    <row r="118" spans="2:18" ht="12.75">
      <c r="B118" s="9"/>
      <c r="C118" s="9"/>
      <c r="D118" s="9"/>
      <c r="E118" s="9"/>
      <c r="F118" s="27"/>
      <c r="G118" s="69"/>
      <c r="H118" s="69"/>
      <c r="I118" s="69"/>
      <c r="J118" s="69"/>
      <c r="K118" s="69"/>
      <c r="L118" s="69"/>
      <c r="M118" s="40"/>
      <c r="N118" s="62"/>
      <c r="O118" s="62"/>
      <c r="P118" s="62"/>
      <c r="Q118" s="63"/>
      <c r="R118" s="10"/>
    </row>
    <row r="119" spans="14:18" ht="12.75">
      <c r="N119" s="62"/>
      <c r="O119" s="62"/>
      <c r="P119" s="62"/>
      <c r="Q119" s="63"/>
      <c r="R119" s="10"/>
    </row>
    <row r="120" spans="2:18" ht="12.75">
      <c r="B120" s="9"/>
      <c r="C120" s="3"/>
      <c r="D120" s="9"/>
      <c r="E120" s="9"/>
      <c r="F120" s="27"/>
      <c r="G120" s="61"/>
      <c r="H120" s="61"/>
      <c r="I120" s="61"/>
      <c r="J120" s="61"/>
      <c r="K120" s="24"/>
      <c r="L120" s="24"/>
      <c r="N120" s="62"/>
      <c r="O120" s="62"/>
      <c r="P120" s="62"/>
      <c r="Q120" s="63"/>
      <c r="R120" s="10"/>
    </row>
    <row r="121" spans="2:18" ht="12.75">
      <c r="B121" s="9"/>
      <c r="C121" s="3"/>
      <c r="D121" s="9"/>
      <c r="E121" s="9"/>
      <c r="F121" s="17"/>
      <c r="G121" s="61"/>
      <c r="H121" s="61"/>
      <c r="I121" s="61"/>
      <c r="J121" s="61"/>
      <c r="K121" s="24"/>
      <c r="L121" s="24"/>
      <c r="N121" s="62"/>
      <c r="O121" s="62"/>
      <c r="P121" s="62"/>
      <c r="Q121" s="63"/>
      <c r="R121" s="10"/>
    </row>
    <row r="122" spans="2:18" ht="12.75">
      <c r="B122" s="9"/>
      <c r="C122" s="3"/>
      <c r="D122" s="9"/>
      <c r="E122" s="9"/>
      <c r="F122" s="17"/>
      <c r="G122" s="61"/>
      <c r="H122" s="61"/>
      <c r="I122" s="61"/>
      <c r="J122" s="61"/>
      <c r="K122" s="24"/>
      <c r="L122" s="24"/>
      <c r="N122" s="62"/>
      <c r="O122" s="62"/>
      <c r="P122" s="62"/>
      <c r="Q122" s="63"/>
      <c r="R122" s="10"/>
    </row>
    <row r="123" spans="2:18" ht="12.75">
      <c r="B123" s="9"/>
      <c r="C123" s="3"/>
      <c r="D123" s="9"/>
      <c r="E123" s="9"/>
      <c r="F123" s="17"/>
      <c r="G123" s="61"/>
      <c r="H123" s="61"/>
      <c r="I123" s="61"/>
      <c r="J123" s="61"/>
      <c r="K123" s="24"/>
      <c r="L123" s="24"/>
      <c r="N123" s="62"/>
      <c r="O123" s="62"/>
      <c r="P123" s="62"/>
      <c r="Q123" s="63"/>
      <c r="R123" s="10"/>
    </row>
    <row r="124" spans="2:18" ht="12.75">
      <c r="B124" s="9"/>
      <c r="C124" s="3"/>
      <c r="D124" s="9"/>
      <c r="E124" s="9"/>
      <c r="F124" s="17"/>
      <c r="G124" s="61"/>
      <c r="H124" s="61"/>
      <c r="I124" s="24"/>
      <c r="J124" s="62"/>
      <c r="K124" s="24"/>
      <c r="L124" s="24"/>
      <c r="N124" s="62"/>
      <c r="O124" s="62"/>
      <c r="P124" s="62"/>
      <c r="Q124" s="63"/>
      <c r="R124" s="10"/>
    </row>
    <row r="125" spans="2:18" ht="12.75">
      <c r="B125" s="9"/>
      <c r="C125" s="3"/>
      <c r="D125" s="9"/>
      <c r="E125" s="9"/>
      <c r="F125" s="27"/>
      <c r="G125" s="61"/>
      <c r="H125" s="61"/>
      <c r="I125" s="24"/>
      <c r="J125" s="62"/>
      <c r="K125" s="24"/>
      <c r="L125" s="24"/>
      <c r="N125" s="62"/>
      <c r="O125" s="62"/>
      <c r="P125" s="62"/>
      <c r="Q125" s="63"/>
      <c r="R125" s="27"/>
    </row>
    <row r="126" spans="2:18" ht="12.75">
      <c r="B126" s="9"/>
      <c r="C126" s="3"/>
      <c r="D126" s="9"/>
      <c r="E126" s="9"/>
      <c r="F126" s="27"/>
      <c r="G126" s="61"/>
      <c r="H126" s="61"/>
      <c r="I126" s="24"/>
      <c r="J126" s="62"/>
      <c r="K126" s="18"/>
      <c r="L126" s="18"/>
      <c r="N126" s="62"/>
      <c r="O126" s="62"/>
      <c r="P126" s="62"/>
      <c r="Q126" s="63"/>
      <c r="R126" s="27"/>
    </row>
    <row r="127" spans="2:18" ht="12.75">
      <c r="B127" s="9"/>
      <c r="D127" s="9"/>
      <c r="E127" s="9"/>
      <c r="F127" s="27"/>
      <c r="G127" s="61"/>
      <c r="H127" s="61"/>
      <c r="I127" s="24"/>
      <c r="J127" s="62"/>
      <c r="K127" s="24"/>
      <c r="L127" s="24"/>
      <c r="M127" s="40"/>
      <c r="N127" s="62"/>
      <c r="O127" s="62"/>
      <c r="P127" s="62"/>
      <c r="Q127" s="63"/>
      <c r="R127" s="27"/>
    </row>
    <row r="128" spans="2:18" ht="12.75">
      <c r="B128" s="9"/>
      <c r="D128" s="9"/>
      <c r="E128" s="9"/>
      <c r="F128" s="27"/>
      <c r="G128" s="61"/>
      <c r="H128" s="61"/>
      <c r="I128" s="24"/>
      <c r="J128" s="62"/>
      <c r="K128" s="24"/>
      <c r="L128" s="24"/>
      <c r="M128" s="30"/>
      <c r="N128" s="62"/>
      <c r="O128" s="62"/>
      <c r="P128" s="62"/>
      <c r="Q128" s="63"/>
      <c r="R128" s="27"/>
    </row>
    <row r="129" spans="2:18" ht="12.75">
      <c r="B129" s="3"/>
      <c r="C129" s="9"/>
      <c r="D129" s="9"/>
      <c r="E129" s="9"/>
      <c r="F129" s="27"/>
      <c r="G129" s="61"/>
      <c r="H129" s="61"/>
      <c r="I129" s="62"/>
      <c r="J129" s="62"/>
      <c r="K129" s="62"/>
      <c r="L129" s="62"/>
      <c r="M129" s="30"/>
      <c r="N129" s="62"/>
      <c r="O129" s="62"/>
      <c r="P129" s="62"/>
      <c r="Q129" s="63"/>
      <c r="R129" s="27"/>
    </row>
    <row r="130" spans="2:18" ht="12.75">
      <c r="B130" s="45"/>
      <c r="C130" s="9"/>
      <c r="D130" s="9"/>
      <c r="E130" s="9"/>
      <c r="F130" s="27"/>
      <c r="G130" s="61"/>
      <c r="H130" s="61"/>
      <c r="I130" s="62"/>
      <c r="J130" s="62"/>
      <c r="K130" s="62"/>
      <c r="L130" s="62"/>
      <c r="M130" s="30"/>
      <c r="N130" s="27"/>
      <c r="O130" s="27"/>
      <c r="P130" s="27"/>
      <c r="Q130" s="27"/>
      <c r="R130" s="27"/>
    </row>
    <row r="131" spans="2:18" ht="12.75">
      <c r="B131" s="9"/>
      <c r="C131" s="9"/>
      <c r="D131" s="9"/>
      <c r="E131" s="9"/>
      <c r="F131" s="17"/>
      <c r="G131" s="5"/>
      <c r="H131" s="61"/>
      <c r="I131" s="5"/>
      <c r="J131" s="62"/>
      <c r="K131" s="5"/>
      <c r="L131" s="5"/>
      <c r="M131" s="30"/>
      <c r="N131" s="27"/>
      <c r="O131" s="27"/>
      <c r="P131" s="27"/>
      <c r="Q131" s="27"/>
      <c r="R131" s="27"/>
    </row>
    <row r="132" spans="2:18" ht="12.75">
      <c r="B132" s="9"/>
      <c r="C132" s="9"/>
      <c r="D132" s="9"/>
      <c r="E132" s="9"/>
      <c r="F132" s="17"/>
      <c r="G132" s="5"/>
      <c r="H132" s="61"/>
      <c r="I132" s="5"/>
      <c r="J132" s="61"/>
      <c r="K132" s="5"/>
      <c r="L132" s="5"/>
      <c r="M132" s="30"/>
      <c r="N132" s="27"/>
      <c r="O132" s="27"/>
      <c r="P132" s="27"/>
      <c r="Q132" s="27"/>
      <c r="R132" s="27"/>
    </row>
    <row r="133" spans="2:18" ht="12.75">
      <c r="B133" s="8"/>
      <c r="C133" s="9"/>
      <c r="D133" s="9"/>
      <c r="E133" s="9"/>
      <c r="F133" s="27"/>
      <c r="G133" s="5"/>
      <c r="H133" s="5"/>
      <c r="I133" s="5"/>
      <c r="J133" s="5"/>
      <c r="K133" s="5"/>
      <c r="L133" s="5"/>
      <c r="M133" s="30"/>
      <c r="N133" s="27"/>
      <c r="O133" s="27"/>
      <c r="P133" s="27"/>
      <c r="Q133" s="27"/>
      <c r="R133" s="27"/>
    </row>
    <row r="134" spans="2:18" ht="12.75">
      <c r="B134" s="9"/>
      <c r="C134" s="9"/>
      <c r="D134" s="9"/>
      <c r="E134" s="9"/>
      <c r="F134"/>
      <c r="G134" s="5"/>
      <c r="H134"/>
      <c r="I134" s="5"/>
      <c r="J134"/>
      <c r="K134" s="5"/>
      <c r="L134" s="5"/>
      <c r="M134" s="30"/>
      <c r="N134" s="27"/>
      <c r="O134" s="27"/>
      <c r="P134" s="40"/>
      <c r="Q134" s="27"/>
      <c r="R134" s="27"/>
    </row>
    <row r="135" spans="2:18" ht="12.75">
      <c r="B135" s="9"/>
      <c r="C135" s="9"/>
      <c r="D135" s="3"/>
      <c r="E135" s="9"/>
      <c r="F135" s="29"/>
      <c r="G135" s="5"/>
      <c r="H135" s="61"/>
      <c r="I135" s="5"/>
      <c r="J135" s="61"/>
      <c r="K135" s="5"/>
      <c r="L135" s="5"/>
      <c r="M135" s="30"/>
      <c r="N135" s="27"/>
      <c r="O135" s="27"/>
      <c r="P135" s="27"/>
      <c r="Q135" s="30"/>
      <c r="R135" s="30"/>
    </row>
    <row r="136" spans="2:18" ht="12.75">
      <c r="B136" s="9"/>
      <c r="C136" s="9"/>
      <c r="D136" s="3"/>
      <c r="E136" s="9"/>
      <c r="F136" s="27"/>
      <c r="G136" s="5"/>
      <c r="H136" s="61"/>
      <c r="I136" s="5"/>
      <c r="J136" s="62"/>
      <c r="K136" s="5"/>
      <c r="L136" s="5"/>
      <c r="M136" s="30"/>
      <c r="N136" s="27"/>
      <c r="O136" s="27"/>
      <c r="P136" s="27"/>
      <c r="Q136" s="30"/>
      <c r="R136" s="30"/>
    </row>
    <row r="137" spans="2:18" ht="12.75">
      <c r="B137" s="9"/>
      <c r="C137" s="9"/>
      <c r="D137" s="9"/>
      <c r="E137" s="9"/>
      <c r="F137" s="27"/>
      <c r="G137" s="5"/>
      <c r="H137" s="61"/>
      <c r="I137" s="5"/>
      <c r="J137" s="62"/>
      <c r="K137" s="5"/>
      <c r="L137" s="5"/>
      <c r="M137" s="30"/>
      <c r="N137" s="27"/>
      <c r="O137" s="27"/>
      <c r="P137" s="27"/>
      <c r="Q137" s="30"/>
      <c r="R137" s="30"/>
    </row>
    <row r="138" spans="2:18" ht="12.75">
      <c r="B138" s="9"/>
      <c r="C138" s="9"/>
      <c r="D138" s="9"/>
      <c r="E138" s="9"/>
      <c r="F138" s="17"/>
      <c r="G138" s="5"/>
      <c r="H138" s="61"/>
      <c r="I138" s="5"/>
      <c r="J138" s="62"/>
      <c r="K138" s="5"/>
      <c r="L138" s="5"/>
      <c r="M138" s="30"/>
      <c r="N138" s="27"/>
      <c r="O138" s="27"/>
      <c r="P138" s="27"/>
      <c r="Q138" s="30"/>
      <c r="R138" s="30"/>
    </row>
    <row r="139" spans="2:18" ht="12.75">
      <c r="B139" s="9"/>
      <c r="C139" s="9"/>
      <c r="D139" s="9"/>
      <c r="E139" s="9"/>
      <c r="F139" s="27"/>
      <c r="G139" s="5"/>
      <c r="H139" s="61"/>
      <c r="I139" s="5"/>
      <c r="J139" s="62"/>
      <c r="K139" s="5"/>
      <c r="L139" s="5"/>
      <c r="M139" s="30"/>
      <c r="N139" s="27"/>
      <c r="O139" s="27"/>
      <c r="P139" s="27"/>
      <c r="Q139" s="30"/>
      <c r="R139" s="30"/>
    </row>
    <row r="140" spans="2:18" ht="12.75">
      <c r="B140" s="9"/>
      <c r="C140" s="9"/>
      <c r="D140" s="9"/>
      <c r="E140" s="9"/>
      <c r="F140" s="17"/>
      <c r="G140" s="5"/>
      <c r="H140" s="61"/>
      <c r="I140" s="5"/>
      <c r="J140" s="18"/>
      <c r="K140" s="5"/>
      <c r="L140" s="5"/>
      <c r="M140" s="30"/>
      <c r="N140" s="27"/>
      <c r="O140" s="27"/>
      <c r="P140" s="27"/>
      <c r="Q140" s="30"/>
      <c r="R140" s="30"/>
    </row>
    <row r="141" spans="2:18" ht="12.75">
      <c r="B141" s="9"/>
      <c r="C141" s="26"/>
      <c r="D141" s="9"/>
      <c r="E141" s="9"/>
      <c r="F141" s="27"/>
      <c r="G141" s="5"/>
      <c r="H141" s="61"/>
      <c r="I141" s="5"/>
      <c r="J141" s="62"/>
      <c r="K141" s="5"/>
      <c r="L141" s="5"/>
      <c r="M141" s="30"/>
      <c r="N141" s="27"/>
      <c r="O141" s="27"/>
      <c r="P141" s="27"/>
      <c r="Q141" s="30"/>
      <c r="R141" s="30"/>
    </row>
    <row r="142" spans="2:18" ht="12.75">
      <c r="B142" s="9"/>
      <c r="C142" s="9"/>
      <c r="D142" s="9"/>
      <c r="E142" s="9"/>
      <c r="F142" s="27"/>
      <c r="G142" s="5"/>
      <c r="H142" s="61"/>
      <c r="I142" s="5"/>
      <c r="J142" s="62"/>
      <c r="K142" s="5"/>
      <c r="L142" s="5"/>
      <c r="M142" s="30"/>
      <c r="N142" s="27"/>
      <c r="O142" s="27"/>
      <c r="P142" s="27"/>
      <c r="Q142" s="30"/>
      <c r="R142" s="30"/>
    </row>
    <row r="143" spans="2:18" ht="12.75">
      <c r="B143" s="9"/>
      <c r="C143" s="9"/>
      <c r="D143" s="9"/>
      <c r="E143" s="9"/>
      <c r="F143" s="27"/>
      <c r="G143" s="5"/>
      <c r="H143" s="61"/>
      <c r="I143" s="5"/>
      <c r="J143" s="61"/>
      <c r="K143" s="5"/>
      <c r="L143" s="5"/>
      <c r="M143" s="30"/>
      <c r="N143" s="27"/>
      <c r="O143" s="27"/>
      <c r="P143" s="27"/>
      <c r="Q143" s="30"/>
      <c r="R143" s="30"/>
    </row>
    <row r="144" spans="2:18" ht="12.75">
      <c r="B144" s="9"/>
      <c r="C144" s="9"/>
      <c r="D144" s="9"/>
      <c r="E144" s="9"/>
      <c r="F144" s="17"/>
      <c r="G144" s="5"/>
      <c r="H144" s="17"/>
      <c r="I144" s="5"/>
      <c r="J144" s="17"/>
      <c r="K144" s="5"/>
      <c r="L144" s="5"/>
      <c r="M144" s="30"/>
      <c r="N144" s="27"/>
      <c r="O144" s="27"/>
      <c r="P144" s="27"/>
      <c r="Q144" s="30"/>
      <c r="R144" s="30"/>
    </row>
    <row r="145" spans="2:18" ht="12.75">
      <c r="B145" s="9"/>
      <c r="C145" s="9"/>
      <c r="D145" s="9"/>
      <c r="E145" s="9"/>
      <c r="F145" s="17"/>
      <c r="G145" s="5"/>
      <c r="H145" s="24"/>
      <c r="I145" s="5"/>
      <c r="J145" s="17"/>
      <c r="K145" s="5"/>
      <c r="L145" s="5"/>
      <c r="M145" s="30"/>
      <c r="N145" s="27"/>
      <c r="O145" s="27"/>
      <c r="P145" s="27"/>
      <c r="Q145" s="30"/>
      <c r="R145" s="30"/>
    </row>
    <row r="146" spans="2:18" ht="12.75">
      <c r="B146" s="9"/>
      <c r="C146" s="9"/>
      <c r="D146" s="9"/>
      <c r="E146" s="9"/>
      <c r="F146" s="17"/>
      <c r="G146" s="5"/>
      <c r="H146" s="24"/>
      <c r="I146" s="5"/>
      <c r="J146" s="17"/>
      <c r="K146" s="5"/>
      <c r="L146" s="5"/>
      <c r="M146" s="30"/>
      <c r="N146" s="27"/>
      <c r="O146" s="27"/>
      <c r="P146" s="27"/>
      <c r="Q146" s="30"/>
      <c r="R146" s="30"/>
    </row>
    <row r="147" spans="2:18" ht="12.75">
      <c r="B147" s="9"/>
      <c r="C147" s="9"/>
      <c r="D147" s="9"/>
      <c r="E147" s="9"/>
      <c r="F147" s="17"/>
      <c r="G147" s="5"/>
      <c r="H147" s="61"/>
      <c r="I147" s="5"/>
      <c r="J147" s="61"/>
      <c r="K147" s="5"/>
      <c r="L147" s="5"/>
      <c r="M147" s="30"/>
      <c r="N147" s="27"/>
      <c r="O147" s="27"/>
      <c r="P147" s="27"/>
      <c r="Q147" s="30"/>
      <c r="R147" s="30"/>
    </row>
    <row r="148" spans="2:18" ht="12.75">
      <c r="B148" s="9"/>
      <c r="C148" s="9"/>
      <c r="D148" s="9"/>
      <c r="E148" s="9"/>
      <c r="F148" s="27"/>
      <c r="G148" s="5"/>
      <c r="H148" s="61"/>
      <c r="I148" s="5"/>
      <c r="J148" s="61"/>
      <c r="K148" s="5"/>
      <c r="L148" s="5"/>
      <c r="M148" s="30"/>
      <c r="N148" s="27"/>
      <c r="O148" s="27"/>
      <c r="P148" s="27"/>
      <c r="Q148" s="30"/>
      <c r="R148" s="30"/>
    </row>
    <row r="149" spans="2:18" ht="12.75">
      <c r="B149" s="9"/>
      <c r="C149" s="9"/>
      <c r="D149" s="9"/>
      <c r="E149" s="9"/>
      <c r="F149" s="17"/>
      <c r="G149" s="5"/>
      <c r="H149" s="61"/>
      <c r="I149" s="5"/>
      <c r="J149" s="61"/>
      <c r="K149" s="5"/>
      <c r="L149" s="5"/>
      <c r="M149" s="30"/>
      <c r="N149" s="27"/>
      <c r="O149" s="27"/>
      <c r="P149" s="27"/>
      <c r="Q149" s="30"/>
      <c r="R149" s="30"/>
    </row>
    <row r="150" spans="2:18" ht="12.75">
      <c r="B150" s="9"/>
      <c r="E150" s="9"/>
      <c r="F150" s="17"/>
      <c r="G150" s="5"/>
      <c r="H150" s="61"/>
      <c r="I150" s="5"/>
      <c r="J150" s="61"/>
      <c r="K150" s="5"/>
      <c r="L150" s="5"/>
      <c r="M150" s="30"/>
      <c r="N150" s="27"/>
      <c r="O150" s="27"/>
      <c r="P150" s="27"/>
      <c r="Q150" s="30"/>
      <c r="R150" s="30"/>
    </row>
    <row r="151" spans="2:18" ht="12.75">
      <c r="B151" s="9"/>
      <c r="E151" s="9"/>
      <c r="F151" s="17"/>
      <c r="G151" s="5"/>
      <c r="H151" s="61"/>
      <c r="I151" s="5"/>
      <c r="J151" s="61"/>
      <c r="K151" s="5"/>
      <c r="L151" s="5"/>
      <c r="M151" s="30"/>
      <c r="N151" s="27"/>
      <c r="O151" s="27"/>
      <c r="P151" s="27"/>
      <c r="Q151" s="30"/>
      <c r="R151" s="30"/>
    </row>
    <row r="152" spans="2:18" ht="12.75">
      <c r="B152" s="9"/>
      <c r="E152" s="9"/>
      <c r="F152" s="17"/>
      <c r="G152" s="5"/>
      <c r="H152" s="61"/>
      <c r="I152" s="5"/>
      <c r="J152" s="62"/>
      <c r="K152" s="5"/>
      <c r="L152" s="5"/>
      <c r="M152" s="30"/>
      <c r="N152" s="27"/>
      <c r="O152" s="27"/>
      <c r="P152" s="27"/>
      <c r="Q152" s="30"/>
      <c r="R152" s="30"/>
    </row>
    <row r="153" spans="2:18" ht="12.75">
      <c r="B153" s="9"/>
      <c r="E153" s="9"/>
      <c r="F153" s="27"/>
      <c r="G153" s="5"/>
      <c r="H153" s="61"/>
      <c r="I153" s="5"/>
      <c r="J153" s="62"/>
      <c r="K153" s="5"/>
      <c r="L153" s="5"/>
      <c r="M153" s="30"/>
      <c r="N153" s="27"/>
      <c r="O153" s="27"/>
      <c r="P153" s="27"/>
      <c r="Q153" s="30"/>
      <c r="R153" s="30"/>
    </row>
    <row r="154" spans="13:18" ht="12.75">
      <c r="M154" s="30"/>
      <c r="N154" s="27"/>
      <c r="O154" s="27"/>
      <c r="P154" s="27"/>
      <c r="Q154" s="30"/>
      <c r="R154" s="30"/>
    </row>
    <row r="155" spans="2:18" ht="12.75">
      <c r="B155" s="9"/>
      <c r="C155" s="9"/>
      <c r="D155" s="9"/>
      <c r="E155" s="9"/>
      <c r="G155" s="69"/>
      <c r="H155" s="69"/>
      <c r="I155" s="69"/>
      <c r="J155" s="69"/>
      <c r="K155" s="69"/>
      <c r="L155" s="69"/>
      <c r="M155" s="40"/>
      <c r="N155" s="27"/>
      <c r="O155" s="27"/>
      <c r="P155" s="27"/>
      <c r="Q155" s="30"/>
      <c r="R155" s="30"/>
    </row>
    <row r="156" spans="2:13" ht="12.75">
      <c r="B156" s="9"/>
      <c r="C156" s="9"/>
      <c r="D156" s="9"/>
      <c r="E156" s="9"/>
      <c r="G156" s="69"/>
      <c r="H156" s="69"/>
      <c r="I156" s="69"/>
      <c r="J156" s="69"/>
      <c r="K156" s="69"/>
      <c r="L156" s="69"/>
      <c r="M156" s="40"/>
    </row>
    <row r="157" spans="1:18" ht="12.75">
      <c r="A157" s="27"/>
      <c r="N157" s="27"/>
      <c r="O157" s="27"/>
      <c r="P157" s="27"/>
      <c r="Q157" s="27"/>
      <c r="R157" s="30"/>
    </row>
    <row r="158" spans="1:18" ht="12.75">
      <c r="A158" s="27"/>
      <c r="N158" s="27"/>
      <c r="O158" s="27"/>
      <c r="P158" s="27"/>
      <c r="Q158" s="27"/>
      <c r="R158" s="30"/>
    </row>
    <row r="187" spans="2:12" ht="12.75">
      <c r="B187" s="9"/>
      <c r="C187" s="9"/>
      <c r="D187" s="9"/>
      <c r="E187" s="9"/>
      <c r="F187" s="27"/>
      <c r="G187" s="30"/>
      <c r="H187" s="61"/>
      <c r="I187" s="30"/>
      <c r="J187" s="18"/>
      <c r="K187" s="30"/>
      <c r="L187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138"/>
  <sheetViews>
    <sheetView workbookViewId="0" topLeftCell="D1">
      <selection activeCell="I10" sqref="I10"/>
    </sheetView>
  </sheetViews>
  <sheetFormatPr defaultColWidth="9.140625" defaultRowHeight="12.75"/>
  <cols>
    <col min="1" max="1" width="9.140625" style="0" hidden="1" customWidth="1"/>
    <col min="2" max="2" width="24.8515625" style="0" customWidth="1"/>
    <col min="3" max="3" width="4.8515625" style="0" customWidth="1"/>
    <col min="5" max="5" width="4.28125" style="0" customWidth="1"/>
    <col min="14" max="14" width="3.00390625" style="0" customWidth="1"/>
    <col min="15" max="15" width="10.00390625" style="0" bestFit="1" customWidth="1"/>
    <col min="16" max="16" width="2.8515625" style="0" customWidth="1"/>
    <col min="18" max="18" width="2.7109375" style="0" customWidth="1"/>
    <col min="20" max="20" width="2.7109375" style="0" customWidth="1"/>
  </cols>
  <sheetData>
    <row r="1" spans="2:3" ht="12.75">
      <c r="B1" s="6" t="s">
        <v>188</v>
      </c>
      <c r="C1" s="6"/>
    </row>
    <row r="3" spans="2:21" ht="12.75">
      <c r="B3" s="6" t="s">
        <v>139</v>
      </c>
      <c r="C3" s="6"/>
      <c r="F3" s="51" t="s">
        <v>168</v>
      </c>
      <c r="G3" s="51" t="s">
        <v>169</v>
      </c>
      <c r="H3" s="51" t="s">
        <v>170</v>
      </c>
      <c r="I3" s="51" t="s">
        <v>47</v>
      </c>
      <c r="J3" s="51" t="s">
        <v>168</v>
      </c>
      <c r="K3" s="51" t="s">
        <v>169</v>
      </c>
      <c r="L3" s="51" t="s">
        <v>170</v>
      </c>
      <c r="M3" s="51" t="s">
        <v>47</v>
      </c>
      <c r="N3" s="51"/>
      <c r="O3" s="51" t="s">
        <v>168</v>
      </c>
      <c r="P3" s="51"/>
      <c r="Q3" s="51" t="s">
        <v>169</v>
      </c>
      <c r="R3" s="51"/>
      <c r="S3" s="51" t="s">
        <v>170</v>
      </c>
      <c r="T3" s="51"/>
      <c r="U3" s="51" t="s">
        <v>47</v>
      </c>
    </row>
    <row r="4" spans="2:3" ht="12.75">
      <c r="B4" s="6"/>
      <c r="C4" s="6"/>
    </row>
    <row r="5" spans="2:21" ht="12.75">
      <c r="B5" s="12" t="s">
        <v>215</v>
      </c>
      <c r="C5" s="12"/>
      <c r="O5" t="s">
        <v>217</v>
      </c>
      <c r="Q5" t="s">
        <v>217</v>
      </c>
      <c r="S5" t="s">
        <v>217</v>
      </c>
      <c r="U5" t="s">
        <v>217</v>
      </c>
    </row>
    <row r="6" spans="2:21" ht="12.75">
      <c r="B6" s="12" t="s">
        <v>216</v>
      </c>
      <c r="C6" s="12"/>
      <c r="O6" t="s">
        <v>25</v>
      </c>
      <c r="Q6" t="s">
        <v>25</v>
      </c>
      <c r="S6" t="s">
        <v>25</v>
      </c>
      <c r="U6" t="s">
        <v>25</v>
      </c>
    </row>
    <row r="7" spans="2:21" ht="12.75">
      <c r="B7" s="12" t="s">
        <v>218</v>
      </c>
      <c r="C7" s="12"/>
      <c r="O7" t="s">
        <v>25</v>
      </c>
      <c r="Q7" t="s">
        <v>25</v>
      </c>
      <c r="S7" t="s">
        <v>25</v>
      </c>
      <c r="U7" t="s">
        <v>25</v>
      </c>
    </row>
    <row r="8" spans="2:21" ht="12.75">
      <c r="B8" t="s">
        <v>48</v>
      </c>
      <c r="F8" t="s">
        <v>189</v>
      </c>
      <c r="J8" t="s">
        <v>190</v>
      </c>
      <c r="O8" t="s">
        <v>25</v>
      </c>
      <c r="Q8" t="s">
        <v>25</v>
      </c>
      <c r="S8" t="s">
        <v>25</v>
      </c>
      <c r="U8" t="s">
        <v>25</v>
      </c>
    </row>
    <row r="9" spans="2:4" ht="12.75">
      <c r="B9" t="s">
        <v>191</v>
      </c>
      <c r="D9" t="s">
        <v>53</v>
      </c>
    </row>
    <row r="11" spans="2:21" ht="12.75">
      <c r="B11" t="s">
        <v>121</v>
      </c>
      <c r="D11" t="s">
        <v>53</v>
      </c>
      <c r="U11">
        <v>12.5</v>
      </c>
    </row>
    <row r="12" spans="2:21" ht="12.75">
      <c r="B12" t="s">
        <v>49</v>
      </c>
      <c r="D12" t="s">
        <v>53</v>
      </c>
      <c r="U12">
        <v>1947</v>
      </c>
    </row>
    <row r="14" spans="2:19" ht="12.75">
      <c r="B14" t="s">
        <v>192</v>
      </c>
      <c r="D14" t="s">
        <v>53</v>
      </c>
      <c r="N14" t="s">
        <v>96</v>
      </c>
      <c r="O14">
        <v>7.9</v>
      </c>
      <c r="P14" t="s">
        <v>96</v>
      </c>
      <c r="Q14">
        <v>7.9</v>
      </c>
      <c r="R14" t="s">
        <v>96</v>
      </c>
      <c r="S14">
        <v>7.9</v>
      </c>
    </row>
    <row r="15" spans="2:19" ht="12.75">
      <c r="B15" t="s">
        <v>105</v>
      </c>
      <c r="D15" t="s">
        <v>53</v>
      </c>
      <c r="N15" t="s">
        <v>96</v>
      </c>
      <c r="O15" s="67">
        <v>0.023</v>
      </c>
      <c r="P15" t="s">
        <v>96</v>
      </c>
      <c r="Q15" s="67">
        <v>0.023</v>
      </c>
      <c r="R15" t="s">
        <v>96</v>
      </c>
      <c r="S15" s="67">
        <v>0.023</v>
      </c>
    </row>
    <row r="16" spans="2:19" ht="12.75">
      <c r="B16" t="s">
        <v>101</v>
      </c>
      <c r="D16" t="s">
        <v>53</v>
      </c>
      <c r="N16" t="s">
        <v>96</v>
      </c>
      <c r="O16" s="67">
        <v>0.016</v>
      </c>
      <c r="P16" t="s">
        <v>96</v>
      </c>
      <c r="Q16" s="67">
        <v>0.016</v>
      </c>
      <c r="R16" t="s">
        <v>96</v>
      </c>
      <c r="S16" s="67">
        <v>0.016</v>
      </c>
    </row>
    <row r="17" spans="2:19" ht="12.75">
      <c r="B17" t="s">
        <v>102</v>
      </c>
      <c r="D17" t="s">
        <v>53</v>
      </c>
      <c r="O17" s="67">
        <v>0.21</v>
      </c>
      <c r="Q17" s="67">
        <v>0.21</v>
      </c>
      <c r="S17" s="67">
        <v>0.21</v>
      </c>
    </row>
    <row r="18" spans="2:19" ht="12.75">
      <c r="B18" t="s">
        <v>78</v>
      </c>
      <c r="D18" t="s">
        <v>53</v>
      </c>
      <c r="N18" t="s">
        <v>96</v>
      </c>
      <c r="O18" s="67">
        <v>0.036</v>
      </c>
      <c r="P18" t="s">
        <v>96</v>
      </c>
      <c r="Q18" s="67">
        <v>0.036</v>
      </c>
      <c r="R18" t="s">
        <v>96</v>
      </c>
      <c r="S18" s="67">
        <v>0.036</v>
      </c>
    </row>
    <row r="19" spans="2:19" ht="12.75">
      <c r="B19" t="s">
        <v>103</v>
      </c>
      <c r="D19" t="s">
        <v>53</v>
      </c>
      <c r="N19" t="s">
        <v>96</v>
      </c>
      <c r="O19" s="67">
        <v>0.0012</v>
      </c>
      <c r="P19" t="s">
        <v>96</v>
      </c>
      <c r="Q19" s="67">
        <v>0.0012</v>
      </c>
      <c r="R19" t="s">
        <v>96</v>
      </c>
      <c r="S19" s="67">
        <v>0.0012</v>
      </c>
    </row>
    <row r="20" spans="2:19" ht="12.75">
      <c r="B20" t="s">
        <v>83</v>
      </c>
      <c r="D20" t="s">
        <v>53</v>
      </c>
      <c r="N20" t="s">
        <v>96</v>
      </c>
      <c r="O20" s="67">
        <v>0.24</v>
      </c>
      <c r="P20" t="s">
        <v>96</v>
      </c>
      <c r="Q20" s="67">
        <v>0.24</v>
      </c>
      <c r="R20" t="s">
        <v>96</v>
      </c>
      <c r="S20" s="67">
        <v>0.24</v>
      </c>
    </row>
    <row r="21" spans="2:19" ht="12.75">
      <c r="B21" t="s">
        <v>77</v>
      </c>
      <c r="D21" t="s">
        <v>53</v>
      </c>
      <c r="N21" t="s">
        <v>96</v>
      </c>
      <c r="O21" s="67">
        <v>0.042</v>
      </c>
      <c r="P21" t="s">
        <v>96</v>
      </c>
      <c r="Q21" s="67">
        <v>0.042</v>
      </c>
      <c r="R21" t="s">
        <v>96</v>
      </c>
      <c r="S21" s="67">
        <v>0.042</v>
      </c>
    </row>
    <row r="22" spans="2:19" ht="12.75">
      <c r="B22" t="s">
        <v>79</v>
      </c>
      <c r="D22" t="s">
        <v>53</v>
      </c>
      <c r="N22" t="s">
        <v>96</v>
      </c>
      <c r="O22" s="67">
        <v>0.0014</v>
      </c>
      <c r="P22" t="s">
        <v>96</v>
      </c>
      <c r="Q22" s="67">
        <v>0.0014</v>
      </c>
      <c r="R22" t="s">
        <v>96</v>
      </c>
      <c r="S22" s="67">
        <v>0.0014</v>
      </c>
    </row>
    <row r="23" spans="2:19" ht="12.75">
      <c r="B23" t="s">
        <v>100</v>
      </c>
      <c r="D23" t="s">
        <v>53</v>
      </c>
      <c r="N23" t="s">
        <v>96</v>
      </c>
      <c r="O23" s="67">
        <v>0.0078</v>
      </c>
      <c r="P23" t="s">
        <v>96</v>
      </c>
      <c r="Q23" s="67">
        <v>0.0078</v>
      </c>
      <c r="R23" t="s">
        <v>96</v>
      </c>
      <c r="S23" s="67">
        <v>0.0078</v>
      </c>
    </row>
    <row r="24" spans="2:19" ht="12.75">
      <c r="B24" t="s">
        <v>107</v>
      </c>
      <c r="D24" t="s">
        <v>53</v>
      </c>
      <c r="N24" t="s">
        <v>96</v>
      </c>
      <c r="O24" s="67">
        <v>0.031</v>
      </c>
      <c r="P24" t="s">
        <v>96</v>
      </c>
      <c r="Q24" s="67">
        <v>0.032</v>
      </c>
      <c r="R24" t="s">
        <v>96</v>
      </c>
      <c r="S24" s="67">
        <v>0.032</v>
      </c>
    </row>
    <row r="26" spans="2:21" ht="12.75">
      <c r="B26" t="s">
        <v>116</v>
      </c>
      <c r="O26">
        <f>'emiss 2'!G48</f>
        <v>7563</v>
      </c>
      <c r="Q26">
        <f>'emiss 2'!I48</f>
        <v>7924</v>
      </c>
      <c r="S26">
        <f>'emiss 2'!K48</f>
        <v>8098</v>
      </c>
      <c r="U26" s="64">
        <f>AVERAGE(O26,Q26,S26)</f>
        <v>7861.666666666667</v>
      </c>
    </row>
    <row r="27" spans="2:21" ht="12.75">
      <c r="B27" t="s">
        <v>117</v>
      </c>
      <c r="O27">
        <f>'emiss 2'!G49</f>
        <v>8.91</v>
      </c>
      <c r="Q27">
        <f>'emiss 2'!I49</f>
        <v>9.34</v>
      </c>
      <c r="S27">
        <f>'emiss 2'!K49</f>
        <v>10.44</v>
      </c>
      <c r="U27" s="64">
        <f>AVERAGE(O27,Q27,S27)</f>
        <v>9.563333333333333</v>
      </c>
    </row>
    <row r="29" spans="2:3" ht="12.75">
      <c r="B29" s="45" t="s">
        <v>118</v>
      </c>
      <c r="C29" s="45"/>
    </row>
    <row r="30" spans="2:21" ht="12.75">
      <c r="B30" t="s">
        <v>49</v>
      </c>
      <c r="D30" t="s">
        <v>61</v>
      </c>
      <c r="U30" s="64">
        <f>U12/60*454/(0.0283*U$26)*(21-7)/(21-U$27)*1000</f>
        <v>81058.40708021873</v>
      </c>
    </row>
    <row r="31" spans="2:21" ht="12.75">
      <c r="B31" t="s">
        <v>121</v>
      </c>
      <c r="D31" t="s">
        <v>55</v>
      </c>
      <c r="S31" s="64"/>
      <c r="U31" s="64">
        <f>U11/60*454/(0.0283*U$26)*(21-7)/(21-U$27)*1000000</f>
        <v>520405.7978956004</v>
      </c>
    </row>
    <row r="32" spans="2:21" ht="12.75">
      <c r="B32" t="s">
        <v>192</v>
      </c>
      <c r="D32" t="s">
        <v>55</v>
      </c>
      <c r="N32" t="s">
        <v>96</v>
      </c>
      <c r="O32" s="64">
        <f>O14/60*454/(0.0283*O$26)*(21-7)/(21-O$27)*1000000</f>
        <v>323409.58914517506</v>
      </c>
      <c r="P32" t="s">
        <v>96</v>
      </c>
      <c r="Q32" s="64">
        <f>Q14/60*454/(0.0283*Q$26)*(21-7)/(21-Q$27)*1000000</f>
        <v>320059.1714502065</v>
      </c>
      <c r="R32" t="s">
        <v>96</v>
      </c>
      <c r="S32" s="64">
        <f aca="true" t="shared" si="0" ref="S32:S42">S14/60*454/(0.0283*S$26)*(21-7)/(21-S$27)*1000000</f>
        <v>345805.26660977537</v>
      </c>
      <c r="U32" s="64">
        <f aca="true" t="shared" si="1" ref="U32:U39">AVERAGE(O32,Q32,S32)</f>
        <v>329758.00906838564</v>
      </c>
    </row>
    <row r="33" spans="2:21" ht="12.75">
      <c r="B33" t="s">
        <v>105</v>
      </c>
      <c r="D33" t="s">
        <v>55</v>
      </c>
      <c r="N33" t="s">
        <v>96</v>
      </c>
      <c r="O33" s="64">
        <f aca="true" t="shared" si="2" ref="O33:Q42">O15/60*454/(0.0283*O$26)*(21-7)/(21-O$27)*1000000</f>
        <v>941.5722215619019</v>
      </c>
      <c r="P33" t="s">
        <v>96</v>
      </c>
      <c r="Q33" s="64">
        <f t="shared" si="2"/>
        <v>931.8178409309809</v>
      </c>
      <c r="R33" t="s">
        <v>96</v>
      </c>
      <c r="S33" s="64">
        <f t="shared" si="0"/>
        <v>1006.7748268385864</v>
      </c>
      <c r="U33" s="64">
        <f t="shared" si="1"/>
        <v>960.0549631104897</v>
      </c>
    </row>
    <row r="34" spans="2:21" ht="12.75">
      <c r="B34" t="s">
        <v>101</v>
      </c>
      <c r="D34" t="s">
        <v>55</v>
      </c>
      <c r="N34" t="s">
        <v>96</v>
      </c>
      <c r="O34" s="64">
        <f t="shared" si="2"/>
        <v>655.0067628256709</v>
      </c>
      <c r="P34" t="s">
        <v>96</v>
      </c>
      <c r="Q34" s="64">
        <f t="shared" si="2"/>
        <v>648.2211067345954</v>
      </c>
      <c r="R34" t="s">
        <v>96</v>
      </c>
      <c r="S34" s="64">
        <f t="shared" si="0"/>
        <v>700.3650969311906</v>
      </c>
      <c r="U34" s="64">
        <f t="shared" si="1"/>
        <v>667.864322163819</v>
      </c>
    </row>
    <row r="35" spans="2:21" ht="12.75">
      <c r="B35" t="s">
        <v>102</v>
      </c>
      <c r="D35" t="s">
        <v>55</v>
      </c>
      <c r="O35" s="64">
        <f t="shared" si="2"/>
        <v>8596.963762086929</v>
      </c>
      <c r="Q35" s="64">
        <f t="shared" si="2"/>
        <v>8507.902025891564</v>
      </c>
      <c r="S35" s="64">
        <f t="shared" si="0"/>
        <v>9192.291897221876</v>
      </c>
      <c r="U35" s="64">
        <f t="shared" si="1"/>
        <v>8765.719228400123</v>
      </c>
    </row>
    <row r="36" spans="2:21" ht="12.75">
      <c r="B36" t="s">
        <v>78</v>
      </c>
      <c r="D36" t="s">
        <v>55</v>
      </c>
      <c r="N36" t="s">
        <v>96</v>
      </c>
      <c r="O36" s="64">
        <f t="shared" si="2"/>
        <v>1473.7652163577593</v>
      </c>
      <c r="P36" t="s">
        <v>96</v>
      </c>
      <c r="Q36" s="64">
        <f t="shared" si="2"/>
        <v>1458.4974901528396</v>
      </c>
      <c r="R36" t="s">
        <v>96</v>
      </c>
      <c r="S36" s="64">
        <f t="shared" si="0"/>
        <v>1575.8214680951783</v>
      </c>
      <c r="U36" s="64">
        <f t="shared" si="1"/>
        <v>1502.6947248685926</v>
      </c>
    </row>
    <row r="37" spans="2:21" ht="12.75">
      <c r="B37" t="s">
        <v>103</v>
      </c>
      <c r="D37" t="s">
        <v>55</v>
      </c>
      <c r="N37" t="s">
        <v>96</v>
      </c>
      <c r="O37" s="64">
        <f t="shared" si="2"/>
        <v>49.12550721192532</v>
      </c>
      <c r="P37" t="s">
        <v>96</v>
      </c>
      <c r="Q37" s="64">
        <f t="shared" si="2"/>
        <v>48.616583005094654</v>
      </c>
      <c r="R37" t="s">
        <v>96</v>
      </c>
      <c r="S37" s="64">
        <f t="shared" si="0"/>
        <v>52.527382269839286</v>
      </c>
      <c r="U37" s="64">
        <f t="shared" si="1"/>
        <v>50.08982416228642</v>
      </c>
    </row>
    <row r="38" spans="2:21" ht="12.75">
      <c r="B38" t="s">
        <v>83</v>
      </c>
      <c r="D38" t="s">
        <v>55</v>
      </c>
      <c r="N38" t="s">
        <v>96</v>
      </c>
      <c r="O38" s="64">
        <f t="shared" si="2"/>
        <v>9825.101442385063</v>
      </c>
      <c r="P38" t="s">
        <v>96</v>
      </c>
      <c r="Q38" s="64">
        <f t="shared" si="2"/>
        <v>9723.31660101893</v>
      </c>
      <c r="R38" t="s">
        <v>96</v>
      </c>
      <c r="S38" s="64">
        <f t="shared" si="0"/>
        <v>10505.476453967858</v>
      </c>
      <c r="U38" s="64">
        <f t="shared" si="1"/>
        <v>10017.964832457285</v>
      </c>
    </row>
    <row r="39" spans="2:21" ht="12.75">
      <c r="B39" t="s">
        <v>77</v>
      </c>
      <c r="D39" t="s">
        <v>55</v>
      </c>
      <c r="N39" t="s">
        <v>96</v>
      </c>
      <c r="O39" s="64">
        <f t="shared" si="2"/>
        <v>1719.3927524173857</v>
      </c>
      <c r="P39" t="s">
        <v>96</v>
      </c>
      <c r="Q39" s="64">
        <f t="shared" si="2"/>
        <v>1701.5804051783127</v>
      </c>
      <c r="R39" t="s">
        <v>96</v>
      </c>
      <c r="S39" s="64">
        <f t="shared" si="0"/>
        <v>1838.4583794443752</v>
      </c>
      <c r="U39" s="64">
        <f t="shared" si="1"/>
        <v>1753.1438456800245</v>
      </c>
    </row>
    <row r="40" spans="2:21" ht="12.75">
      <c r="B40" t="s">
        <v>79</v>
      </c>
      <c r="D40" t="s">
        <v>55</v>
      </c>
      <c r="N40" t="s">
        <v>96</v>
      </c>
      <c r="O40" s="64">
        <f t="shared" si="2"/>
        <v>57.31309174724619</v>
      </c>
      <c r="P40" t="s">
        <v>96</v>
      </c>
      <c r="Q40" s="64">
        <f t="shared" si="2"/>
        <v>56.71934683927709</v>
      </c>
      <c r="R40" t="s">
        <v>96</v>
      </c>
      <c r="S40" s="64">
        <f t="shared" si="0"/>
        <v>61.28194598147917</v>
      </c>
      <c r="U40" s="64">
        <f>AVERAGE(O40/2,Q40/2,S40/2)</f>
        <v>29.219064094667075</v>
      </c>
    </row>
    <row r="41" spans="2:21" ht="12.75">
      <c r="B41" t="s">
        <v>100</v>
      </c>
      <c r="D41" t="s">
        <v>55</v>
      </c>
      <c r="N41" t="s">
        <v>96</v>
      </c>
      <c r="O41" s="64">
        <f t="shared" si="2"/>
        <v>319.3157968775145</v>
      </c>
      <c r="P41" t="s">
        <v>96</v>
      </c>
      <c r="Q41" s="64">
        <f t="shared" si="2"/>
        <v>316.0077895331153</v>
      </c>
      <c r="R41" t="s">
        <v>96</v>
      </c>
      <c r="S41" s="64">
        <f t="shared" si="0"/>
        <v>341.4279847539554</v>
      </c>
      <c r="U41" s="64">
        <f>AVERAGE(O41,Q41,S41)</f>
        <v>325.5838570548617</v>
      </c>
    </row>
    <row r="42" spans="2:21" ht="12.75">
      <c r="B42" t="s">
        <v>107</v>
      </c>
      <c r="D42" t="s">
        <v>55</v>
      </c>
      <c r="N42" t="s">
        <v>96</v>
      </c>
      <c r="O42" s="64">
        <f t="shared" si="2"/>
        <v>1269.0756029747372</v>
      </c>
      <c r="P42" t="s">
        <v>96</v>
      </c>
      <c r="Q42" s="64">
        <f t="shared" si="2"/>
        <v>1296.4422134691908</v>
      </c>
      <c r="R42" t="s">
        <v>96</v>
      </c>
      <c r="S42" s="64">
        <f t="shared" si="0"/>
        <v>1400.7301938623812</v>
      </c>
      <c r="U42" s="64">
        <f>AVERAGE(O42,Q42,S42)</f>
        <v>1322.082670102103</v>
      </c>
    </row>
    <row r="43" spans="2:21" ht="12.75">
      <c r="B43" t="s">
        <v>56</v>
      </c>
      <c r="D43" t="s">
        <v>55</v>
      </c>
      <c r="O43" s="64">
        <f>(O37+O39)/2</f>
        <v>884.2591298146556</v>
      </c>
      <c r="Q43" s="64">
        <f>(Q37+Q39)/2</f>
        <v>875.0984940917037</v>
      </c>
      <c r="S43" s="64">
        <f>(S37+S39)/2</f>
        <v>945.4928808571073</v>
      </c>
      <c r="U43" s="64">
        <f>AVERAGE(O43,Q43,S43)</f>
        <v>901.6168349211556</v>
      </c>
    </row>
    <row r="44" spans="2:21" ht="12.75">
      <c r="B44" t="s">
        <v>57</v>
      </c>
      <c r="D44" t="s">
        <v>55</v>
      </c>
      <c r="O44" s="64">
        <f>(O34+O36+O38)/2</f>
        <v>5976.936710784246</v>
      </c>
      <c r="Q44" s="64">
        <f>(Q34+Q36+Q38)/2</f>
        <v>5915.017598953183</v>
      </c>
      <c r="S44" s="64">
        <f>(S34+S36+S38)/2</f>
        <v>6390.831509497113</v>
      </c>
      <c r="U44" s="64">
        <f>AVERAGE(O44,Q44,S44)</f>
        <v>6094.261939744848</v>
      </c>
    </row>
    <row r="46" spans="2:21" ht="12.75">
      <c r="B46" s="6" t="s">
        <v>142</v>
      </c>
      <c r="C46" s="6"/>
      <c r="F46" s="51" t="s">
        <v>168</v>
      </c>
      <c r="G46" s="51" t="s">
        <v>169</v>
      </c>
      <c r="H46" s="51" t="s">
        <v>170</v>
      </c>
      <c r="I46" s="51" t="s">
        <v>47</v>
      </c>
      <c r="J46" s="51" t="s">
        <v>168</v>
      </c>
      <c r="K46" s="51" t="s">
        <v>169</v>
      </c>
      <c r="L46" s="51" t="s">
        <v>170</v>
      </c>
      <c r="M46" s="51" t="s">
        <v>47</v>
      </c>
      <c r="N46" s="51"/>
      <c r="O46" s="51" t="s">
        <v>168</v>
      </c>
      <c r="P46" s="51"/>
      <c r="Q46" s="51" t="s">
        <v>169</v>
      </c>
      <c r="R46" s="51"/>
      <c r="S46" s="51" t="s">
        <v>170</v>
      </c>
      <c r="T46" s="51"/>
      <c r="U46" s="51" t="s">
        <v>47</v>
      </c>
    </row>
    <row r="47" spans="2:3" ht="12.75">
      <c r="B47" s="6"/>
      <c r="C47" s="6"/>
    </row>
    <row r="48" spans="2:21" ht="12.75">
      <c r="B48" s="12" t="s">
        <v>215</v>
      </c>
      <c r="C48" s="12"/>
      <c r="O48" t="s">
        <v>217</v>
      </c>
      <c r="Q48" t="s">
        <v>217</v>
      </c>
      <c r="S48" t="s">
        <v>217</v>
      </c>
      <c r="U48" t="s">
        <v>217</v>
      </c>
    </row>
    <row r="49" spans="2:21" ht="12.75">
      <c r="B49" s="12" t="s">
        <v>216</v>
      </c>
      <c r="C49" s="12"/>
      <c r="O49" t="s">
        <v>25</v>
      </c>
      <c r="Q49" t="s">
        <v>25</v>
      </c>
      <c r="S49" t="s">
        <v>25</v>
      </c>
      <c r="U49" t="s">
        <v>25</v>
      </c>
    </row>
    <row r="50" spans="2:21" ht="12.75">
      <c r="B50" s="12" t="s">
        <v>218</v>
      </c>
      <c r="C50" s="12"/>
      <c r="O50" t="s">
        <v>25</v>
      </c>
      <c r="Q50" t="s">
        <v>25</v>
      </c>
      <c r="S50" t="s">
        <v>25</v>
      </c>
      <c r="U50" t="s">
        <v>25</v>
      </c>
    </row>
    <row r="51" spans="2:21" ht="12.75">
      <c r="B51" t="s">
        <v>48</v>
      </c>
      <c r="F51" t="s">
        <v>189</v>
      </c>
      <c r="J51" t="s">
        <v>190</v>
      </c>
      <c r="O51" t="s">
        <v>25</v>
      </c>
      <c r="Q51" t="s">
        <v>25</v>
      </c>
      <c r="S51" t="s">
        <v>25</v>
      </c>
      <c r="U51" t="s">
        <v>25</v>
      </c>
    </row>
    <row r="52" spans="2:4" ht="12.75">
      <c r="B52" t="s">
        <v>191</v>
      </c>
      <c r="D52" t="s">
        <v>53</v>
      </c>
    </row>
    <row r="54" spans="2:21" ht="12.75">
      <c r="B54" t="s">
        <v>121</v>
      </c>
      <c r="D54" t="s">
        <v>53</v>
      </c>
      <c r="U54">
        <v>13.4</v>
      </c>
    </row>
    <row r="55" spans="2:21" ht="12.75">
      <c r="B55" t="s">
        <v>49</v>
      </c>
      <c r="D55" t="s">
        <v>53</v>
      </c>
      <c r="U55">
        <v>4408</v>
      </c>
    </row>
    <row r="57" spans="2:19" ht="12.75">
      <c r="B57" t="s">
        <v>192</v>
      </c>
      <c r="D57" t="s">
        <v>53</v>
      </c>
      <c r="N57" t="s">
        <v>96</v>
      </c>
      <c r="O57">
        <v>13</v>
      </c>
      <c r="P57" t="s">
        <v>96</v>
      </c>
      <c r="Q57">
        <v>12</v>
      </c>
      <c r="R57" t="s">
        <v>96</v>
      </c>
      <c r="S57">
        <v>12</v>
      </c>
    </row>
    <row r="58" spans="2:19" ht="12.75">
      <c r="B58" t="s">
        <v>105</v>
      </c>
      <c r="D58" t="s">
        <v>53</v>
      </c>
      <c r="N58" t="s">
        <v>96</v>
      </c>
      <c r="O58" s="67">
        <v>0.035</v>
      </c>
      <c r="P58" t="s">
        <v>96</v>
      </c>
      <c r="Q58" s="67">
        <v>0.033</v>
      </c>
      <c r="R58" t="s">
        <v>96</v>
      </c>
      <c r="S58" s="67">
        <v>0.033</v>
      </c>
    </row>
    <row r="59" spans="2:19" ht="12.75">
      <c r="B59" t="s">
        <v>101</v>
      </c>
      <c r="D59" t="s">
        <v>53</v>
      </c>
      <c r="N59" t="s">
        <v>96</v>
      </c>
      <c r="O59" s="67">
        <v>0.024</v>
      </c>
      <c r="P59" t="s">
        <v>96</v>
      </c>
      <c r="Q59" s="67">
        <v>0.022</v>
      </c>
      <c r="R59" t="s">
        <v>96</v>
      </c>
      <c r="S59" s="67">
        <v>0.022</v>
      </c>
    </row>
    <row r="60" spans="2:19" ht="12.75">
      <c r="B60" t="s">
        <v>102</v>
      </c>
      <c r="D60" t="s">
        <v>53</v>
      </c>
      <c r="N60" t="s">
        <v>96</v>
      </c>
      <c r="O60" s="67">
        <v>0.033</v>
      </c>
      <c r="P60" t="s">
        <v>96</v>
      </c>
      <c r="Q60" s="67">
        <v>0.31</v>
      </c>
      <c r="R60" t="s">
        <v>96</v>
      </c>
      <c r="S60" s="67">
        <v>0.31</v>
      </c>
    </row>
    <row r="61" spans="2:19" ht="12.75">
      <c r="B61" t="s">
        <v>78</v>
      </c>
      <c r="D61" t="s">
        <v>53</v>
      </c>
      <c r="N61" t="s">
        <v>96</v>
      </c>
      <c r="O61" s="67">
        <v>0.055</v>
      </c>
      <c r="P61" t="s">
        <v>96</v>
      </c>
      <c r="Q61" s="67">
        <v>0.051</v>
      </c>
      <c r="R61" t="s">
        <v>96</v>
      </c>
      <c r="S61" s="67">
        <v>0.051</v>
      </c>
    </row>
    <row r="62" spans="2:19" ht="12.75">
      <c r="B62" t="s">
        <v>103</v>
      </c>
      <c r="D62" t="s">
        <v>53</v>
      </c>
      <c r="N62" t="s">
        <v>96</v>
      </c>
      <c r="O62" s="67">
        <v>0.0018</v>
      </c>
      <c r="P62" t="s">
        <v>96</v>
      </c>
      <c r="Q62" s="67">
        <v>0.0016</v>
      </c>
      <c r="R62" t="s">
        <v>96</v>
      </c>
      <c r="S62" s="67">
        <v>0.0016</v>
      </c>
    </row>
    <row r="63" spans="2:19" ht="12.75">
      <c r="B63" t="s">
        <v>83</v>
      </c>
      <c r="D63" t="s">
        <v>53</v>
      </c>
      <c r="N63" t="s">
        <v>96</v>
      </c>
      <c r="O63" s="67">
        <v>0.4</v>
      </c>
      <c r="P63" t="s">
        <v>96</v>
      </c>
      <c r="Q63" s="67">
        <v>0.36</v>
      </c>
      <c r="R63" t="s">
        <v>96</v>
      </c>
      <c r="S63" s="67">
        <v>0.36</v>
      </c>
    </row>
    <row r="64" spans="2:19" ht="12.75">
      <c r="B64" t="s">
        <v>77</v>
      </c>
      <c r="D64" t="s">
        <v>53</v>
      </c>
      <c r="N64" t="s">
        <v>96</v>
      </c>
      <c r="O64" s="67">
        <v>0.082</v>
      </c>
      <c r="P64" t="s">
        <v>96</v>
      </c>
      <c r="Q64" s="67">
        <v>0.076</v>
      </c>
      <c r="R64" t="s">
        <v>96</v>
      </c>
      <c r="S64" s="67">
        <v>0.076</v>
      </c>
    </row>
    <row r="65" spans="2:19" ht="12.75">
      <c r="B65" t="s">
        <v>79</v>
      </c>
      <c r="D65" t="s">
        <v>53</v>
      </c>
      <c r="N65" t="s">
        <v>96</v>
      </c>
      <c r="O65" s="67">
        <v>0.0016</v>
      </c>
      <c r="P65" t="s">
        <v>96</v>
      </c>
      <c r="Q65" s="67">
        <v>0.0015</v>
      </c>
      <c r="R65" t="s">
        <v>96</v>
      </c>
      <c r="S65" s="67">
        <v>0.0015</v>
      </c>
    </row>
    <row r="66" spans="2:19" ht="12.75">
      <c r="B66" t="s">
        <v>100</v>
      </c>
      <c r="D66" t="s">
        <v>53</v>
      </c>
      <c r="N66" t="s">
        <v>96</v>
      </c>
      <c r="O66" s="67">
        <v>0.012</v>
      </c>
      <c r="P66" t="s">
        <v>96</v>
      </c>
      <c r="Q66" s="67">
        <v>0.011</v>
      </c>
      <c r="R66" t="s">
        <v>96</v>
      </c>
      <c r="S66" s="67">
        <v>0.011</v>
      </c>
    </row>
    <row r="67" spans="2:19" ht="12.75">
      <c r="B67" t="s">
        <v>107</v>
      </c>
      <c r="D67" t="s">
        <v>53</v>
      </c>
      <c r="N67" t="s">
        <v>96</v>
      </c>
      <c r="O67" s="67">
        <v>0.047</v>
      </c>
      <c r="P67" t="s">
        <v>96</v>
      </c>
      <c r="Q67" s="67">
        <v>0.044</v>
      </c>
      <c r="R67" t="s">
        <v>96</v>
      </c>
      <c r="S67" s="67">
        <v>0.044</v>
      </c>
    </row>
    <row r="69" spans="2:21" ht="12.75">
      <c r="B69" t="s">
        <v>116</v>
      </c>
      <c r="O69">
        <f>'emiss 2'!G72</f>
        <v>6856</v>
      </c>
      <c r="Q69">
        <f>'emiss 2'!I72</f>
        <v>6769</v>
      </c>
      <c r="S69">
        <f>'emiss 2'!K72</f>
        <v>6675</v>
      </c>
      <c r="U69" s="64">
        <f>AVERAGE(O69,Q69,S69)</f>
        <v>6766.666666666667</v>
      </c>
    </row>
    <row r="70" spans="2:21" ht="12.75">
      <c r="B70" t="s">
        <v>117</v>
      </c>
      <c r="O70">
        <f>'emiss 2'!G73</f>
        <v>5.32</v>
      </c>
      <c r="Q70">
        <f>'emiss 2'!I73</f>
        <v>7.03</v>
      </c>
      <c r="S70">
        <f>'emiss 2'!K73</f>
        <v>7.53</v>
      </c>
      <c r="U70" s="64">
        <f>AVERAGE(O70,Q70,S70)</f>
        <v>6.626666666666668</v>
      </c>
    </row>
    <row r="71" ht="12.75">
      <c r="U71" s="64"/>
    </row>
    <row r="72" spans="2:21" ht="12.75">
      <c r="B72" s="8" t="s">
        <v>221</v>
      </c>
      <c r="C72" s="8"/>
      <c r="D72" s="8" t="s">
        <v>123</v>
      </c>
      <c r="O72" s="57">
        <f>O69/9000*60*(21-O70)/21</f>
        <v>34.12764444444444</v>
      </c>
      <c r="Q72" s="57">
        <f>Q69/9000*60*(21-Q70)/21</f>
        <v>30.019977777777772</v>
      </c>
      <c r="S72" s="57">
        <f>S69/9000*60*(21-S70)/21</f>
        <v>28.543571428571425</v>
      </c>
      <c r="U72" s="57">
        <f>U69/9000*60*(21-U70)/21</f>
        <v>30.876049382716047</v>
      </c>
    </row>
    <row r="74" spans="2:3" ht="12.75">
      <c r="B74" s="45" t="s">
        <v>118</v>
      </c>
      <c r="C74" s="45"/>
    </row>
    <row r="75" spans="2:21" ht="12.75">
      <c r="B75" t="s">
        <v>49</v>
      </c>
      <c r="D75" t="s">
        <v>61</v>
      </c>
      <c r="U75" s="64">
        <f>U55/60*454/(0.0283*U$69)*(21-7)/(21-U$70)*1000</f>
        <v>169650.6421392843</v>
      </c>
    </row>
    <row r="76" spans="2:21" ht="12.75">
      <c r="B76" t="s">
        <v>121</v>
      </c>
      <c r="D76" t="s">
        <v>55</v>
      </c>
      <c r="S76" s="64"/>
      <c r="U76" s="64">
        <f>U54/60*454/(0.0283*U$69)*(21-7)/(21-U$70)*1000000</f>
        <v>515725.6362673343</v>
      </c>
    </row>
    <row r="77" spans="2:21" ht="12.75">
      <c r="B77" t="s">
        <v>192</v>
      </c>
      <c r="D77" t="s">
        <v>55</v>
      </c>
      <c r="N77" t="s">
        <v>96</v>
      </c>
      <c r="O77" s="64">
        <f>O57/60*454/(0.0283*O$69)*(21-7)/(21-O$70)*1000000</f>
        <v>452660.5926272361</v>
      </c>
      <c r="P77" t="s">
        <v>96</v>
      </c>
      <c r="Q77" s="64">
        <f>Q57/60*454/(0.0283*Q$69)*(21-7)/(21-Q$70)*1000000</f>
        <v>475014.12990475615</v>
      </c>
      <c r="R77" t="s">
        <v>96</v>
      </c>
      <c r="S77" s="64">
        <f aca="true" t="shared" si="3" ref="S77:S87">S57/60*454/(0.0283*S$69)*(21-7)/(21-S$70)*1000000</f>
        <v>499584.07130501524</v>
      </c>
      <c r="U77" s="64">
        <f aca="true" t="shared" si="4" ref="U77:U84">AVERAGE(O77,Q77,S77)</f>
        <v>475752.9312790025</v>
      </c>
    </row>
    <row r="78" spans="2:21" ht="12.75">
      <c r="B78" t="s">
        <v>105</v>
      </c>
      <c r="D78" t="s">
        <v>55</v>
      </c>
      <c r="N78" t="s">
        <v>96</v>
      </c>
      <c r="O78" s="64">
        <f aca="true" t="shared" si="5" ref="O78:Q87">O58/60*454/(0.0283*O$69)*(21-7)/(21-O$70)*1000000</f>
        <v>1218.7015955348666</v>
      </c>
      <c r="P78" t="s">
        <v>96</v>
      </c>
      <c r="Q78" s="64">
        <f t="shared" si="5"/>
        <v>1306.2888572380793</v>
      </c>
      <c r="R78" t="s">
        <v>96</v>
      </c>
      <c r="S78" s="64">
        <f t="shared" si="3"/>
        <v>1373.8561960887916</v>
      </c>
      <c r="U78" s="64">
        <f t="shared" si="4"/>
        <v>1299.6155496205793</v>
      </c>
    </row>
    <row r="79" spans="2:21" ht="12.75">
      <c r="B79" t="s">
        <v>101</v>
      </c>
      <c r="D79" t="s">
        <v>55</v>
      </c>
      <c r="N79" t="s">
        <v>96</v>
      </c>
      <c r="O79" s="64">
        <f t="shared" si="5"/>
        <v>835.6810940810514</v>
      </c>
      <c r="P79" t="s">
        <v>96</v>
      </c>
      <c r="Q79" s="64">
        <f t="shared" si="5"/>
        <v>870.8592381587194</v>
      </c>
      <c r="R79" t="s">
        <v>96</v>
      </c>
      <c r="S79" s="64">
        <f t="shared" si="3"/>
        <v>915.9041307258613</v>
      </c>
      <c r="U79" s="64">
        <f t="shared" si="4"/>
        <v>874.1481543218773</v>
      </c>
    </row>
    <row r="80" spans="2:21" ht="12.75">
      <c r="B80" t="s">
        <v>102</v>
      </c>
      <c r="D80" t="s">
        <v>55</v>
      </c>
      <c r="O80" s="64">
        <f t="shared" si="5"/>
        <v>1149.0615043614453</v>
      </c>
      <c r="Q80" s="64">
        <f t="shared" si="5"/>
        <v>12271.198355872866</v>
      </c>
      <c r="S80" s="64">
        <f t="shared" si="3"/>
        <v>12905.921842046226</v>
      </c>
      <c r="U80" s="64">
        <f t="shared" si="4"/>
        <v>8775.393900760178</v>
      </c>
    </row>
    <row r="81" spans="2:21" ht="12.75">
      <c r="B81" t="s">
        <v>78</v>
      </c>
      <c r="D81" t="s">
        <v>55</v>
      </c>
      <c r="N81" t="s">
        <v>96</v>
      </c>
      <c r="O81" s="64">
        <f t="shared" si="5"/>
        <v>1915.102507269076</v>
      </c>
      <c r="P81" t="s">
        <v>96</v>
      </c>
      <c r="Q81" s="64">
        <f t="shared" si="5"/>
        <v>2018.8100520952135</v>
      </c>
      <c r="R81" t="s">
        <v>96</v>
      </c>
      <c r="S81" s="64">
        <f t="shared" si="3"/>
        <v>2123.2323030463144</v>
      </c>
      <c r="U81" s="64">
        <f t="shared" si="4"/>
        <v>2019.048287470201</v>
      </c>
    </row>
    <row r="82" spans="2:21" ht="12.75">
      <c r="B82" t="s">
        <v>103</v>
      </c>
      <c r="D82" t="s">
        <v>55</v>
      </c>
      <c r="N82" t="s">
        <v>96</v>
      </c>
      <c r="O82" s="64">
        <f t="shared" si="5"/>
        <v>62.67608205607886</v>
      </c>
      <c r="P82" t="s">
        <v>96</v>
      </c>
      <c r="Q82" s="64">
        <f t="shared" si="5"/>
        <v>63.335217320634136</v>
      </c>
      <c r="R82" t="s">
        <v>96</v>
      </c>
      <c r="S82" s="64">
        <f t="shared" si="3"/>
        <v>66.61120950733535</v>
      </c>
      <c r="U82" s="64">
        <f t="shared" si="4"/>
        <v>64.20750296134945</v>
      </c>
    </row>
    <row r="83" spans="2:21" ht="12.75">
      <c r="B83" t="s">
        <v>83</v>
      </c>
      <c r="D83" t="s">
        <v>55</v>
      </c>
      <c r="N83" t="s">
        <v>96</v>
      </c>
      <c r="O83" s="64">
        <f t="shared" si="5"/>
        <v>13928.018234684187</v>
      </c>
      <c r="P83" t="s">
        <v>96</v>
      </c>
      <c r="Q83" s="64">
        <f t="shared" si="5"/>
        <v>14250.423897142682</v>
      </c>
      <c r="R83" t="s">
        <v>96</v>
      </c>
      <c r="S83" s="64">
        <f t="shared" si="3"/>
        <v>14987.522139150456</v>
      </c>
      <c r="U83" s="64">
        <f t="shared" si="4"/>
        <v>14388.654756992442</v>
      </c>
    </row>
    <row r="84" spans="2:21" ht="12.75">
      <c r="B84" t="s">
        <v>77</v>
      </c>
      <c r="D84" t="s">
        <v>55</v>
      </c>
      <c r="N84" t="s">
        <v>96</v>
      </c>
      <c r="O84" s="64">
        <f t="shared" si="5"/>
        <v>2855.2437381102577</v>
      </c>
      <c r="P84" t="s">
        <v>96</v>
      </c>
      <c r="Q84" s="64">
        <f t="shared" si="5"/>
        <v>3008.422822730121</v>
      </c>
      <c r="R84" t="s">
        <v>96</v>
      </c>
      <c r="S84" s="64">
        <f t="shared" si="3"/>
        <v>3164.0324515984294</v>
      </c>
      <c r="U84" s="64">
        <f t="shared" si="4"/>
        <v>3009.2330041462687</v>
      </c>
    </row>
    <row r="85" spans="2:21" ht="12.75">
      <c r="B85" t="s">
        <v>79</v>
      </c>
      <c r="D85" t="s">
        <v>55</v>
      </c>
      <c r="N85" t="s">
        <v>96</v>
      </c>
      <c r="O85" s="64">
        <f t="shared" si="5"/>
        <v>55.712072938736746</v>
      </c>
      <c r="P85" t="s">
        <v>96</v>
      </c>
      <c r="Q85" s="64">
        <f t="shared" si="5"/>
        <v>59.37676623809451</v>
      </c>
      <c r="R85" t="s">
        <v>96</v>
      </c>
      <c r="S85" s="64">
        <f t="shared" si="3"/>
        <v>62.44800891312689</v>
      </c>
      <c r="U85" s="64">
        <f>AVERAGE(O85/2,Q85/2,S85/2)</f>
        <v>29.58947468165969</v>
      </c>
    </row>
    <row r="86" spans="2:21" ht="12.75">
      <c r="B86" t="s">
        <v>100</v>
      </c>
      <c r="D86" t="s">
        <v>55</v>
      </c>
      <c r="N86" t="s">
        <v>96</v>
      </c>
      <c r="O86" s="64">
        <f t="shared" si="5"/>
        <v>417.8405470405257</v>
      </c>
      <c r="P86" t="s">
        <v>96</v>
      </c>
      <c r="Q86" s="64">
        <f t="shared" si="5"/>
        <v>435.4296190793597</v>
      </c>
      <c r="R86" t="s">
        <v>96</v>
      </c>
      <c r="S86" s="64">
        <f t="shared" si="3"/>
        <v>457.9520653629306</v>
      </c>
      <c r="U86" s="64">
        <f>AVERAGE(O86,Q86,S86)</f>
        <v>437.07407716093866</v>
      </c>
    </row>
    <row r="87" spans="2:21" ht="12.75">
      <c r="B87" t="s">
        <v>107</v>
      </c>
      <c r="D87" t="s">
        <v>55</v>
      </c>
      <c r="N87" t="s">
        <v>96</v>
      </c>
      <c r="O87" s="64">
        <f t="shared" si="5"/>
        <v>1636.5421425753923</v>
      </c>
      <c r="P87" t="s">
        <v>96</v>
      </c>
      <c r="Q87" s="64">
        <f t="shared" si="5"/>
        <v>1741.718476317439</v>
      </c>
      <c r="R87" t="s">
        <v>96</v>
      </c>
      <c r="S87" s="64">
        <f t="shared" si="3"/>
        <v>1831.8082614517225</v>
      </c>
      <c r="U87" s="64">
        <f>AVERAGE(O87,Q87,S87)</f>
        <v>1736.689626781518</v>
      </c>
    </row>
    <row r="88" spans="2:21" ht="12.75">
      <c r="B88" t="s">
        <v>56</v>
      </c>
      <c r="D88" t="s">
        <v>55</v>
      </c>
      <c r="O88" s="64">
        <f>(O82+O84)/2</f>
        <v>1458.9599100831683</v>
      </c>
      <c r="Q88" s="64">
        <f>(Q82+Q84)/2</f>
        <v>1535.8790200253775</v>
      </c>
      <c r="S88" s="64">
        <f>(S82+S84)/2</f>
        <v>1615.3218305528824</v>
      </c>
      <c r="U88" s="64">
        <f>AVERAGE(O88,Q88,S88)</f>
        <v>1536.7202535538092</v>
      </c>
    </row>
    <row r="89" spans="2:21" ht="12.75">
      <c r="B89" t="s">
        <v>57</v>
      </c>
      <c r="D89" t="s">
        <v>55</v>
      </c>
      <c r="O89" s="64">
        <f>(O79+O81+O83)/2</f>
        <v>8339.400918017156</v>
      </c>
      <c r="Q89" s="64">
        <f>(Q79+Q81+Q83)/2</f>
        <v>8570.046593698307</v>
      </c>
      <c r="S89" s="64">
        <f>(S79+S81+S83)/2</f>
        <v>9013.329286461316</v>
      </c>
      <c r="U89" s="64">
        <f>AVERAGE(O89,Q89,S89)</f>
        <v>8640.925599392262</v>
      </c>
    </row>
    <row r="93" spans="2:21" ht="12.75">
      <c r="B93" s="6" t="s">
        <v>172</v>
      </c>
      <c r="C93" s="6"/>
      <c r="F93" s="51" t="s">
        <v>168</v>
      </c>
      <c r="G93" s="51" t="s">
        <v>169</v>
      </c>
      <c r="H93" s="51" t="s">
        <v>170</v>
      </c>
      <c r="I93" s="51" t="s">
        <v>47</v>
      </c>
      <c r="J93" s="51" t="s">
        <v>168</v>
      </c>
      <c r="K93" s="51" t="s">
        <v>169</v>
      </c>
      <c r="L93" s="51" t="s">
        <v>170</v>
      </c>
      <c r="M93" s="51" t="s">
        <v>47</v>
      </c>
      <c r="N93" s="51"/>
      <c r="O93" s="51" t="s">
        <v>168</v>
      </c>
      <c r="P93" s="51"/>
      <c r="Q93" s="51" t="s">
        <v>169</v>
      </c>
      <c r="R93" s="51"/>
      <c r="S93" s="51" t="s">
        <v>170</v>
      </c>
      <c r="T93" s="51"/>
      <c r="U93" s="51" t="s">
        <v>47</v>
      </c>
    </row>
    <row r="94" spans="2:3" ht="12.75">
      <c r="B94" s="6"/>
      <c r="C94" s="6"/>
    </row>
    <row r="95" spans="2:21" ht="12.75">
      <c r="B95" s="12" t="s">
        <v>215</v>
      </c>
      <c r="C95" s="12"/>
      <c r="O95" t="s">
        <v>217</v>
      </c>
      <c r="Q95" t="s">
        <v>217</v>
      </c>
      <c r="S95" t="s">
        <v>217</v>
      </c>
      <c r="U95" t="s">
        <v>217</v>
      </c>
    </row>
    <row r="96" spans="2:21" ht="12.75">
      <c r="B96" s="12" t="s">
        <v>216</v>
      </c>
      <c r="C96" s="12"/>
      <c r="O96" t="s">
        <v>25</v>
      </c>
      <c r="Q96" t="s">
        <v>25</v>
      </c>
      <c r="S96" t="s">
        <v>25</v>
      </c>
      <c r="U96" t="s">
        <v>25</v>
      </c>
    </row>
    <row r="97" spans="2:21" ht="12.75">
      <c r="B97" s="12" t="s">
        <v>218</v>
      </c>
      <c r="C97" s="12"/>
      <c r="O97" t="s">
        <v>25</v>
      </c>
      <c r="Q97" t="s">
        <v>25</v>
      </c>
      <c r="S97" t="s">
        <v>25</v>
      </c>
      <c r="U97" t="s">
        <v>25</v>
      </c>
    </row>
    <row r="98" spans="2:21" ht="12.75">
      <c r="B98" t="s">
        <v>48</v>
      </c>
      <c r="F98" t="s">
        <v>189</v>
      </c>
      <c r="J98" t="s">
        <v>190</v>
      </c>
      <c r="O98" t="s">
        <v>25</v>
      </c>
      <c r="Q98" t="s">
        <v>25</v>
      </c>
      <c r="S98" t="s">
        <v>25</v>
      </c>
      <c r="U98" t="s">
        <v>25</v>
      </c>
    </row>
    <row r="99" spans="2:4" ht="12.75">
      <c r="B99" t="s">
        <v>191</v>
      </c>
      <c r="D99" t="s">
        <v>53</v>
      </c>
    </row>
    <row r="101" spans="2:21" ht="12.75">
      <c r="B101" t="s">
        <v>121</v>
      </c>
      <c r="D101" t="s">
        <v>53</v>
      </c>
      <c r="U101">
        <v>13.5</v>
      </c>
    </row>
    <row r="102" spans="2:21" ht="12.75">
      <c r="B102" t="s">
        <v>49</v>
      </c>
      <c r="D102" t="s">
        <v>53</v>
      </c>
      <c r="U102">
        <v>3139</v>
      </c>
    </row>
    <row r="104" spans="2:19" ht="12.75">
      <c r="B104" t="s">
        <v>192</v>
      </c>
      <c r="D104" t="s">
        <v>53</v>
      </c>
      <c r="N104" t="s">
        <v>96</v>
      </c>
      <c r="O104">
        <v>11</v>
      </c>
      <c r="P104" t="s">
        <v>96</v>
      </c>
      <c r="Q104">
        <v>11</v>
      </c>
      <c r="R104" t="s">
        <v>96</v>
      </c>
      <c r="S104">
        <v>11</v>
      </c>
    </row>
    <row r="105" spans="2:19" ht="12.75">
      <c r="B105" t="s">
        <v>105</v>
      </c>
      <c r="D105" t="s">
        <v>53</v>
      </c>
      <c r="N105" t="s">
        <v>96</v>
      </c>
      <c r="O105" s="67">
        <v>0.028</v>
      </c>
      <c r="P105" t="s">
        <v>96</v>
      </c>
      <c r="Q105" s="67">
        <v>0.028</v>
      </c>
      <c r="R105" t="s">
        <v>96</v>
      </c>
      <c r="S105" s="67">
        <v>0.028</v>
      </c>
    </row>
    <row r="106" spans="2:19" ht="12.75">
      <c r="B106" t="s">
        <v>101</v>
      </c>
      <c r="D106" t="s">
        <v>53</v>
      </c>
      <c r="N106" t="s">
        <v>96</v>
      </c>
      <c r="O106" s="67">
        <v>0.019</v>
      </c>
      <c r="P106" t="s">
        <v>96</v>
      </c>
      <c r="Q106" s="67">
        <v>0.019</v>
      </c>
      <c r="R106" t="s">
        <v>96</v>
      </c>
      <c r="S106" s="67">
        <v>0.019</v>
      </c>
    </row>
    <row r="107" spans="2:19" ht="12.75">
      <c r="B107" t="s">
        <v>102</v>
      </c>
      <c r="D107" t="s">
        <v>53</v>
      </c>
      <c r="N107" t="s">
        <v>96</v>
      </c>
      <c r="O107" s="67">
        <v>0.3</v>
      </c>
      <c r="P107" t="s">
        <v>96</v>
      </c>
      <c r="Q107" s="67">
        <v>0.3</v>
      </c>
      <c r="R107" t="s">
        <v>96</v>
      </c>
      <c r="S107" s="67">
        <v>0.3</v>
      </c>
    </row>
    <row r="108" spans="2:19" ht="12.75">
      <c r="B108" t="s">
        <v>78</v>
      </c>
      <c r="D108" t="s">
        <v>53</v>
      </c>
      <c r="N108" t="s">
        <v>96</v>
      </c>
      <c r="O108" s="67">
        <v>0.049</v>
      </c>
      <c r="P108" t="s">
        <v>96</v>
      </c>
      <c r="Q108" s="67">
        <v>0.049</v>
      </c>
      <c r="R108" t="s">
        <v>96</v>
      </c>
      <c r="S108" s="67">
        <v>0.049</v>
      </c>
    </row>
    <row r="109" spans="2:19" ht="12.75">
      <c r="B109" t="s">
        <v>103</v>
      </c>
      <c r="D109" t="s">
        <v>53</v>
      </c>
      <c r="N109" t="s">
        <v>96</v>
      </c>
      <c r="O109" s="67">
        <v>0.0014</v>
      </c>
      <c r="P109" t="s">
        <v>96</v>
      </c>
      <c r="Q109" s="67">
        <v>0.0014</v>
      </c>
      <c r="R109" t="s">
        <v>96</v>
      </c>
      <c r="S109" s="67">
        <v>0.0014</v>
      </c>
    </row>
    <row r="110" spans="2:19" ht="12.75">
      <c r="B110" t="s">
        <v>83</v>
      </c>
      <c r="D110" t="s">
        <v>53</v>
      </c>
      <c r="O110" s="67">
        <v>0.38</v>
      </c>
      <c r="Q110" s="67">
        <v>0.38</v>
      </c>
      <c r="S110" s="67">
        <v>0.38</v>
      </c>
    </row>
    <row r="111" spans="2:19" ht="12.75">
      <c r="B111" t="s">
        <v>77</v>
      </c>
      <c r="D111" t="s">
        <v>53</v>
      </c>
      <c r="N111" t="s">
        <v>96</v>
      </c>
      <c r="O111" s="67">
        <v>0.11</v>
      </c>
      <c r="P111" t="s">
        <v>96</v>
      </c>
      <c r="Q111" s="67">
        <v>0.11</v>
      </c>
      <c r="R111" t="s">
        <v>96</v>
      </c>
      <c r="S111" s="67">
        <v>0.11</v>
      </c>
    </row>
    <row r="112" spans="2:19" ht="12.75">
      <c r="B112" t="s">
        <v>79</v>
      </c>
      <c r="D112" t="s">
        <v>53</v>
      </c>
      <c r="N112" t="s">
        <v>96</v>
      </c>
      <c r="O112" s="67">
        <v>0.00034</v>
      </c>
      <c r="P112" t="s">
        <v>96</v>
      </c>
      <c r="Q112" s="67">
        <v>0.00034</v>
      </c>
      <c r="R112" t="s">
        <v>96</v>
      </c>
      <c r="S112" s="67">
        <v>0.00034</v>
      </c>
    </row>
    <row r="113" spans="2:19" ht="12.75">
      <c r="B113" t="s">
        <v>100</v>
      </c>
      <c r="D113" t="s">
        <v>53</v>
      </c>
      <c r="N113" t="s">
        <v>96</v>
      </c>
      <c r="O113" s="67">
        <v>0.0094</v>
      </c>
      <c r="P113" t="s">
        <v>96</v>
      </c>
      <c r="Q113" s="67">
        <v>0.0094</v>
      </c>
      <c r="R113" t="s">
        <v>96</v>
      </c>
      <c r="S113" s="67">
        <v>0.0094</v>
      </c>
    </row>
    <row r="114" spans="2:19" ht="12.75">
      <c r="B114" t="s">
        <v>107</v>
      </c>
      <c r="D114" t="s">
        <v>53</v>
      </c>
      <c r="N114" t="s">
        <v>96</v>
      </c>
      <c r="O114" s="67">
        <v>0.042</v>
      </c>
      <c r="P114" t="s">
        <v>96</v>
      </c>
      <c r="Q114" s="67">
        <v>0.042</v>
      </c>
      <c r="R114" t="s">
        <v>96</v>
      </c>
      <c r="S114" s="67">
        <v>0.042</v>
      </c>
    </row>
    <row r="116" spans="2:21" ht="12.75">
      <c r="B116" t="s">
        <v>116</v>
      </c>
      <c r="O116">
        <f>'emiss 2'!G119</f>
        <v>7400</v>
      </c>
      <c r="Q116">
        <f>'emiss 2'!I119</f>
        <v>7704</v>
      </c>
      <c r="S116">
        <f>'emiss 2'!K119</f>
        <v>8082</v>
      </c>
      <c r="U116" s="64">
        <f>AVERAGE(O116,Q116,S116)</f>
        <v>7728.666666666667</v>
      </c>
    </row>
    <row r="117" spans="2:21" ht="12.75">
      <c r="B117" t="s">
        <v>117</v>
      </c>
      <c r="O117">
        <f>'emiss 2'!G120</f>
        <v>10.41</v>
      </c>
      <c r="Q117">
        <f>'emiss 2'!I120</f>
        <v>9.76</v>
      </c>
      <c r="S117">
        <f>'emiss 2'!K120</f>
        <v>9.92</v>
      </c>
      <c r="U117" s="64">
        <f>AVERAGE(O117,Q117,S117)</f>
        <v>10.030000000000001</v>
      </c>
    </row>
    <row r="118" ht="12.75">
      <c r="U118" s="64"/>
    </row>
    <row r="119" spans="2:21" ht="12.75">
      <c r="B119" s="8" t="s">
        <v>221</v>
      </c>
      <c r="C119" s="8"/>
      <c r="D119" s="8" t="s">
        <v>123</v>
      </c>
      <c r="O119" s="57">
        <f>O116/9000*60*(21-O117)/21</f>
        <v>24.878095238095234</v>
      </c>
      <c r="Q119" s="57">
        <f>Q116/9000*60*(21-Q117)/21</f>
        <v>27.489828571428568</v>
      </c>
      <c r="S119" s="57">
        <f>S116/9000*60*(21-S117)/21</f>
        <v>28.428114285714287</v>
      </c>
      <c r="U119" s="57">
        <f>U116/9000*60*(21-U117)/21</f>
        <v>26.91538835978836</v>
      </c>
    </row>
    <row r="121" spans="2:3" ht="12.75">
      <c r="B121" s="45" t="s">
        <v>118</v>
      </c>
      <c r="C121" s="45"/>
    </row>
    <row r="122" spans="2:21" ht="12.75">
      <c r="B122" t="s">
        <v>49</v>
      </c>
      <c r="D122" t="s">
        <v>61</v>
      </c>
      <c r="U122" s="64">
        <f>U102/60*454/(0.0283*U$116)*(21-7)/(21-U$117)*1000</f>
        <v>138588.2190854993</v>
      </c>
    </row>
    <row r="123" spans="2:21" ht="12.75">
      <c r="B123" t="s">
        <v>121</v>
      </c>
      <c r="D123" t="s">
        <v>55</v>
      </c>
      <c r="S123" s="64"/>
      <c r="U123" s="64">
        <f>U101/60*454/(0.0283*U$116)*(21-7)/(21-U$117)*1000000</f>
        <v>596030.8880707999</v>
      </c>
    </row>
    <row r="124" spans="2:21" ht="12.75">
      <c r="B124" t="s">
        <v>192</v>
      </c>
      <c r="D124" t="s">
        <v>55</v>
      </c>
      <c r="N124" t="s">
        <v>96</v>
      </c>
      <c r="O124" s="64">
        <f>O104/60*454/(0.0283*O$116)*(21-7)/(21-O$117)*1000000</f>
        <v>525425.5747253676</v>
      </c>
      <c r="P124" t="s">
        <v>96</v>
      </c>
      <c r="Q124" s="64">
        <f>Q104/60*454/(0.0283*Q$116)*(21-7)/(21-Q$117)*1000000</f>
        <v>475506.3297169672</v>
      </c>
      <c r="R124" t="s">
        <v>96</v>
      </c>
      <c r="S124" s="64">
        <f aca="true" t="shared" si="6" ref="S124:S134">S104/60*454/(0.0283*S$116)*(21-7)/(21-S$117)*1000000</f>
        <v>459811.9789857944</v>
      </c>
      <c r="U124" s="64">
        <f aca="true" t="shared" si="7" ref="U124:U131">AVERAGE(O124,Q124,S124)</f>
        <v>486914.6278093764</v>
      </c>
    </row>
    <row r="125" spans="2:21" ht="12.75">
      <c r="B125" t="s">
        <v>105</v>
      </c>
      <c r="D125" t="s">
        <v>55</v>
      </c>
      <c r="N125" t="s">
        <v>96</v>
      </c>
      <c r="O125" s="64">
        <f aca="true" t="shared" si="8" ref="O125:Q134">O105/60*454/(0.0283*O$116)*(21-7)/(21-O$117)*1000000</f>
        <v>1337.4469174827539</v>
      </c>
      <c r="P125" t="s">
        <v>96</v>
      </c>
      <c r="Q125" s="64">
        <f t="shared" si="8"/>
        <v>1210.3797483704618</v>
      </c>
      <c r="R125" t="s">
        <v>96</v>
      </c>
      <c r="S125" s="64">
        <f t="shared" si="6"/>
        <v>1170.4304919638405</v>
      </c>
      <c r="U125" s="64">
        <f t="shared" si="7"/>
        <v>1239.4190526056855</v>
      </c>
    </row>
    <row r="126" spans="2:21" ht="12.75">
      <c r="B126" t="s">
        <v>101</v>
      </c>
      <c r="D126" t="s">
        <v>55</v>
      </c>
      <c r="N126" t="s">
        <v>96</v>
      </c>
      <c r="O126" s="64">
        <f t="shared" si="8"/>
        <v>907.5532654347259</v>
      </c>
      <c r="P126" t="s">
        <v>96</v>
      </c>
      <c r="Q126" s="64">
        <f t="shared" si="8"/>
        <v>821.3291149656707</v>
      </c>
      <c r="R126" t="s">
        <v>96</v>
      </c>
      <c r="S126" s="64">
        <f t="shared" si="6"/>
        <v>794.2206909754632</v>
      </c>
      <c r="U126" s="64">
        <f t="shared" si="7"/>
        <v>841.0343571252865</v>
      </c>
    </row>
    <row r="127" spans="2:21" ht="12.75">
      <c r="B127" t="s">
        <v>102</v>
      </c>
      <c r="D127" t="s">
        <v>55</v>
      </c>
      <c r="N127" t="s">
        <v>96</v>
      </c>
      <c r="O127" s="64">
        <f t="shared" si="8"/>
        <v>14329.788401600932</v>
      </c>
      <c r="P127" t="s">
        <v>96</v>
      </c>
      <c r="Q127" s="64">
        <f t="shared" si="8"/>
        <v>12968.354446826377</v>
      </c>
      <c r="R127" t="s">
        <v>96</v>
      </c>
      <c r="S127" s="64">
        <f t="shared" si="6"/>
        <v>12540.326699612575</v>
      </c>
      <c r="U127" s="64">
        <f t="shared" si="7"/>
        <v>13279.489849346626</v>
      </c>
    </row>
    <row r="128" spans="2:21" ht="12.75">
      <c r="B128" t="s">
        <v>78</v>
      </c>
      <c r="D128" t="s">
        <v>55</v>
      </c>
      <c r="N128" t="s">
        <v>96</v>
      </c>
      <c r="O128" s="64">
        <f t="shared" si="8"/>
        <v>2340.5321055948193</v>
      </c>
      <c r="P128" t="s">
        <v>96</v>
      </c>
      <c r="Q128" s="64">
        <f t="shared" si="8"/>
        <v>2118.1645596483086</v>
      </c>
      <c r="R128" t="s">
        <v>96</v>
      </c>
      <c r="S128" s="64">
        <f t="shared" si="6"/>
        <v>2048.253360936721</v>
      </c>
      <c r="U128" s="64">
        <f t="shared" si="7"/>
        <v>2168.9833420599493</v>
      </c>
    </row>
    <row r="129" spans="2:21" ht="12.75">
      <c r="B129" t="s">
        <v>103</v>
      </c>
      <c r="D129" t="s">
        <v>55</v>
      </c>
      <c r="N129" t="s">
        <v>96</v>
      </c>
      <c r="O129" s="64">
        <f t="shared" si="8"/>
        <v>66.8723458741377</v>
      </c>
      <c r="P129" t="s">
        <v>96</v>
      </c>
      <c r="Q129" s="64">
        <f t="shared" si="8"/>
        <v>60.51898741852309</v>
      </c>
      <c r="R129" t="s">
        <v>96</v>
      </c>
      <c r="S129" s="64">
        <f t="shared" si="6"/>
        <v>58.521524598192016</v>
      </c>
      <c r="U129" s="64">
        <f t="shared" si="7"/>
        <v>61.97095263028427</v>
      </c>
    </row>
    <row r="130" spans="2:21" ht="12.75">
      <c r="B130" t="s">
        <v>83</v>
      </c>
      <c r="D130" t="s">
        <v>55</v>
      </c>
      <c r="O130" s="64">
        <f t="shared" si="8"/>
        <v>18151.065308694517</v>
      </c>
      <c r="Q130" s="64">
        <f t="shared" si="8"/>
        <v>16426.58229931341</v>
      </c>
      <c r="S130" s="64">
        <f t="shared" si="6"/>
        <v>15884.413819509262</v>
      </c>
      <c r="U130" s="64">
        <f t="shared" si="7"/>
        <v>16820.68714250573</v>
      </c>
    </row>
    <row r="131" spans="2:21" ht="12.75">
      <c r="B131" t="s">
        <v>77</v>
      </c>
      <c r="D131" t="s">
        <v>55</v>
      </c>
      <c r="N131" t="s">
        <v>96</v>
      </c>
      <c r="O131" s="64">
        <f t="shared" si="8"/>
        <v>5254.255747253675</v>
      </c>
      <c r="P131" t="s">
        <v>96</v>
      </c>
      <c r="Q131" s="64">
        <f t="shared" si="8"/>
        <v>4755.063297169672</v>
      </c>
      <c r="R131" t="s">
        <v>96</v>
      </c>
      <c r="S131" s="64">
        <f t="shared" si="6"/>
        <v>4598.119789857944</v>
      </c>
      <c r="U131" s="64">
        <f t="shared" si="7"/>
        <v>4869.1462780937645</v>
      </c>
    </row>
    <row r="132" spans="2:21" ht="12.75">
      <c r="B132" t="s">
        <v>79</v>
      </c>
      <c r="D132" t="s">
        <v>55</v>
      </c>
      <c r="N132" t="s">
        <v>96</v>
      </c>
      <c r="O132" s="64">
        <f t="shared" si="8"/>
        <v>16.240426855147724</v>
      </c>
      <c r="P132" t="s">
        <v>96</v>
      </c>
      <c r="Q132" s="64">
        <f t="shared" si="8"/>
        <v>14.697468373069896</v>
      </c>
      <c r="R132" t="s">
        <v>96</v>
      </c>
      <c r="S132" s="64">
        <f t="shared" si="6"/>
        <v>14.212370259560922</v>
      </c>
      <c r="U132" s="64">
        <f>AVERAGE(O132/2,Q132/2,S132/2)</f>
        <v>7.52504424796309</v>
      </c>
    </row>
    <row r="133" spans="2:21" ht="12.75">
      <c r="B133" t="s">
        <v>100</v>
      </c>
      <c r="D133" t="s">
        <v>55</v>
      </c>
      <c r="N133" t="s">
        <v>96</v>
      </c>
      <c r="O133" s="64">
        <f t="shared" si="8"/>
        <v>449.00003658349596</v>
      </c>
      <c r="P133" t="s">
        <v>96</v>
      </c>
      <c r="Q133" s="64">
        <f t="shared" si="8"/>
        <v>406.34177266722656</v>
      </c>
      <c r="R133" t="s">
        <v>96</v>
      </c>
      <c r="S133" s="64">
        <f t="shared" si="6"/>
        <v>392.93023658786075</v>
      </c>
      <c r="U133" s="64">
        <f>AVERAGE(O133,Q133,S133)</f>
        <v>416.09068194619437</v>
      </c>
    </row>
    <row r="134" spans="2:21" ht="12.75">
      <c r="B134" t="s">
        <v>107</v>
      </c>
      <c r="D134" t="s">
        <v>55</v>
      </c>
      <c r="N134" t="s">
        <v>96</v>
      </c>
      <c r="O134" s="64">
        <f t="shared" si="8"/>
        <v>2006.1703762241302</v>
      </c>
      <c r="P134" t="s">
        <v>96</v>
      </c>
      <c r="Q134" s="64">
        <f t="shared" si="8"/>
        <v>1815.5696225556926</v>
      </c>
      <c r="R134" t="s">
        <v>96</v>
      </c>
      <c r="S134" s="64">
        <f t="shared" si="6"/>
        <v>1755.6457379457606</v>
      </c>
      <c r="U134" s="64">
        <f>AVERAGE(O134,Q134,S134)</f>
        <v>1859.1285789085277</v>
      </c>
    </row>
    <row r="135" spans="2:21" ht="12.75">
      <c r="B135" t="s">
        <v>56</v>
      </c>
      <c r="D135" t="s">
        <v>55</v>
      </c>
      <c r="O135" s="64">
        <f>(O129+O131)/2</f>
        <v>2660.5640465639062</v>
      </c>
      <c r="Q135" s="64">
        <f>(Q129+Q131)/2</f>
        <v>2407.791142294098</v>
      </c>
      <c r="S135" s="64">
        <f>(S129+S131)/2</f>
        <v>2328.320657228068</v>
      </c>
      <c r="U135" s="64">
        <f>AVERAGE(O135,Q135,S135)</f>
        <v>2465.558615362024</v>
      </c>
    </row>
    <row r="136" spans="2:21" ht="12.75">
      <c r="B136" t="s">
        <v>57</v>
      </c>
      <c r="D136" t="s">
        <v>55</v>
      </c>
      <c r="O136" s="64">
        <f>O126/2+O128/2+O130</f>
        <v>19775.10799420929</v>
      </c>
      <c r="Q136" s="64">
        <f>Q126/2+Q128/2+Q130</f>
        <v>17896.3291366204</v>
      </c>
      <c r="S136" s="64">
        <f>S126/2+S128/2+S130</f>
        <v>17305.650845465352</v>
      </c>
      <c r="U136" s="64">
        <f>AVERAGE(O136,Q136,S136)</f>
        <v>18325.695992098346</v>
      </c>
    </row>
    <row r="138" spans="15:19" ht="12.75">
      <c r="O138" s="91"/>
      <c r="P138" s="92"/>
      <c r="Q138" s="91"/>
      <c r="R138" s="92"/>
      <c r="S138" s="9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B1">
      <selection activeCell="C13" sqref="C13"/>
    </sheetView>
  </sheetViews>
  <sheetFormatPr defaultColWidth="9.140625" defaultRowHeight="12.75"/>
  <cols>
    <col min="1" max="1" width="3.8515625" style="0" hidden="1" customWidth="1"/>
    <col min="2" max="2" width="33.7109375" style="0" customWidth="1"/>
    <col min="3" max="3" width="13.710937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64</v>
      </c>
      <c r="C1" s="12"/>
      <c r="D1" s="12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t="s">
        <v>85</v>
      </c>
      <c r="B3" s="6" t="str">
        <f>cond!C3</f>
        <v>492C10</v>
      </c>
      <c r="C3" s="12" t="str">
        <f>cond!C10</f>
        <v>Trial burn - min temp/DRE</v>
      </c>
      <c r="D3" s="12"/>
      <c r="E3" s="51" t="s">
        <v>47</v>
      </c>
      <c r="F3" s="12"/>
    </row>
    <row r="4" spans="2:6" ht="12.75">
      <c r="B4" s="12"/>
      <c r="C4" s="12"/>
      <c r="D4" s="12"/>
      <c r="F4" s="12"/>
    </row>
    <row r="5" spans="2:6" ht="14.25">
      <c r="B5" s="12" t="s">
        <v>149</v>
      </c>
      <c r="C5" s="7" t="s">
        <v>54</v>
      </c>
      <c r="D5" s="7"/>
      <c r="E5">
        <v>1617</v>
      </c>
      <c r="F5" s="12"/>
    </row>
    <row r="6" spans="2:6" ht="14.25">
      <c r="B6" s="12" t="s">
        <v>144</v>
      </c>
      <c r="C6" s="12" t="s">
        <v>110</v>
      </c>
      <c r="D6" s="7"/>
      <c r="E6">
        <v>22</v>
      </c>
      <c r="F6" s="12"/>
    </row>
    <row r="7" spans="2:5" s="12" customFormat="1" ht="12.75">
      <c r="B7" s="12" t="s">
        <v>146</v>
      </c>
      <c r="C7" s="12" t="s">
        <v>124</v>
      </c>
      <c r="E7">
        <v>253</v>
      </c>
    </row>
    <row r="8" spans="2:5" s="12" customFormat="1" ht="12.75">
      <c r="B8" s="12" t="s">
        <v>145</v>
      </c>
      <c r="E8">
        <v>6.7</v>
      </c>
    </row>
    <row r="9" spans="2:5" s="12" customFormat="1" ht="12.75">
      <c r="B9" s="12" t="s">
        <v>147</v>
      </c>
      <c r="C9" s="12" t="s">
        <v>124</v>
      </c>
      <c r="E9">
        <v>134</v>
      </c>
    </row>
    <row r="10" spans="2:5" s="12" customFormat="1" ht="12.75">
      <c r="B10" s="12" t="s">
        <v>148</v>
      </c>
      <c r="C10" s="12" t="s">
        <v>124</v>
      </c>
      <c r="E10">
        <v>33</v>
      </c>
    </row>
    <row r="11" s="12" customFormat="1" ht="12.75">
      <c r="E11"/>
    </row>
    <row r="12" spans="2:5" ht="12.75">
      <c r="B12" s="6" t="str">
        <f>'emiss 1'!B40</f>
        <v>492C11</v>
      </c>
      <c r="C12" s="12" t="str">
        <f>cond!C20</f>
        <v>Trial burn - worst-case metals</v>
      </c>
      <c r="D12" s="12"/>
      <c r="E12" s="51" t="s">
        <v>47</v>
      </c>
    </row>
    <row r="13" spans="2:4" ht="12.75">
      <c r="B13" s="12"/>
      <c r="C13" s="12"/>
      <c r="D13" s="12"/>
    </row>
    <row r="14" spans="2:5" ht="14.25">
      <c r="B14" s="12" t="s">
        <v>149</v>
      </c>
      <c r="C14" s="7" t="s">
        <v>54</v>
      </c>
      <c r="D14" s="7"/>
      <c r="E14">
        <v>1744</v>
      </c>
    </row>
    <row r="15" spans="2:5" ht="14.25">
      <c r="B15" s="12" t="s">
        <v>144</v>
      </c>
      <c r="C15" s="12" t="s">
        <v>110</v>
      </c>
      <c r="D15" s="7"/>
      <c r="E15">
        <v>20</v>
      </c>
    </row>
    <row r="16" spans="2:5" ht="14.25">
      <c r="B16" s="12" t="s">
        <v>146</v>
      </c>
      <c r="C16" s="12" t="s">
        <v>124</v>
      </c>
      <c r="D16" s="7"/>
      <c r="E16">
        <v>243</v>
      </c>
    </row>
    <row r="17" spans="2:5" ht="12.75">
      <c r="B17" s="12" t="s">
        <v>145</v>
      </c>
      <c r="C17" s="12"/>
      <c r="D17" s="12"/>
      <c r="E17">
        <v>6.9</v>
      </c>
    </row>
    <row r="18" spans="2:5" ht="12.75">
      <c r="B18" s="12" t="s">
        <v>147</v>
      </c>
      <c r="C18" s="12" t="s">
        <v>124</v>
      </c>
      <c r="D18" s="12"/>
      <c r="E18">
        <v>134</v>
      </c>
    </row>
    <row r="19" spans="2:5" ht="12.75">
      <c r="B19" s="12" t="s">
        <v>148</v>
      </c>
      <c r="C19" s="12" t="s">
        <v>124</v>
      </c>
      <c r="E19">
        <v>30</v>
      </c>
    </row>
    <row r="20" ht="12.75">
      <c r="B20" s="6"/>
    </row>
    <row r="21" spans="2:4" ht="12.75">
      <c r="B21" s="12"/>
      <c r="C21" s="12"/>
      <c r="D21" s="12"/>
    </row>
    <row r="22" spans="2:4" ht="14.25">
      <c r="B22" s="12"/>
      <c r="C22" s="7"/>
      <c r="D22" s="7"/>
    </row>
    <row r="23" spans="2:4" ht="14.25">
      <c r="B23" s="12"/>
      <c r="C23" s="12"/>
      <c r="D23" s="7"/>
    </row>
    <row r="24" spans="2:4" ht="14.25">
      <c r="B24" s="12"/>
      <c r="C24" s="12"/>
      <c r="D24" s="7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33"/>
  <sheetViews>
    <sheetView zoomScale="75" zoomScaleNormal="75" workbookViewId="0" topLeftCell="A1">
      <selection activeCell="J16" sqref="J1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6.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4.7109375" style="51" customWidth="1"/>
    <col min="11" max="11" width="9.28125" style="0" customWidth="1"/>
    <col min="13" max="13" width="9.28125" style="0" customWidth="1"/>
    <col min="14" max="14" width="5.57421875" style="0" customWidth="1"/>
    <col min="16" max="16" width="9.00390625" style="0" customWidth="1"/>
    <col min="18" max="18" width="9.00390625" style="0" customWidth="1"/>
  </cols>
  <sheetData>
    <row r="1" spans="1:18" ht="12.75">
      <c r="A1" s="41" t="s">
        <v>66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</row>
    <row r="2" spans="1:18" ht="12.75">
      <c r="A2" s="27" t="s">
        <v>227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</row>
    <row r="3" spans="1:18" ht="12.75">
      <c r="A3" s="27" t="s">
        <v>20</v>
      </c>
      <c r="B3" s="27"/>
      <c r="C3" s="9" t="str">
        <f>source!C5</f>
        <v>Eastman Chemical Company, Longview Texas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18" ht="12.75">
      <c r="A4" s="27" t="s">
        <v>21</v>
      </c>
      <c r="B4" s="27"/>
      <c r="C4" s="26" t="str">
        <f>cond!C3</f>
        <v>492C10</v>
      </c>
      <c r="D4" s="9"/>
      <c r="E4" s="36" t="str">
        <f>cond!C10</f>
        <v>Trial burn - min temp/DRE</v>
      </c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</row>
    <row r="5" spans="1:18" ht="12.75">
      <c r="A5" s="27" t="s">
        <v>22</v>
      </c>
      <c r="B5" s="27"/>
      <c r="C5" s="12" t="s">
        <v>158</v>
      </c>
      <c r="D5" s="12"/>
      <c r="E5" s="12"/>
      <c r="F5" s="12"/>
      <c r="G5" s="12"/>
      <c r="H5" s="12"/>
      <c r="I5" s="46"/>
      <c r="J5" s="12"/>
      <c r="K5" s="34"/>
      <c r="L5" s="12"/>
      <c r="M5" s="34"/>
      <c r="N5" s="34"/>
      <c r="O5" s="34"/>
      <c r="P5" s="34"/>
      <c r="Q5" s="34"/>
      <c r="R5" s="34"/>
    </row>
    <row r="6" spans="1:18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</row>
    <row r="7" spans="1:18" ht="12.75">
      <c r="A7" s="27"/>
      <c r="B7" s="27"/>
      <c r="C7" s="29" t="s">
        <v>23</v>
      </c>
      <c r="D7" s="29"/>
      <c r="E7" s="39" t="s">
        <v>131</v>
      </c>
      <c r="F7" s="39"/>
      <c r="G7" s="39"/>
      <c r="H7" s="39"/>
      <c r="I7" s="11"/>
      <c r="J7" s="39" t="s">
        <v>111</v>
      </c>
      <c r="K7" s="39"/>
      <c r="L7" s="39"/>
      <c r="M7" s="39"/>
      <c r="N7" s="11"/>
      <c r="O7" s="39" t="s">
        <v>132</v>
      </c>
      <c r="P7" s="39"/>
      <c r="Q7" s="39"/>
      <c r="R7" s="39"/>
    </row>
    <row r="8" spans="1:18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</row>
    <row r="9" spans="1:18" ht="12.75">
      <c r="A9" s="27"/>
      <c r="B9" s="27"/>
      <c r="C9" s="29"/>
      <c r="D9" s="27"/>
      <c r="E9" s="38" t="s">
        <v>226</v>
      </c>
      <c r="F9" s="38" t="s">
        <v>226</v>
      </c>
      <c r="G9" s="38" t="s">
        <v>65</v>
      </c>
      <c r="H9" s="37" t="s">
        <v>65</v>
      </c>
      <c r="I9" s="38"/>
      <c r="J9" s="38" t="s">
        <v>226</v>
      </c>
      <c r="K9" s="38" t="s">
        <v>226</v>
      </c>
      <c r="L9" s="38" t="s">
        <v>65</v>
      </c>
      <c r="M9" s="37" t="s">
        <v>65</v>
      </c>
      <c r="N9" s="34"/>
      <c r="O9" s="38" t="s">
        <v>226</v>
      </c>
      <c r="P9" s="38" t="s">
        <v>226</v>
      </c>
      <c r="Q9" s="38" t="s">
        <v>65</v>
      </c>
      <c r="R9" s="37" t="s">
        <v>65</v>
      </c>
    </row>
    <row r="10" spans="1:18" ht="12.75">
      <c r="A10" s="27" t="s">
        <v>97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</row>
    <row r="11" spans="1:18" ht="12.75">
      <c r="A11" s="27"/>
      <c r="B11" s="27" t="s">
        <v>28</v>
      </c>
      <c r="C11" s="29">
        <v>1</v>
      </c>
      <c r="D11" t="s">
        <v>96</v>
      </c>
      <c r="E11">
        <v>6.5</v>
      </c>
      <c r="F11" s="32">
        <f aca="true" t="shared" si="0" ref="F11:F35">IF(E11="","",E11*$C11)</f>
        <v>6.5</v>
      </c>
      <c r="G11" s="32">
        <f aca="true" t="shared" si="1" ref="G11:G35">IF(E11=0,"",IF(D11="nd",E11/2,E11))</f>
        <v>3.25</v>
      </c>
      <c r="H11" s="32">
        <f aca="true" t="shared" si="2" ref="H11:H35">IF(G11="","",G11*$C11)</f>
        <v>3.25</v>
      </c>
      <c r="I11" t="s">
        <v>96</v>
      </c>
      <c r="J11">
        <v>6.5</v>
      </c>
      <c r="K11" s="32">
        <f aca="true" t="shared" si="3" ref="K11:K35">IF(J11="","",J11*$C11)</f>
        <v>6.5</v>
      </c>
      <c r="L11" s="32">
        <f>IF(J11=0,"",IF(I11="nd",J11/2,J11))</f>
        <v>3.25</v>
      </c>
      <c r="M11" s="32">
        <f aca="true" t="shared" si="4" ref="M11:M35">IF(L11="","",L11*$C11)</f>
        <v>3.25</v>
      </c>
      <c r="N11" t="s">
        <v>96</v>
      </c>
      <c r="O11">
        <v>8</v>
      </c>
      <c r="P11" s="40">
        <f aca="true" t="shared" si="5" ref="P11:P35">IF(O11="","",O11*$C11)</f>
        <v>8</v>
      </c>
      <c r="Q11" s="40">
        <f>IF(O11=0,"",IF(N11="nd",O11/2,O11))</f>
        <v>4</v>
      </c>
      <c r="R11" s="40">
        <f aca="true" t="shared" si="6" ref="R11:R35">IF(Q11="","",Q11*$C11)</f>
        <v>4</v>
      </c>
    </row>
    <row r="12" spans="1:18" ht="12.75">
      <c r="A12" s="27"/>
      <c r="B12" s="27" t="s">
        <v>87</v>
      </c>
      <c r="C12" s="29">
        <v>0</v>
      </c>
      <c r="E12">
        <v>100</v>
      </c>
      <c r="F12" s="40">
        <f t="shared" si="0"/>
        <v>0</v>
      </c>
      <c r="G12" s="40">
        <f>IF(E12=0,"",IF(D12="nd",E12/2,E12))</f>
        <v>100</v>
      </c>
      <c r="H12" s="40">
        <f t="shared" si="2"/>
        <v>0</v>
      </c>
      <c r="I12"/>
      <c r="J12">
        <v>43</v>
      </c>
      <c r="K12" s="32">
        <f t="shared" si="3"/>
        <v>0</v>
      </c>
      <c r="L12" s="40">
        <f>IF(J12=0,"",IF(I12="nd",J12/2,J12))</f>
        <v>43</v>
      </c>
      <c r="M12" s="32">
        <f t="shared" si="4"/>
        <v>0</v>
      </c>
      <c r="O12">
        <v>34</v>
      </c>
      <c r="P12" s="40">
        <f t="shared" si="5"/>
        <v>0</v>
      </c>
      <c r="Q12" s="40">
        <f>IF(O12=0,"",IF(N12="nd",O12/2,O12))</f>
        <v>34</v>
      </c>
      <c r="R12" s="40">
        <f t="shared" si="6"/>
        <v>0</v>
      </c>
    </row>
    <row r="13" spans="1:18" ht="12.75">
      <c r="A13" s="27"/>
      <c r="B13" s="27" t="s">
        <v>29</v>
      </c>
      <c r="C13" s="29">
        <v>0.5</v>
      </c>
      <c r="E13">
        <v>9.9</v>
      </c>
      <c r="F13" s="32">
        <f t="shared" si="0"/>
        <v>4.95</v>
      </c>
      <c r="G13" s="32">
        <f t="shared" si="1"/>
        <v>9.9</v>
      </c>
      <c r="H13" s="32">
        <f t="shared" si="2"/>
        <v>4.95</v>
      </c>
      <c r="I13" t="s">
        <v>96</v>
      </c>
      <c r="J13">
        <v>6</v>
      </c>
      <c r="K13" s="32">
        <f t="shared" si="3"/>
        <v>3</v>
      </c>
      <c r="L13" s="32">
        <f aca="true" t="shared" si="7" ref="L13:L35">IF(J13=0,"",IF(I13="nd",J13/2,J13))</f>
        <v>3</v>
      </c>
      <c r="M13" s="32">
        <f t="shared" si="4"/>
        <v>1.5</v>
      </c>
      <c r="N13" t="s">
        <v>96</v>
      </c>
      <c r="O13">
        <v>6.6</v>
      </c>
      <c r="P13" s="40">
        <f t="shared" si="5"/>
        <v>3.3</v>
      </c>
      <c r="Q13" s="40">
        <f aca="true" t="shared" si="8" ref="Q13:Q35">IF(O13=0,"",IF(N13="nd",O13/2,O13))</f>
        <v>3.3</v>
      </c>
      <c r="R13" s="40">
        <f t="shared" si="6"/>
        <v>1.65</v>
      </c>
    </row>
    <row r="14" spans="1:18" ht="12.75">
      <c r="A14" s="27"/>
      <c r="B14" s="27" t="s">
        <v>88</v>
      </c>
      <c r="C14" s="29">
        <v>0</v>
      </c>
      <c r="E14">
        <v>120</v>
      </c>
      <c r="F14" s="40">
        <f t="shared" si="0"/>
        <v>0</v>
      </c>
      <c r="G14" s="40">
        <f>IF(E14=0,"",IF(D14="nd",E14/2,E14))</f>
        <v>120</v>
      </c>
      <c r="H14" s="40">
        <f t="shared" si="2"/>
        <v>0</v>
      </c>
      <c r="I14"/>
      <c r="J14">
        <v>57</v>
      </c>
      <c r="K14" s="32">
        <f t="shared" si="3"/>
        <v>0</v>
      </c>
      <c r="L14" s="40">
        <f>IF(J14=0,"",IF(I14="nd",J14/2,J14))</f>
        <v>57</v>
      </c>
      <c r="M14" s="32">
        <f t="shared" si="4"/>
        <v>0</v>
      </c>
      <c r="O14">
        <v>33</v>
      </c>
      <c r="P14" s="40">
        <f t="shared" si="5"/>
        <v>0</v>
      </c>
      <c r="Q14" s="40">
        <f>IF(O14=0,"",IF(N14="nd",O14/2,O14))</f>
        <v>33</v>
      </c>
      <c r="R14" s="40">
        <f t="shared" si="6"/>
        <v>0</v>
      </c>
    </row>
    <row r="15" spans="1:18" ht="12.75">
      <c r="A15" s="27"/>
      <c r="B15" s="27" t="s">
        <v>30</v>
      </c>
      <c r="C15" s="29">
        <v>0.1</v>
      </c>
      <c r="E15">
        <v>22</v>
      </c>
      <c r="F15" s="32">
        <f t="shared" si="0"/>
        <v>2.2</v>
      </c>
      <c r="G15" s="32">
        <f t="shared" si="1"/>
        <v>22</v>
      </c>
      <c r="H15" s="32">
        <f t="shared" si="2"/>
        <v>2.2</v>
      </c>
      <c r="I15" t="s">
        <v>96</v>
      </c>
      <c r="J15">
        <v>8.3</v>
      </c>
      <c r="K15" s="32">
        <f t="shared" si="3"/>
        <v>0.8300000000000001</v>
      </c>
      <c r="L15" s="32">
        <f t="shared" si="7"/>
        <v>4.15</v>
      </c>
      <c r="M15" s="32">
        <f t="shared" si="4"/>
        <v>0.41500000000000004</v>
      </c>
      <c r="N15" t="s">
        <v>96</v>
      </c>
      <c r="O15">
        <v>7.6</v>
      </c>
      <c r="P15" s="40">
        <f t="shared" si="5"/>
        <v>0.76</v>
      </c>
      <c r="Q15" s="40">
        <f t="shared" si="8"/>
        <v>3.8</v>
      </c>
      <c r="R15" s="40">
        <f t="shared" si="6"/>
        <v>0.38</v>
      </c>
    </row>
    <row r="16" spans="1:18" ht="12.75">
      <c r="A16" s="27"/>
      <c r="B16" s="27" t="s">
        <v>31</v>
      </c>
      <c r="C16" s="29">
        <v>0.1</v>
      </c>
      <c r="E16">
        <v>32</v>
      </c>
      <c r="F16" s="32">
        <f t="shared" si="0"/>
        <v>3.2</v>
      </c>
      <c r="G16" s="32">
        <f t="shared" si="1"/>
        <v>32</v>
      </c>
      <c r="H16" s="32">
        <f t="shared" si="2"/>
        <v>3.2</v>
      </c>
      <c r="I16" t="s">
        <v>96</v>
      </c>
      <c r="J16">
        <v>6.8</v>
      </c>
      <c r="K16" s="32">
        <f t="shared" si="3"/>
        <v>0.68</v>
      </c>
      <c r="L16" s="32">
        <f t="shared" si="7"/>
        <v>3.4</v>
      </c>
      <c r="M16" s="32">
        <f t="shared" si="4"/>
        <v>0.34</v>
      </c>
      <c r="N16" t="s">
        <v>96</v>
      </c>
      <c r="O16">
        <v>6.2</v>
      </c>
      <c r="P16" s="40">
        <f t="shared" si="5"/>
        <v>0.6200000000000001</v>
      </c>
      <c r="Q16" s="40">
        <f t="shared" si="8"/>
        <v>3.1</v>
      </c>
      <c r="R16" s="40">
        <f t="shared" si="6"/>
        <v>0.31000000000000005</v>
      </c>
    </row>
    <row r="17" spans="1:18" ht="12.75">
      <c r="A17" s="27"/>
      <c r="B17" s="27" t="s">
        <v>32</v>
      </c>
      <c r="C17" s="29">
        <v>0.1</v>
      </c>
      <c r="E17">
        <v>24</v>
      </c>
      <c r="F17" s="32">
        <f t="shared" si="0"/>
        <v>2.4000000000000004</v>
      </c>
      <c r="G17" s="32">
        <f t="shared" si="1"/>
        <v>24</v>
      </c>
      <c r="H17" s="32">
        <f t="shared" si="2"/>
        <v>2.4000000000000004</v>
      </c>
      <c r="I17" t="s">
        <v>96</v>
      </c>
      <c r="J17">
        <v>6.7</v>
      </c>
      <c r="K17" s="32">
        <f t="shared" si="3"/>
        <v>0.67</v>
      </c>
      <c r="L17" s="32">
        <f t="shared" si="7"/>
        <v>3.35</v>
      </c>
      <c r="M17" s="32">
        <f t="shared" si="4"/>
        <v>0.335</v>
      </c>
      <c r="N17" t="s">
        <v>96</v>
      </c>
      <c r="O17">
        <v>6.1</v>
      </c>
      <c r="P17" s="40">
        <f t="shared" si="5"/>
        <v>0.61</v>
      </c>
      <c r="Q17" s="40">
        <f t="shared" si="8"/>
        <v>3.05</v>
      </c>
      <c r="R17" s="40">
        <f t="shared" si="6"/>
        <v>0.305</v>
      </c>
    </row>
    <row r="18" spans="1:18" ht="12.75">
      <c r="A18" s="27"/>
      <c r="B18" s="27" t="s">
        <v>89</v>
      </c>
      <c r="C18" s="29">
        <v>0</v>
      </c>
      <c r="E18">
        <v>300</v>
      </c>
      <c r="F18" s="40">
        <f t="shared" si="0"/>
        <v>0</v>
      </c>
      <c r="G18" s="40">
        <f>IF(E18=0,"",IF(D18="nd",E18/2,E18))</f>
        <v>300</v>
      </c>
      <c r="H18" s="40">
        <f t="shared" si="2"/>
        <v>0</v>
      </c>
      <c r="I18"/>
      <c r="J18">
        <v>77</v>
      </c>
      <c r="K18" s="32">
        <f t="shared" si="3"/>
        <v>0</v>
      </c>
      <c r="L18" s="40">
        <f>IF(J18=0,"",IF(I18="nd",J18/2,J18))</f>
        <v>77</v>
      </c>
      <c r="M18" s="32">
        <f t="shared" si="4"/>
        <v>0</v>
      </c>
      <c r="O18">
        <v>70</v>
      </c>
      <c r="P18" s="40">
        <f t="shared" si="5"/>
        <v>0</v>
      </c>
      <c r="Q18" s="40">
        <f>IF(O18=0,"",IF(N18="nd",O18/2,O18))</f>
        <v>70</v>
      </c>
      <c r="R18" s="40">
        <f t="shared" si="6"/>
        <v>0</v>
      </c>
    </row>
    <row r="19" spans="1:18" ht="12.75">
      <c r="A19" s="27"/>
      <c r="B19" s="27" t="s">
        <v>33</v>
      </c>
      <c r="C19" s="29">
        <v>0.01</v>
      </c>
      <c r="E19">
        <v>230</v>
      </c>
      <c r="F19" s="32">
        <f t="shared" si="0"/>
        <v>2.3000000000000003</v>
      </c>
      <c r="G19" s="32">
        <f t="shared" si="1"/>
        <v>230</v>
      </c>
      <c r="H19" s="32">
        <f t="shared" si="2"/>
        <v>2.3000000000000003</v>
      </c>
      <c r="I19"/>
      <c r="J19">
        <v>36</v>
      </c>
      <c r="K19" s="32">
        <f t="shared" si="3"/>
        <v>0.36</v>
      </c>
      <c r="L19" s="32">
        <f t="shared" si="7"/>
        <v>36</v>
      </c>
      <c r="M19" s="32">
        <f t="shared" si="4"/>
        <v>0.36</v>
      </c>
      <c r="O19">
        <v>37</v>
      </c>
      <c r="P19" s="40">
        <f t="shared" si="5"/>
        <v>0.37</v>
      </c>
      <c r="Q19" s="40">
        <f t="shared" si="8"/>
        <v>37</v>
      </c>
      <c r="R19" s="40">
        <f t="shared" si="6"/>
        <v>0.37</v>
      </c>
    </row>
    <row r="20" spans="1:18" ht="12.75">
      <c r="A20" s="27"/>
      <c r="B20" s="27" t="s">
        <v>90</v>
      </c>
      <c r="C20" s="29">
        <v>0</v>
      </c>
      <c r="E20">
        <v>410</v>
      </c>
      <c r="F20" s="40">
        <f t="shared" si="0"/>
        <v>0</v>
      </c>
      <c r="G20" s="40">
        <f>IF(E20=0,"",IF(D20="nd",E20/2,E20))</f>
        <v>410</v>
      </c>
      <c r="H20" s="40">
        <f t="shared" si="2"/>
        <v>0</v>
      </c>
      <c r="I20"/>
      <c r="J20">
        <v>73</v>
      </c>
      <c r="K20" s="32">
        <f t="shared" si="3"/>
        <v>0</v>
      </c>
      <c r="L20" s="40">
        <f>IF(J20=0,"",IF(I20="nd",J20/2,J20))</f>
        <v>73</v>
      </c>
      <c r="M20" s="32">
        <f t="shared" si="4"/>
        <v>0</v>
      </c>
      <c r="O20">
        <v>80</v>
      </c>
      <c r="P20" s="40">
        <f t="shared" si="5"/>
        <v>0</v>
      </c>
      <c r="Q20" s="40">
        <f>IF(O20=0,"",IF(N20="nd",O20/2,O20))</f>
        <v>80</v>
      </c>
      <c r="R20" s="40">
        <f t="shared" si="6"/>
        <v>0</v>
      </c>
    </row>
    <row r="21" spans="1:18" ht="12.75">
      <c r="A21" s="27"/>
      <c r="B21" s="27" t="s">
        <v>34</v>
      </c>
      <c r="C21" s="29">
        <v>0.001</v>
      </c>
      <c r="E21">
        <v>610</v>
      </c>
      <c r="F21" s="32">
        <f t="shared" si="0"/>
        <v>0.61</v>
      </c>
      <c r="G21" s="32">
        <f t="shared" si="1"/>
        <v>610</v>
      </c>
      <c r="H21" s="32">
        <f t="shared" si="2"/>
        <v>0.61</v>
      </c>
      <c r="I21"/>
      <c r="J21">
        <v>100</v>
      </c>
      <c r="K21" s="32">
        <f t="shared" si="3"/>
        <v>0.1</v>
      </c>
      <c r="L21" s="40">
        <f t="shared" si="7"/>
        <v>100</v>
      </c>
      <c r="M21" s="32">
        <f t="shared" si="4"/>
        <v>0.1</v>
      </c>
      <c r="O21">
        <v>150</v>
      </c>
      <c r="P21" s="40">
        <f t="shared" si="5"/>
        <v>0.15</v>
      </c>
      <c r="Q21" s="40">
        <f t="shared" si="8"/>
        <v>150</v>
      </c>
      <c r="R21" s="40">
        <f t="shared" si="6"/>
        <v>0.15</v>
      </c>
    </row>
    <row r="22" spans="1:18" ht="12.75">
      <c r="A22" s="27"/>
      <c r="B22" s="27" t="s">
        <v>35</v>
      </c>
      <c r="C22" s="29">
        <v>0.1</v>
      </c>
      <c r="E22">
        <v>98</v>
      </c>
      <c r="F22" s="32">
        <f t="shared" si="0"/>
        <v>9.8</v>
      </c>
      <c r="G22" s="32">
        <f t="shared" si="1"/>
        <v>98</v>
      </c>
      <c r="H22" s="32">
        <f t="shared" si="2"/>
        <v>9.8</v>
      </c>
      <c r="I22"/>
      <c r="J22">
        <v>50</v>
      </c>
      <c r="K22" s="32">
        <f t="shared" si="3"/>
        <v>5</v>
      </c>
      <c r="L22" s="40">
        <f t="shared" si="7"/>
        <v>50</v>
      </c>
      <c r="M22" s="32">
        <f t="shared" si="4"/>
        <v>5</v>
      </c>
      <c r="O22">
        <v>58</v>
      </c>
      <c r="P22" s="40">
        <f t="shared" si="5"/>
        <v>5.800000000000001</v>
      </c>
      <c r="Q22" s="40">
        <f t="shared" si="8"/>
        <v>58</v>
      </c>
      <c r="R22" s="40">
        <f t="shared" si="6"/>
        <v>5.800000000000001</v>
      </c>
    </row>
    <row r="23" spans="1:18" ht="12.75">
      <c r="A23" s="27"/>
      <c r="B23" s="27" t="s">
        <v>91</v>
      </c>
      <c r="C23" s="29">
        <v>0</v>
      </c>
      <c r="E23">
        <v>1900</v>
      </c>
      <c r="F23" s="40">
        <f t="shared" si="0"/>
        <v>0</v>
      </c>
      <c r="G23" s="40">
        <f>IF(E23=0,"",IF(D23="nd",E23/2,E23))</f>
        <v>1900</v>
      </c>
      <c r="H23" s="40">
        <f t="shared" si="2"/>
        <v>0</v>
      </c>
      <c r="I23"/>
      <c r="J23">
        <v>1100</v>
      </c>
      <c r="K23" s="32">
        <f t="shared" si="3"/>
        <v>0</v>
      </c>
      <c r="L23" s="40">
        <f>IF(J23=0,"",IF(I23="nd",J23/2,J23))</f>
        <v>1100</v>
      </c>
      <c r="M23" s="32">
        <f t="shared" si="4"/>
        <v>0</v>
      </c>
      <c r="O23">
        <v>1200</v>
      </c>
      <c r="P23" s="40">
        <f t="shared" si="5"/>
        <v>0</v>
      </c>
      <c r="Q23" s="40">
        <f>IF(O23=0,"",IF(N23="nd",O23/2,O23))</f>
        <v>1200</v>
      </c>
      <c r="R23" s="40">
        <f t="shared" si="6"/>
        <v>0</v>
      </c>
    </row>
    <row r="24" spans="1:18" ht="12.75">
      <c r="A24" s="27"/>
      <c r="B24" s="27" t="s">
        <v>36</v>
      </c>
      <c r="C24" s="29">
        <v>0.05</v>
      </c>
      <c r="E24">
        <v>99</v>
      </c>
      <c r="F24" s="40">
        <f t="shared" si="0"/>
        <v>4.95</v>
      </c>
      <c r="G24" s="40">
        <f t="shared" si="1"/>
        <v>99</v>
      </c>
      <c r="H24" s="40">
        <f t="shared" si="2"/>
        <v>4.95</v>
      </c>
      <c r="I24"/>
      <c r="J24">
        <v>27</v>
      </c>
      <c r="K24" s="32">
        <f t="shared" si="3"/>
        <v>1.35</v>
      </c>
      <c r="L24" s="40">
        <f t="shared" si="7"/>
        <v>27</v>
      </c>
      <c r="M24" s="32">
        <f t="shared" si="4"/>
        <v>1.35</v>
      </c>
      <c r="O24">
        <v>27</v>
      </c>
      <c r="P24" s="40">
        <f t="shared" si="5"/>
        <v>1.35</v>
      </c>
      <c r="Q24" s="40">
        <f t="shared" si="8"/>
        <v>27</v>
      </c>
      <c r="R24" s="40">
        <f t="shared" si="6"/>
        <v>1.35</v>
      </c>
    </row>
    <row r="25" spans="1:18" ht="12.75">
      <c r="A25" s="27"/>
      <c r="B25" s="27" t="s">
        <v>37</v>
      </c>
      <c r="C25" s="29">
        <v>0.5</v>
      </c>
      <c r="E25">
        <v>120</v>
      </c>
      <c r="F25" s="40">
        <f t="shared" si="0"/>
        <v>60</v>
      </c>
      <c r="G25" s="40">
        <f t="shared" si="1"/>
        <v>120</v>
      </c>
      <c r="H25" s="40">
        <f t="shared" si="2"/>
        <v>60</v>
      </c>
      <c r="I25"/>
      <c r="J25">
        <v>34</v>
      </c>
      <c r="K25" s="32">
        <f t="shared" si="3"/>
        <v>17</v>
      </c>
      <c r="L25" s="40">
        <f t="shared" si="7"/>
        <v>34</v>
      </c>
      <c r="M25" s="32">
        <f t="shared" si="4"/>
        <v>17</v>
      </c>
      <c r="O25">
        <v>37</v>
      </c>
      <c r="P25" s="40">
        <f t="shared" si="5"/>
        <v>18.5</v>
      </c>
      <c r="Q25" s="40">
        <f t="shared" si="8"/>
        <v>37</v>
      </c>
      <c r="R25" s="40">
        <f t="shared" si="6"/>
        <v>18.5</v>
      </c>
    </row>
    <row r="26" spans="1:18" ht="12.75">
      <c r="A26" s="27"/>
      <c r="B26" s="27" t="s">
        <v>92</v>
      </c>
      <c r="C26" s="29">
        <v>0</v>
      </c>
      <c r="E26">
        <v>1200</v>
      </c>
      <c r="F26" s="40">
        <f t="shared" si="0"/>
        <v>0</v>
      </c>
      <c r="G26" s="40">
        <f>IF(E26=0,"",IF(D26="nd",E26/2,E26))</f>
        <v>1200</v>
      </c>
      <c r="H26" s="40">
        <f t="shared" si="2"/>
        <v>0</v>
      </c>
      <c r="I26"/>
      <c r="J26">
        <v>390</v>
      </c>
      <c r="K26" s="32">
        <f t="shared" si="3"/>
        <v>0</v>
      </c>
      <c r="L26" s="40">
        <f>IF(J26=0,"",IF(I26="nd",J26/2,J26))</f>
        <v>390</v>
      </c>
      <c r="M26" s="32">
        <f t="shared" si="4"/>
        <v>0</v>
      </c>
      <c r="O26">
        <v>430</v>
      </c>
      <c r="P26" s="40">
        <f t="shared" si="5"/>
        <v>0</v>
      </c>
      <c r="Q26" s="40">
        <f>IF(O26=0,"",IF(N26="nd",O26/2,O26))</f>
        <v>430</v>
      </c>
      <c r="R26" s="40">
        <f t="shared" si="6"/>
        <v>0</v>
      </c>
    </row>
    <row r="27" spans="1:18" ht="12.75">
      <c r="A27" s="27"/>
      <c r="B27" s="27" t="s">
        <v>38</v>
      </c>
      <c r="C27" s="29">
        <v>0.1</v>
      </c>
      <c r="E27">
        <v>430</v>
      </c>
      <c r="F27" s="40">
        <f t="shared" si="0"/>
        <v>43</v>
      </c>
      <c r="G27" s="40">
        <f t="shared" si="1"/>
        <v>430</v>
      </c>
      <c r="H27" s="40">
        <f t="shared" si="2"/>
        <v>43</v>
      </c>
      <c r="I27"/>
      <c r="J27">
        <v>42</v>
      </c>
      <c r="K27" s="32">
        <f t="shared" si="3"/>
        <v>4.2</v>
      </c>
      <c r="L27" s="40">
        <f t="shared" si="7"/>
        <v>42</v>
      </c>
      <c r="M27" s="32">
        <f t="shared" si="4"/>
        <v>4.2</v>
      </c>
      <c r="O27">
        <v>30</v>
      </c>
      <c r="P27" s="40">
        <f t="shared" si="5"/>
        <v>3</v>
      </c>
      <c r="Q27" s="40">
        <f t="shared" si="8"/>
        <v>30</v>
      </c>
      <c r="R27" s="40">
        <f t="shared" si="6"/>
        <v>3</v>
      </c>
    </row>
    <row r="28" spans="1:18" ht="12.75">
      <c r="A28" s="27"/>
      <c r="B28" s="27" t="s">
        <v>39</v>
      </c>
      <c r="C28" s="29">
        <v>0.1</v>
      </c>
      <c r="E28">
        <v>340</v>
      </c>
      <c r="F28" s="40">
        <f t="shared" si="0"/>
        <v>34</v>
      </c>
      <c r="G28" s="40">
        <f t="shared" si="1"/>
        <v>340</v>
      </c>
      <c r="H28" s="40">
        <f t="shared" si="2"/>
        <v>34</v>
      </c>
      <c r="I28"/>
      <c r="J28">
        <v>39</v>
      </c>
      <c r="K28" s="32">
        <f t="shared" si="3"/>
        <v>3.9000000000000004</v>
      </c>
      <c r="L28" s="40">
        <f t="shared" si="7"/>
        <v>39</v>
      </c>
      <c r="M28" s="32">
        <f t="shared" si="4"/>
        <v>3.9000000000000004</v>
      </c>
      <c r="O28">
        <v>26</v>
      </c>
      <c r="P28" s="40">
        <f t="shared" si="5"/>
        <v>2.6</v>
      </c>
      <c r="Q28" s="40">
        <f t="shared" si="8"/>
        <v>26</v>
      </c>
      <c r="R28" s="40">
        <f t="shared" si="6"/>
        <v>2.6</v>
      </c>
    </row>
    <row r="29" spans="1:18" ht="12.75">
      <c r="A29" s="27"/>
      <c r="B29" s="27" t="s">
        <v>40</v>
      </c>
      <c r="C29" s="29">
        <v>0.1</v>
      </c>
      <c r="E29">
        <v>270</v>
      </c>
      <c r="F29" s="40">
        <f t="shared" si="0"/>
        <v>27</v>
      </c>
      <c r="G29" s="40">
        <f t="shared" si="1"/>
        <v>270</v>
      </c>
      <c r="H29" s="40">
        <f t="shared" si="2"/>
        <v>27</v>
      </c>
      <c r="I29"/>
      <c r="J29">
        <v>35</v>
      </c>
      <c r="K29" s="32">
        <f t="shared" si="3"/>
        <v>3.5</v>
      </c>
      <c r="L29" s="40">
        <f t="shared" si="7"/>
        <v>35</v>
      </c>
      <c r="M29" s="32">
        <f t="shared" si="4"/>
        <v>3.5</v>
      </c>
      <c r="O29">
        <v>25</v>
      </c>
      <c r="P29" s="40">
        <f t="shared" si="5"/>
        <v>2.5</v>
      </c>
      <c r="Q29" s="40">
        <f t="shared" si="8"/>
        <v>25</v>
      </c>
      <c r="R29" s="40">
        <f t="shared" si="6"/>
        <v>2.5</v>
      </c>
    </row>
    <row r="30" spans="1:18" ht="12.75">
      <c r="A30" s="27"/>
      <c r="B30" s="27" t="s">
        <v>41</v>
      </c>
      <c r="C30" s="29">
        <v>0.1</v>
      </c>
      <c r="E30">
        <v>92</v>
      </c>
      <c r="F30" s="40">
        <f t="shared" si="0"/>
        <v>9.200000000000001</v>
      </c>
      <c r="G30" s="40">
        <f t="shared" si="1"/>
        <v>92</v>
      </c>
      <c r="H30" s="40">
        <f t="shared" si="2"/>
        <v>9.200000000000001</v>
      </c>
      <c r="I30"/>
      <c r="J30">
        <v>13</v>
      </c>
      <c r="K30" s="32">
        <f t="shared" si="3"/>
        <v>1.3</v>
      </c>
      <c r="L30" s="40">
        <f t="shared" si="7"/>
        <v>13</v>
      </c>
      <c r="M30" s="32">
        <f t="shared" si="4"/>
        <v>1.3</v>
      </c>
      <c r="O30">
        <v>11</v>
      </c>
      <c r="P30" s="40">
        <f t="shared" si="5"/>
        <v>1.1</v>
      </c>
      <c r="Q30" s="40">
        <f t="shared" si="8"/>
        <v>11</v>
      </c>
      <c r="R30" s="40">
        <f t="shared" si="6"/>
        <v>1.1</v>
      </c>
    </row>
    <row r="31" spans="1:18" ht="12.75">
      <c r="A31" s="27"/>
      <c r="B31" s="27" t="s">
        <v>93</v>
      </c>
      <c r="C31" s="29">
        <v>0</v>
      </c>
      <c r="E31">
        <v>2900</v>
      </c>
      <c r="F31" s="40">
        <f t="shared" si="0"/>
        <v>0</v>
      </c>
      <c r="G31" s="40">
        <f>IF(E31=0,"",IF(D31="nd",E31/2,E31))</f>
        <v>2900</v>
      </c>
      <c r="H31" s="40">
        <f t="shared" si="2"/>
        <v>0</v>
      </c>
      <c r="I31"/>
      <c r="J31">
        <v>300</v>
      </c>
      <c r="K31" s="32">
        <f t="shared" si="3"/>
        <v>0</v>
      </c>
      <c r="L31" s="40">
        <f>IF(J31=0,"",IF(I31="nd",J31/2,J31))</f>
        <v>300</v>
      </c>
      <c r="M31" s="32">
        <f t="shared" si="4"/>
        <v>0</v>
      </c>
      <c r="O31">
        <v>190</v>
      </c>
      <c r="P31" s="40">
        <f t="shared" si="5"/>
        <v>0</v>
      </c>
      <c r="Q31" s="40">
        <f>IF(O31=0,"",IF(N31="nd",O31/2,O31))</f>
        <v>190</v>
      </c>
      <c r="R31" s="40">
        <f t="shared" si="6"/>
        <v>0</v>
      </c>
    </row>
    <row r="32" spans="1:18" ht="12.75">
      <c r="A32" s="27"/>
      <c r="B32" s="27" t="s">
        <v>42</v>
      </c>
      <c r="C32" s="29">
        <v>0.01</v>
      </c>
      <c r="E32">
        <v>4100</v>
      </c>
      <c r="F32" s="40">
        <f t="shared" si="0"/>
        <v>41</v>
      </c>
      <c r="G32" s="40">
        <f t="shared" si="1"/>
        <v>4100</v>
      </c>
      <c r="H32" s="40">
        <f t="shared" si="2"/>
        <v>41</v>
      </c>
      <c r="I32"/>
      <c r="J32">
        <v>310</v>
      </c>
      <c r="K32" s="32">
        <f t="shared" si="3"/>
        <v>3.1</v>
      </c>
      <c r="L32" s="40">
        <f t="shared" si="7"/>
        <v>310</v>
      </c>
      <c r="M32" s="32">
        <f t="shared" si="4"/>
        <v>3.1</v>
      </c>
      <c r="O32">
        <v>230</v>
      </c>
      <c r="P32" s="40">
        <f t="shared" si="5"/>
        <v>2.3000000000000003</v>
      </c>
      <c r="Q32" s="40">
        <f t="shared" si="8"/>
        <v>230</v>
      </c>
      <c r="R32" s="40">
        <f t="shared" si="6"/>
        <v>2.3000000000000003</v>
      </c>
    </row>
    <row r="33" spans="1:18" ht="12.75">
      <c r="A33" s="27"/>
      <c r="B33" s="27" t="s">
        <v>43</v>
      </c>
      <c r="C33" s="29">
        <v>0.01</v>
      </c>
      <c r="E33">
        <v>630</v>
      </c>
      <c r="F33" s="40">
        <f t="shared" si="0"/>
        <v>6.3</v>
      </c>
      <c r="G33" s="40">
        <f t="shared" si="1"/>
        <v>630</v>
      </c>
      <c r="H33" s="40">
        <f t="shared" si="2"/>
        <v>6.3</v>
      </c>
      <c r="I33"/>
      <c r="J33">
        <v>44</v>
      </c>
      <c r="K33" s="32">
        <f t="shared" si="3"/>
        <v>0.44</v>
      </c>
      <c r="L33" s="40">
        <f t="shared" si="7"/>
        <v>44</v>
      </c>
      <c r="M33" s="32">
        <f t="shared" si="4"/>
        <v>0.44</v>
      </c>
      <c r="O33">
        <v>49</v>
      </c>
      <c r="P33" s="40">
        <f t="shared" si="5"/>
        <v>0.49</v>
      </c>
      <c r="Q33" s="40">
        <f t="shared" si="8"/>
        <v>49</v>
      </c>
      <c r="R33" s="40">
        <f t="shared" si="6"/>
        <v>0.49</v>
      </c>
    </row>
    <row r="34" spans="1:18" ht="12.75">
      <c r="A34" s="27"/>
      <c r="B34" s="27" t="s">
        <v>94</v>
      </c>
      <c r="C34" s="29">
        <v>0</v>
      </c>
      <c r="E34">
        <v>6200</v>
      </c>
      <c r="F34" s="40">
        <f t="shared" si="0"/>
        <v>0</v>
      </c>
      <c r="G34" s="40">
        <f>IF(E34=0,"",IF(D34="nd",E34/2,E34))</f>
        <v>6200</v>
      </c>
      <c r="H34" s="40">
        <f t="shared" si="2"/>
        <v>0</v>
      </c>
      <c r="I34"/>
      <c r="J34">
        <v>480</v>
      </c>
      <c r="K34" s="32">
        <f t="shared" si="3"/>
        <v>0</v>
      </c>
      <c r="L34" s="40">
        <f>IF(J34=0,"",IF(I34="nd",J34/2,J34))</f>
        <v>480</v>
      </c>
      <c r="M34" s="32">
        <f t="shared" si="4"/>
        <v>0</v>
      </c>
      <c r="O34">
        <v>380</v>
      </c>
      <c r="P34" s="40">
        <f t="shared" si="5"/>
        <v>0</v>
      </c>
      <c r="Q34" s="40">
        <f>IF(O34=0,"",IF(N34="nd",O34/2,O34))</f>
        <v>380</v>
      </c>
      <c r="R34" s="40">
        <f t="shared" si="6"/>
        <v>0</v>
      </c>
    </row>
    <row r="35" spans="1:18" ht="12.75">
      <c r="A35" s="27"/>
      <c r="B35" s="27" t="s">
        <v>44</v>
      </c>
      <c r="C35" s="29">
        <v>0.001</v>
      </c>
      <c r="E35">
        <v>6700</v>
      </c>
      <c r="F35" s="40">
        <f t="shared" si="0"/>
        <v>6.7</v>
      </c>
      <c r="G35" s="40">
        <f t="shared" si="1"/>
        <v>6700</v>
      </c>
      <c r="H35" s="40">
        <f t="shared" si="2"/>
        <v>6.7</v>
      </c>
      <c r="I35"/>
      <c r="J35">
        <v>400</v>
      </c>
      <c r="K35" s="32">
        <f t="shared" si="3"/>
        <v>0.4</v>
      </c>
      <c r="L35" s="40">
        <f t="shared" si="7"/>
        <v>400</v>
      </c>
      <c r="M35" s="32">
        <f t="shared" si="4"/>
        <v>0.4</v>
      </c>
      <c r="O35">
        <v>540</v>
      </c>
      <c r="P35" s="40">
        <f t="shared" si="5"/>
        <v>0.54</v>
      </c>
      <c r="Q35" s="40">
        <f t="shared" si="8"/>
        <v>540</v>
      </c>
      <c r="R35" s="40">
        <f t="shared" si="6"/>
        <v>0.54</v>
      </c>
    </row>
    <row r="36" spans="1:18" ht="12.75">
      <c r="A36" s="27"/>
      <c r="B36" s="27"/>
      <c r="C36" s="27"/>
      <c r="D36" s="27"/>
      <c r="E36" s="32"/>
      <c r="F36" s="35"/>
      <c r="G36" s="32"/>
      <c r="H36" s="35"/>
      <c r="I36" s="52"/>
      <c r="J36" s="12"/>
      <c r="K36" s="30"/>
      <c r="L36" s="30"/>
      <c r="M36" s="30"/>
      <c r="N36" s="32"/>
      <c r="O36" s="12"/>
      <c r="P36" s="34"/>
      <c r="Q36" s="32"/>
      <c r="R36" s="34"/>
    </row>
    <row r="37" spans="1:18" ht="12.75">
      <c r="A37" s="27"/>
      <c r="B37" s="27" t="s">
        <v>45</v>
      </c>
      <c r="C37" s="27"/>
      <c r="D37" s="27"/>
      <c r="F37" s="32">
        <v>109.524</v>
      </c>
      <c r="G37" s="32">
        <v>109.524</v>
      </c>
      <c r="H37" s="32">
        <v>109.524</v>
      </c>
      <c r="I37"/>
      <c r="J37" s="12"/>
      <c r="K37" s="12">
        <v>107.005</v>
      </c>
      <c r="L37" s="12">
        <v>107.005</v>
      </c>
      <c r="M37" s="12">
        <v>107.005</v>
      </c>
      <c r="P37">
        <v>111.854</v>
      </c>
      <c r="Q37">
        <v>111.854</v>
      </c>
      <c r="R37">
        <v>111.854</v>
      </c>
    </row>
    <row r="38" spans="1:18" ht="12.75">
      <c r="A38" s="27"/>
      <c r="B38" s="27" t="s">
        <v>58</v>
      </c>
      <c r="C38" s="27"/>
      <c r="D38" s="27"/>
      <c r="F38" s="32">
        <v>8.8</v>
      </c>
      <c r="G38" s="32">
        <v>8.8</v>
      </c>
      <c r="H38" s="32">
        <v>8.8</v>
      </c>
      <c r="I38"/>
      <c r="K38">
        <v>9.9</v>
      </c>
      <c r="L38">
        <v>9.9</v>
      </c>
      <c r="M38">
        <v>9.9</v>
      </c>
      <c r="P38">
        <v>9</v>
      </c>
      <c r="Q38">
        <v>9</v>
      </c>
      <c r="R38">
        <v>9</v>
      </c>
    </row>
    <row r="39" spans="1:18" ht="12.75">
      <c r="A39" s="27"/>
      <c r="B39" s="27"/>
      <c r="C39" s="27"/>
      <c r="D39" s="27"/>
      <c r="E39" s="32"/>
      <c r="F39" s="12"/>
      <c r="G39" s="32"/>
      <c r="H39" s="12"/>
      <c r="I39" s="46"/>
      <c r="J39" s="32"/>
      <c r="K39" s="33"/>
      <c r="L39" s="30"/>
      <c r="M39" s="33"/>
      <c r="N39" s="32"/>
      <c r="O39" s="32"/>
      <c r="P39" s="32"/>
      <c r="Q39" s="32"/>
      <c r="R39" s="32"/>
    </row>
    <row r="40" spans="1:18" ht="12.75">
      <c r="A40" s="27"/>
      <c r="B40" s="27" t="s">
        <v>95</v>
      </c>
      <c r="C40" s="35"/>
      <c r="D40" s="35"/>
      <c r="E40" s="30"/>
      <c r="F40" s="31">
        <f>SUM(F11:F35)/1000</f>
        <v>0.26410999999999996</v>
      </c>
      <c r="G40" s="30">
        <f>SUM(G35,G34,G31,G26,G23,G21,G20,G18,G14,G12)/1000</f>
        <v>20.44</v>
      </c>
      <c r="H40" s="31">
        <f>SUM(H11:H35)/1000</f>
        <v>0.26086000000000004</v>
      </c>
      <c r="I40" s="37"/>
      <c r="J40" s="30"/>
      <c r="K40" s="31">
        <f>SUM(K11:K35)/1000</f>
        <v>0.05233</v>
      </c>
      <c r="L40" s="30">
        <f>SUM(L35,L34,L31,L26,L23,L21,L20,L18,L14,L12)/1000</f>
        <v>3.02</v>
      </c>
      <c r="M40" s="31">
        <f>SUM(M11:M35)/1000</f>
        <v>0.04649</v>
      </c>
      <c r="N40" s="35"/>
      <c r="O40" s="32"/>
      <c r="P40" s="32">
        <f>SUM(P11:P35)/1000</f>
        <v>0.05199</v>
      </c>
      <c r="Q40" s="30">
        <f>SUM(Q35,Q34,Q31,Q26,Q23,Q21,Q20,Q18,Q14,Q12)/1000</f>
        <v>3.107</v>
      </c>
      <c r="R40" s="32">
        <f>SUM(R11:R35)/1000</f>
        <v>0.045344999999999996</v>
      </c>
    </row>
    <row r="41" spans="1:18" ht="12.75">
      <c r="A41" s="27"/>
      <c r="B41" s="27" t="s">
        <v>46</v>
      </c>
      <c r="C41" s="35"/>
      <c r="D41" s="30">
        <f>(F41-H41)*2/F41*100</f>
        <v>2.461095755556369</v>
      </c>
      <c r="E41" s="32"/>
      <c r="F41" s="31">
        <f>(F40/F37/0.0283*(21-7)/(21-F38))</f>
        <v>0.09778164025050252</v>
      </c>
      <c r="G41" s="31">
        <f>(G40/G37/0.0283*(21-7)/(21-G38))</f>
        <v>7.567516287608465</v>
      </c>
      <c r="H41" s="31">
        <f>(H40/H37/0.0283*(21-7)/(21-H38))</f>
        <v>0.09657839035154327</v>
      </c>
      <c r="I41" s="30">
        <f>(K41-M41)*2/K41*100</f>
        <v>22.319892986814462</v>
      </c>
      <c r="J41" s="32"/>
      <c r="K41" s="32">
        <f>K40/K37/0.0283*(21-7)/(21-K38)</f>
        <v>0.021795422129246234</v>
      </c>
      <c r="L41" s="32">
        <f>(L40/L37/0.0283*(21-7)/(21-L38))</f>
        <v>1.2578286801131975</v>
      </c>
      <c r="M41" s="32">
        <f>M40/M37/0.0283*(21-7)/(21-M38)</f>
        <v>0.019363064681610115</v>
      </c>
      <c r="N41" s="30">
        <f>(P41-R41)*2/P41*100</f>
        <v>25.562608193883445</v>
      </c>
      <c r="O41" s="32"/>
      <c r="P41" s="32">
        <f>P40/P37/0.0283*(21-7)/(21-P38)</f>
        <v>0.019161462433898404</v>
      </c>
      <c r="Q41" s="32">
        <f>(Q40/Q37/0.0283*(21-7)/(21-Q38))</f>
        <v>1.145117595347612</v>
      </c>
      <c r="R41" s="32">
        <f>R40/R37/0.0283*(21-7)/(21-R38)</f>
        <v>0.016712377650800598</v>
      </c>
    </row>
    <row r="42" spans="1:18" ht="12.75">
      <c r="A42" s="27"/>
      <c r="B42" s="27"/>
      <c r="C42" s="27"/>
      <c r="D42" s="27"/>
      <c r="E42" s="31"/>
      <c r="F42" s="35"/>
      <c r="G42" s="31"/>
      <c r="H42" s="35"/>
      <c r="I42" s="53"/>
      <c r="J42" s="31"/>
      <c r="K42" s="31"/>
      <c r="L42" s="31"/>
      <c r="M42" s="31"/>
      <c r="N42" s="31"/>
      <c r="O42" s="31"/>
      <c r="P42" s="34"/>
      <c r="Q42" s="31"/>
      <c r="R42" s="34"/>
    </row>
    <row r="43" spans="1:18" ht="12.75">
      <c r="A43" s="32"/>
      <c r="B43" s="27" t="s">
        <v>59</v>
      </c>
      <c r="C43" s="32">
        <f>AVERAGE(H41,M41,R41)</f>
        <v>0.04421794422798466</v>
      </c>
      <c r="D43" s="32"/>
      <c r="E43" s="32"/>
      <c r="F43" s="35"/>
      <c r="G43" s="32"/>
      <c r="H43" s="35"/>
      <c r="I43" s="52"/>
      <c r="J43" s="32"/>
      <c r="K43" s="32"/>
      <c r="L43" s="32"/>
      <c r="M43" s="32"/>
      <c r="N43" s="32"/>
      <c r="O43" s="32"/>
      <c r="P43" s="34"/>
      <c r="Q43" s="32"/>
      <c r="R43" s="34"/>
    </row>
    <row r="44" spans="1:18" ht="12.75">
      <c r="A44" s="27"/>
      <c r="B44" s="27" t="s">
        <v>60</v>
      </c>
      <c r="C44" s="30">
        <f>AVERAGE(G41,L41,Q41)</f>
        <v>3.3234875210230914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2004-02-23T22:38:28Z</cp:lastPrinted>
  <dcterms:created xsi:type="dcterms:W3CDTF">2000-01-10T00:44:42Z</dcterms:created>
  <dcterms:modified xsi:type="dcterms:W3CDTF">2005-03-11T17:59:25Z</dcterms:modified>
  <cp:category/>
  <cp:version/>
  <cp:contentType/>
  <cp:contentStatus/>
</cp:coreProperties>
</file>