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60" windowWidth="10620" windowHeight="5700" tabRatio="595" firstSheet="3" activeTab="4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2" sheetId="8" r:id="rId8"/>
    <sheet name="df c12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<sst xmlns="http://schemas.openxmlformats.org/spreadsheetml/2006/main" count="1378" uniqueCount="244">
  <si>
    <t>490C1</t>
  </si>
  <si>
    <t>R1</t>
  </si>
  <si>
    <t>Feedrate</t>
  </si>
  <si>
    <t>R2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</si>
  <si>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</si>
  <si>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</si>
  <si>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</si>
  <si>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</si>
  <si>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</si>
  <si>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</si>
  <si>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</si>
  <si>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</si>
  <si>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Nickel</t>
  </si>
  <si>
    <t>Selenium</t>
  </si>
  <si>
    <t>Silver</t>
  </si>
  <si>
    <t>Thallium</t>
  </si>
  <si>
    <t>R3</t>
  </si>
  <si>
    <t>R4</t>
  </si>
  <si>
    <t>490C2</t>
  </si>
  <si>
    <t>Chlorine</t>
  </si>
  <si>
    <t>PM</t>
  </si>
  <si>
    <t>y</t>
  </si>
  <si>
    <t/>
  </si>
  <si>
    <t>HCl</t>
  </si>
  <si>
    <t>Cl2</t>
  </si>
  <si>
    <t>nd</t>
  </si>
  <si>
    <t>Metals</t>
  </si>
  <si>
    <t>Oxygen</t>
  </si>
  <si>
    <t>Particulate</t>
  </si>
  <si>
    <t>gr/dscf</t>
  </si>
  <si>
    <t>ppmv</t>
  </si>
  <si>
    <t>ug/dscm</t>
  </si>
  <si>
    <t>Cond Avg</t>
  </si>
  <si>
    <t>SVM</t>
  </si>
  <si>
    <t>LVM</t>
  </si>
  <si>
    <t>lb/hr</t>
  </si>
  <si>
    <t>Biosludge</t>
  </si>
  <si>
    <t>Nat gas</t>
  </si>
  <si>
    <t>Metal spike</t>
  </si>
  <si>
    <t>Sampling Train</t>
  </si>
  <si>
    <t>Ash</t>
  </si>
  <si>
    <t>Synthetic liquid waste POHC</t>
  </si>
  <si>
    <t>Total</t>
  </si>
  <si>
    <t>Gas flowrate</t>
  </si>
  <si>
    <t>Feedrate MTECs</t>
  </si>
  <si>
    <t>mg/dscm</t>
  </si>
  <si>
    <t>March 16-18, 1994</t>
  </si>
  <si>
    <t>Cond Descr</t>
  </si>
  <si>
    <t>Report Name/Date</t>
  </si>
  <si>
    <t>Report Prepare</t>
  </si>
  <si>
    <t>Testing Firm</t>
  </si>
  <si>
    <t>Ciba</t>
  </si>
  <si>
    <t>METCO</t>
  </si>
  <si>
    <t>Trial burn, HIGH KILN EXIT TEMPERATURE, METALS SPIKING</t>
  </si>
  <si>
    <t>Trial burn, LOW KILN EXIT TEMPERATURE, DRE</t>
  </si>
  <si>
    <t>Hazardous Waste Incinerator No. 2, Trial Burn Report, Ciba-Geigy Corp, McIntosh, Alabama, Volume I of V, June 1994</t>
  </si>
  <si>
    <t>Carbon Tetrachloride</t>
  </si>
  <si>
    <t>%</t>
  </si>
  <si>
    <t>Chlorobenzene</t>
  </si>
  <si>
    <t>Toluene</t>
  </si>
  <si>
    <t>490</t>
  </si>
  <si>
    <t>ALD001221902</t>
  </si>
  <si>
    <t>McINTOSH</t>
  </si>
  <si>
    <t>AL</t>
  </si>
  <si>
    <t>HW INCINERATOR NO. 2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</si>
  <si>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</si>
  <si>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</si>
  <si>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</si>
  <si>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</si>
  <si>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</si>
  <si>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</si>
  <si>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</si>
  <si>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</si>
  <si>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</si>
  <si>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</si>
  <si>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</si>
  <si>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</si>
  <si>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</si>
  <si>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</si>
  <si>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</si>
  <si>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</si>
  <si>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</si>
  <si>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</si>
  <si>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</si>
  <si>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</si>
  <si>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</si>
  <si>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</si>
  <si>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Combustor Type</t>
  </si>
  <si>
    <t>Combustor Class</t>
  </si>
  <si>
    <t>Rotary kiln</t>
  </si>
  <si>
    <t>Source Description</t>
  </si>
  <si>
    <t>Condition Description</t>
  </si>
  <si>
    <t>Stack Gas Emissions 2</t>
  </si>
  <si>
    <t>Feedstream 2</t>
  </si>
  <si>
    <t>49010</t>
  </si>
  <si>
    <t>F</t>
  </si>
  <si>
    <t>49011</t>
  </si>
  <si>
    <t>in H2O</t>
  </si>
  <si>
    <t>Kiln Temperature</t>
  </si>
  <si>
    <t>Afterburner Temperature</t>
  </si>
  <si>
    <t>Process Information 2</t>
  </si>
  <si>
    <t>Total Chlorine</t>
  </si>
  <si>
    <t>E1</t>
  </si>
  <si>
    <t>E2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</si>
  <si>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</si>
  <si>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</si>
  <si>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</si>
  <si>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</si>
  <si>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</si>
  <si>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</si>
  <si>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CO (RA)</t>
  </si>
  <si>
    <t>Testing Dates</t>
  </si>
  <si>
    <t>Cond Dates</t>
  </si>
  <si>
    <t>Number of Sister Facilities</t>
  </si>
  <si>
    <t>Onsite incinerator</t>
  </si>
  <si>
    <t>APCS Detailed Acronym</t>
  </si>
  <si>
    <t>APCS General Class</t>
  </si>
  <si>
    <t>Liq, sludge</t>
  </si>
  <si>
    <t>Natural gas</t>
  </si>
  <si>
    <t>source</t>
  </si>
  <si>
    <t>cond</t>
  </si>
  <si>
    <t>emiss 2</t>
  </si>
  <si>
    <t>feed 2</t>
  </si>
  <si>
    <t>process 2</t>
  </si>
  <si>
    <t>Feedstream Description</t>
  </si>
  <si>
    <t>Feedstream Number</t>
  </si>
  <si>
    <t>Feed Class</t>
  </si>
  <si>
    <t>F1</t>
  </si>
  <si>
    <t>Sludge HW</t>
  </si>
  <si>
    <t>F2</t>
  </si>
  <si>
    <t>NG</t>
  </si>
  <si>
    <t>F3</t>
  </si>
  <si>
    <t>Liq HW</t>
  </si>
  <si>
    <t>F4</t>
  </si>
  <si>
    <t>Spike</t>
  </si>
  <si>
    <t>F5</t>
  </si>
  <si>
    <t>Feed Class 2</t>
  </si>
  <si>
    <t>MF</t>
  </si>
  <si>
    <t>HW</t>
  </si>
  <si>
    <t>MMBtu/hr</t>
  </si>
  <si>
    <t>Estimated Firing Rate</t>
  </si>
  <si>
    <t>Ciba Specialty Chemicals Corporation</t>
  </si>
  <si>
    <t>SS/VS/PBS/VS</t>
  </si>
  <si>
    <t>HEWS, LEWS, HEWS</t>
  </si>
  <si>
    <t>Spray saturator, venturi scrubber, packed bed scrubber, venturi scrubber.  Ring-jet venturi scrubbers, heat exchanger used to sub-cool scrubber solution</t>
  </si>
  <si>
    <t>PBS Temperature</t>
  </si>
  <si>
    <t>PBS Pressure Drop</t>
  </si>
  <si>
    <t>PBS pH</t>
  </si>
  <si>
    <t>Initial Venturi Ring Jet Scrubber Pressure Drop</t>
  </si>
  <si>
    <t>Initial Venturi Ring Jet Scrubber Water Flowrate</t>
  </si>
  <si>
    <t>Initial Venturi Ring Jet Scrubber pH</t>
  </si>
  <si>
    <t>gpm</t>
  </si>
  <si>
    <t>Final Venturi Ring Jet Scrubber Pressure Drop</t>
  </si>
  <si>
    <t>Final Venturi Ring Jet Scrubber Water Flowrate</t>
  </si>
  <si>
    <t>Final Venturi Ring Jet Scrubber pH</t>
  </si>
  <si>
    <t>490C10</t>
  </si>
  <si>
    <t>Hazardous Waste Incinerator No. 2, Trial Burn Report of Results, Ciba Specialty Chemicals Corporation, McIntosh, Alabama, July 2000</t>
  </si>
  <si>
    <t>Trial burn, POHC DRE, low temp, max feed and gas velocity</t>
  </si>
  <si>
    <t>490C11</t>
  </si>
  <si>
    <t>April 7-8, 2000</t>
  </si>
  <si>
    <t>Trial burn, worst case for metals, PM, chlorine (max temp, max feedrates)</t>
  </si>
  <si>
    <t>490C12</t>
  </si>
  <si>
    <t>DEECO</t>
  </si>
  <si>
    <t>emiss 1</t>
  </si>
  <si>
    <t>feed 1</t>
  </si>
  <si>
    <t>df c12</t>
  </si>
  <si>
    <t>Stack Gas Emissions 1</t>
  </si>
  <si>
    <t>Comments</t>
  </si>
  <si>
    <t>Units</t>
  </si>
  <si>
    <t>7% O2</t>
  </si>
  <si>
    <t>POHC Feedrate</t>
  </si>
  <si>
    <t>PCDD/PCDF</t>
  </si>
  <si>
    <t>Aluminum</t>
  </si>
  <si>
    <t>Copper</t>
  </si>
  <si>
    <t>Zinc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</si>
  <si>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</si>
  <si>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</si>
  <si>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</si>
  <si>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</si>
  <si>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</si>
  <si>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</si>
  <si>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</si>
  <si>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</si>
  <si>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 xml:space="preserve"> TEQ</t>
  </si>
  <si>
    <t>TEQ</t>
  </si>
  <si>
    <t>1/2 ND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</si>
  <si>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</si>
  <si>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</si>
  <si>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</si>
  <si>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</si>
  <si>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</si>
  <si>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</si>
  <si>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</si>
  <si>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</si>
  <si>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</si>
  <si>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</si>
  <si>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</si>
  <si>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</si>
  <si>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</si>
  <si>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</si>
  <si>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</si>
  <si>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</si>
  <si>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</si>
  <si>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</si>
  <si>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</si>
  <si>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</si>
  <si>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</si>
  <si>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</si>
  <si>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</si>
  <si>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</si>
  <si>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</si>
  <si>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</si>
  <si>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</si>
  <si>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</si>
  <si>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</si>
  <si>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</si>
  <si>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</si>
  <si>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Ciba, Mc Intosh, AL</t>
  </si>
  <si>
    <t>Reasonable worst case, low temp PIC risk burn</t>
  </si>
  <si>
    <t>Reasonable worst case low temperature risk burn, April 6, 2000</t>
  </si>
  <si>
    <t>Detected in sample volume (ng)</t>
  </si>
  <si>
    <t>HC (RA)</t>
  </si>
  <si>
    <t>CO (MHRA)</t>
  </si>
  <si>
    <t>POHC DRE</t>
  </si>
  <si>
    <t>POHC Emissions</t>
  </si>
  <si>
    <t>&gt;</t>
  </si>
  <si>
    <t>PM, HCl</t>
  </si>
  <si>
    <t>Iron</t>
  </si>
  <si>
    <t>Chromium (Hex)</t>
  </si>
  <si>
    <t>*</t>
  </si>
  <si>
    <t>Feed Rate</t>
  </si>
  <si>
    <t>Heating Value</t>
  </si>
  <si>
    <t>Btu/lb</t>
  </si>
  <si>
    <t>Stack Gas Flowrate</t>
  </si>
  <si>
    <t>Thermal Feedrate</t>
  </si>
  <si>
    <t>Feedrate MTEC Calculations</t>
  </si>
  <si>
    <t>metals</t>
  </si>
  <si>
    <t>Feedstream</t>
  </si>
  <si>
    <t>Kiln liquid HW</t>
  </si>
  <si>
    <t>SCC liquid waste</t>
  </si>
  <si>
    <t>g/hr</t>
  </si>
  <si>
    <t>Full ND</t>
  </si>
  <si>
    <t>DRE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</si>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</sst>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mm/dd/yy"/>
    <numFmt numFmtId="169" formatCode="0.00000000"/>
    <numFmt numFmtId="170" formatCode="0.0000000"/>
    <numFmt numFmtId="171" formatCode="0.000000"/>
    <numFmt numFmtId="172" formatCode="mmmm\ d\,\ yyyy"/>
    <numFmt numFmtId="173" formatCode="&quot;$&quot;#,##0.000"/>
    <numFmt numFmtId="174" formatCode="#,##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163</v>
      </c>
    </row>
    <row r="4" ht="12.75">
      <c r="A4" t="s">
        <v>121</v>
      </c>
    </row>
    <row r="5" ht="12.75">
      <c r="A5" t="s">
        <v>164</v>
      </c>
    </row>
    <row r="6" ht="12.75">
      <c r="A6" t="s">
        <v>122</v>
      </c>
    </row>
    <row r="7" ht="12.75">
      <c r="A7" t="s">
        <v>123</v>
      </c>
    </row>
    <row r="8" ht="12.75">
      <c r="A8" t="s">
        <v>165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5" sqref="C15"/>
    </sheetView>
  </sheetViews>
  <sheetFormatPr defaultColWidth="9.140625" defaultRowHeight="12.75"/>
  <cols>
    <col min="1" max="1" width="2.421875" style="0" hidden="1" customWidth="1"/>
    <col min="2" max="2" width="28.421875" style="0" customWidth="1"/>
    <col min="3" max="3" width="56.00390625" style="0" customWidth="1"/>
  </cols>
  <sheetData>
    <row r="1" ht="12.75">
      <c r="B1" s="7" t="s">
        <v>90</v>
      </c>
    </row>
    <row r="3" spans="2:3" ht="12.75">
      <c r="B3" t="s">
        <v>65</v>
      </c>
      <c r="C3" t="s">
        <v>60</v>
      </c>
    </row>
    <row r="4" spans="2:3" ht="12.75">
      <c r="B4" t="s">
        <v>66</v>
      </c>
      <c r="C4" t="s">
        <v>61</v>
      </c>
    </row>
    <row r="5" spans="2:3" ht="12.75">
      <c r="B5" t="s">
        <v>67</v>
      </c>
      <c r="C5" t="s">
        <v>141</v>
      </c>
    </row>
    <row r="6" ht="12.75">
      <c r="B6" t="s">
        <v>68</v>
      </c>
    </row>
    <row r="7" spans="2:3" ht="12.75">
      <c r="B7" t="s">
        <v>69</v>
      </c>
      <c r="C7" t="s">
        <v>62</v>
      </c>
    </row>
    <row r="8" spans="2:3" ht="12.75">
      <c r="B8" t="s">
        <v>70</v>
      </c>
      <c r="C8" t="s">
        <v>63</v>
      </c>
    </row>
    <row r="9" spans="2:3" ht="12.75">
      <c r="B9" t="s">
        <v>71</v>
      </c>
      <c r="C9" t="s">
        <v>64</v>
      </c>
    </row>
    <row r="10" ht="12.75">
      <c r="B10" t="s">
        <v>72</v>
      </c>
    </row>
    <row r="11" spans="2:3" ht="12.75">
      <c r="B11" s="21" t="s">
        <v>113</v>
      </c>
      <c r="C11" s="22">
        <v>0</v>
      </c>
    </row>
    <row r="12" spans="2:3" ht="12.75">
      <c r="B12" t="s">
        <v>88</v>
      </c>
      <c r="C12" t="s">
        <v>114</v>
      </c>
    </row>
    <row r="13" spans="2:3" ht="12.75">
      <c r="B13" t="s">
        <v>87</v>
      </c>
      <c r="C13" t="s">
        <v>89</v>
      </c>
    </row>
    <row r="14" ht="12.75">
      <c r="B14" t="s">
        <v>73</v>
      </c>
    </row>
    <row r="15" ht="12.75">
      <c r="B15" t="s">
        <v>74</v>
      </c>
    </row>
    <row r="16" ht="12.75">
      <c r="B16" t="s">
        <v>75</v>
      </c>
    </row>
    <row r="17" spans="2:3" ht="12.75">
      <c r="B17" s="21" t="s">
        <v>115</v>
      </c>
      <c r="C17" t="s">
        <v>142</v>
      </c>
    </row>
    <row r="18" spans="2:3" ht="12.75">
      <c r="B18" s="21" t="s">
        <v>116</v>
      </c>
      <c r="C18" t="s">
        <v>143</v>
      </c>
    </row>
    <row r="19" spans="2:3" ht="38.25">
      <c r="B19" s="25" t="s">
        <v>76</v>
      </c>
      <c r="C19" s="13" t="s">
        <v>144</v>
      </c>
    </row>
    <row r="20" spans="2:3" ht="12.75">
      <c r="B20" t="s">
        <v>77</v>
      </c>
      <c r="C20" t="s">
        <v>117</v>
      </c>
    </row>
    <row r="21" ht="12.75">
      <c r="B21" t="s">
        <v>78</v>
      </c>
    </row>
    <row r="22" spans="2:3" ht="12.75">
      <c r="B22" t="s">
        <v>79</v>
      </c>
      <c r="C22" t="s">
        <v>118</v>
      </c>
    </row>
    <row r="24" ht="12.75">
      <c r="B24" t="s">
        <v>80</v>
      </c>
    </row>
    <row r="25" spans="2:3" ht="12.75">
      <c r="B25" t="s">
        <v>81</v>
      </c>
      <c r="C25" s="15">
        <v>2.9998536071423882</v>
      </c>
    </row>
    <row r="26" spans="2:3" ht="12.75">
      <c r="B26" t="s">
        <v>82</v>
      </c>
      <c r="C26" s="15">
        <v>124.99390029757218</v>
      </c>
    </row>
    <row r="27" spans="2:3" ht="12.75">
      <c r="B27" t="s">
        <v>83</v>
      </c>
      <c r="C27" s="15">
        <v>75</v>
      </c>
    </row>
    <row r="28" spans="2:3" ht="12.75">
      <c r="B28" t="s">
        <v>84</v>
      </c>
      <c r="C28" s="15">
        <v>175</v>
      </c>
    </row>
    <row r="30" ht="12.75">
      <c r="B30" t="s">
        <v>85</v>
      </c>
    </row>
    <row r="31" ht="12.75">
      <c r="B31" t="s">
        <v>86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B24">
      <selection activeCell="C44" sqref="C44"/>
    </sheetView>
  </sheetViews>
  <sheetFormatPr defaultColWidth="9.140625" defaultRowHeight="12.75"/>
  <cols>
    <col min="1" max="1" width="2.8515625" style="0" hidden="1" customWidth="1"/>
    <col min="2" max="2" width="18.28125" style="0" customWidth="1"/>
    <col min="3" max="3" width="65.00390625" style="12" customWidth="1"/>
  </cols>
  <sheetData>
    <row r="1" ht="12.75">
      <c r="B1" s="7" t="s">
        <v>91</v>
      </c>
    </row>
    <row r="3" ht="12.75">
      <c r="B3" s="7" t="s">
        <v>0</v>
      </c>
    </row>
    <row r="5" spans="2:3" s="13" customFormat="1" ht="25.5">
      <c r="B5" s="13" t="s">
        <v>48</v>
      </c>
      <c r="C5" s="14" t="s">
        <v>55</v>
      </c>
    </row>
    <row r="6" spans="2:3" ht="12.75">
      <c r="B6" t="s">
        <v>49</v>
      </c>
      <c r="C6" s="12" t="s">
        <v>51</v>
      </c>
    </row>
    <row r="7" spans="2:3" ht="12.75">
      <c r="B7" t="s">
        <v>50</v>
      </c>
      <c r="C7" s="12" t="s">
        <v>52</v>
      </c>
    </row>
    <row r="8" spans="1:3" ht="12.75">
      <c r="A8" t="s">
        <v>0</v>
      </c>
      <c r="B8" t="s">
        <v>47</v>
      </c>
      <c r="C8" s="12" t="s">
        <v>53</v>
      </c>
    </row>
    <row r="9" spans="1:3" ht="12.75">
      <c r="A9" t="s">
        <v>0</v>
      </c>
      <c r="B9" t="s">
        <v>111</v>
      </c>
      <c r="C9" s="12" t="s">
        <v>46</v>
      </c>
    </row>
    <row r="10" spans="2:3" ht="12.75">
      <c r="B10" t="s">
        <v>112</v>
      </c>
      <c r="C10" s="19">
        <v>34394</v>
      </c>
    </row>
    <row r="12" ht="12.75">
      <c r="B12" s="7" t="s">
        <v>18</v>
      </c>
    </row>
    <row r="14" spans="2:3" s="13" customFormat="1" ht="25.5">
      <c r="B14" s="13" t="s">
        <v>48</v>
      </c>
      <c r="C14" s="14" t="s">
        <v>55</v>
      </c>
    </row>
    <row r="15" spans="2:3" ht="12.75">
      <c r="B15" t="s">
        <v>49</v>
      </c>
      <c r="C15" s="12" t="s">
        <v>51</v>
      </c>
    </row>
    <row r="16" spans="2:3" ht="12.75">
      <c r="B16" t="s">
        <v>50</v>
      </c>
      <c r="C16" s="12" t="s">
        <v>52</v>
      </c>
    </row>
    <row r="17" spans="1:3" ht="12.75">
      <c r="A17" t="s">
        <v>18</v>
      </c>
      <c r="B17" t="s">
        <v>47</v>
      </c>
      <c r="C17" s="12" t="s">
        <v>54</v>
      </c>
    </row>
    <row r="18" spans="2:3" ht="12.75">
      <c r="B18" t="s">
        <v>111</v>
      </c>
      <c r="C18" s="20">
        <v>34410</v>
      </c>
    </row>
    <row r="19" spans="2:3" ht="12.75">
      <c r="B19" t="s">
        <v>112</v>
      </c>
      <c r="C19" s="19">
        <v>34394</v>
      </c>
    </row>
    <row r="21" ht="12.75">
      <c r="B21" s="7" t="s">
        <v>155</v>
      </c>
    </row>
    <row r="23" spans="2:3" ht="25.5">
      <c r="B23" s="13" t="s">
        <v>48</v>
      </c>
      <c r="C23" s="14" t="s">
        <v>156</v>
      </c>
    </row>
    <row r="24" spans="2:3" ht="12.75">
      <c r="B24" t="s">
        <v>49</v>
      </c>
      <c r="C24" s="12" t="s">
        <v>51</v>
      </c>
    </row>
    <row r="25" spans="2:3" ht="12.75">
      <c r="B25" t="s">
        <v>50</v>
      </c>
      <c r="C25" s="12" t="s">
        <v>162</v>
      </c>
    </row>
    <row r="26" spans="2:3" ht="12.75">
      <c r="B26" t="s">
        <v>47</v>
      </c>
      <c r="C26" s="12" t="s">
        <v>157</v>
      </c>
    </row>
    <row r="27" spans="2:3" ht="12.75">
      <c r="B27" t="s">
        <v>111</v>
      </c>
      <c r="C27" s="20">
        <v>36624</v>
      </c>
    </row>
    <row r="28" spans="2:3" ht="12.75">
      <c r="B28" t="s">
        <v>112</v>
      </c>
      <c r="C28" s="19">
        <v>36617</v>
      </c>
    </row>
    <row r="30" ht="12.75">
      <c r="B30" s="7" t="s">
        <v>158</v>
      </c>
    </row>
    <row r="32" spans="2:3" ht="25.5">
      <c r="B32" s="13" t="s">
        <v>48</v>
      </c>
      <c r="C32" s="14" t="s">
        <v>156</v>
      </c>
    </row>
    <row r="33" spans="2:3" ht="12.75">
      <c r="B33" t="s">
        <v>49</v>
      </c>
      <c r="C33" s="12" t="s">
        <v>51</v>
      </c>
    </row>
    <row r="34" spans="2:3" ht="12.75">
      <c r="B34" t="s">
        <v>50</v>
      </c>
      <c r="C34" s="12" t="s">
        <v>162</v>
      </c>
    </row>
    <row r="35" spans="2:3" ht="12.75">
      <c r="B35" t="s">
        <v>47</v>
      </c>
      <c r="C35" s="12" t="s">
        <v>160</v>
      </c>
    </row>
    <row r="36" spans="2:3" ht="12.75">
      <c r="B36" t="s">
        <v>111</v>
      </c>
      <c r="C36" s="20" t="s">
        <v>159</v>
      </c>
    </row>
    <row r="37" spans="2:3" ht="12.75">
      <c r="B37" t="s">
        <v>112</v>
      </c>
      <c r="C37" s="19">
        <v>36617</v>
      </c>
    </row>
    <row r="39" ht="12.75">
      <c r="B39" s="7" t="s">
        <v>161</v>
      </c>
    </row>
    <row r="41" spans="2:3" ht="25.5">
      <c r="B41" s="13" t="s">
        <v>48</v>
      </c>
      <c r="C41" s="14" t="s">
        <v>156</v>
      </c>
    </row>
    <row r="42" spans="2:3" ht="12.75">
      <c r="B42" t="s">
        <v>49</v>
      </c>
      <c r="C42" s="12" t="s">
        <v>51</v>
      </c>
    </row>
    <row r="43" spans="2:3" ht="12.75">
      <c r="B43" t="s">
        <v>50</v>
      </c>
      <c r="C43" s="12" t="s">
        <v>162</v>
      </c>
    </row>
    <row r="44" spans="2:3" ht="12.75">
      <c r="B44" t="s">
        <v>47</v>
      </c>
      <c r="C44" s="12" t="s">
        <v>218</v>
      </c>
    </row>
    <row r="45" spans="2:3" ht="12.75">
      <c r="B45" t="s">
        <v>111</v>
      </c>
      <c r="C45" s="20">
        <v>36622</v>
      </c>
    </row>
    <row r="46" spans="2:3" ht="12.75">
      <c r="B46" t="s">
        <v>112</v>
      </c>
      <c r="C46" s="19">
        <v>36617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workbookViewId="0" topLeftCell="B1">
      <pane ySplit="2040" topLeftCell="BM1" activePane="bottomLeft" state="split"/>
      <selection pane="topLeft" activeCell="D7" sqref="D7"/>
      <selection pane="bottomLeft" activeCell="O17" sqref="O17"/>
    </sheetView>
  </sheetViews>
  <sheetFormatPr defaultColWidth="9.140625" defaultRowHeight="12.75"/>
  <cols>
    <col min="1" max="1" width="1.421875" style="23" hidden="1" customWidth="1"/>
    <col min="2" max="2" width="16.8515625" style="23" customWidth="1"/>
    <col min="3" max="3" width="13.28125" style="23" customWidth="1"/>
    <col min="4" max="4" width="8.8515625" style="18" customWidth="1"/>
    <col min="5" max="5" width="6.140625" style="18" customWidth="1"/>
    <col min="6" max="6" width="3.7109375" style="18" customWidth="1"/>
    <col min="7" max="7" width="10.7109375" style="23" customWidth="1"/>
    <col min="8" max="8" width="3.00390625" style="23" customWidth="1"/>
    <col min="9" max="9" width="11.57421875" style="26" customWidth="1"/>
    <col min="10" max="10" width="3.00390625" style="23" customWidth="1"/>
    <col min="11" max="11" width="10.8515625" style="23" customWidth="1"/>
    <col min="12" max="12" width="4.57421875" style="23" customWidth="1"/>
    <col min="13" max="13" width="10.00390625" style="23" customWidth="1"/>
    <col min="14" max="14" width="2.140625" style="23" customWidth="1"/>
    <col min="15" max="16384" width="8.8515625" style="23" customWidth="1"/>
  </cols>
  <sheetData>
    <row r="1" spans="2:3" ht="12.75">
      <c r="B1" s="9" t="s">
        <v>166</v>
      </c>
      <c r="C1" s="9"/>
    </row>
    <row r="2" spans="2:12" ht="12.75">
      <c r="B2" s="27"/>
      <c r="C2" s="27"/>
      <c r="G2" s="27"/>
      <c r="H2" s="27"/>
      <c r="I2" s="28"/>
      <c r="J2" s="27"/>
      <c r="K2" s="27"/>
      <c r="L2" s="27"/>
    </row>
    <row r="3" spans="2:5" ht="12.75">
      <c r="B3" s="21"/>
      <c r="C3" s="21" t="s">
        <v>167</v>
      </c>
      <c r="D3" s="18" t="s">
        <v>168</v>
      </c>
      <c r="E3" s="18" t="s">
        <v>169</v>
      </c>
    </row>
    <row r="4" spans="2:12" ht="12.75">
      <c r="B4" s="21"/>
      <c r="C4" s="21"/>
      <c r="G4" s="27"/>
      <c r="H4" s="27"/>
      <c r="I4" s="28"/>
      <c r="J4" s="27"/>
      <c r="K4" s="27"/>
      <c r="L4" s="27"/>
    </row>
    <row r="5" spans="1:13" ht="12.75">
      <c r="A5" s="23">
        <v>10</v>
      </c>
      <c r="B5" s="29" t="s">
        <v>155</v>
      </c>
      <c r="C5" s="29"/>
      <c r="G5" s="27" t="s">
        <v>1</v>
      </c>
      <c r="H5" s="27"/>
      <c r="I5" s="28" t="s">
        <v>3</v>
      </c>
      <c r="J5" s="27"/>
      <c r="K5" s="27" t="s">
        <v>16</v>
      </c>
      <c r="L5" s="27"/>
      <c r="M5" s="23" t="s">
        <v>32</v>
      </c>
    </row>
    <row r="6" spans="2:12" ht="12.75">
      <c r="B6" s="18"/>
      <c r="C6" s="18"/>
      <c r="D6" s="21"/>
      <c r="E6" s="21"/>
      <c r="F6" s="21"/>
      <c r="G6" s="21"/>
      <c r="H6" s="21"/>
      <c r="I6" s="30"/>
      <c r="J6" s="21"/>
      <c r="K6" s="21"/>
      <c r="L6" s="21"/>
    </row>
    <row r="7" spans="2:13" ht="12.75">
      <c r="B7" s="18" t="s">
        <v>20</v>
      </c>
      <c r="C7" s="18" t="s">
        <v>102</v>
      </c>
      <c r="D7" s="21" t="s">
        <v>29</v>
      </c>
      <c r="E7" s="21" t="s">
        <v>21</v>
      </c>
      <c r="F7" s="21"/>
      <c r="G7">
        <v>0.0114</v>
      </c>
      <c r="H7"/>
      <c r="I7">
        <v>0.0109</v>
      </c>
      <c r="J7"/>
      <c r="K7">
        <v>0.0131</v>
      </c>
      <c r="L7" s="21"/>
      <c r="M7" s="56">
        <f>AVERAGE(I7,G7,K7)</f>
        <v>0.0118</v>
      </c>
    </row>
    <row r="8" spans="2:13" ht="12.75">
      <c r="B8" s="18" t="s">
        <v>221</v>
      </c>
      <c r="C8" s="18" t="s">
        <v>102</v>
      </c>
      <c r="D8" s="21" t="s">
        <v>30</v>
      </c>
      <c r="E8" s="21" t="s">
        <v>21</v>
      </c>
      <c r="F8" s="21"/>
      <c r="G8">
        <v>0.9</v>
      </c>
      <c r="H8"/>
      <c r="I8">
        <v>0.4</v>
      </c>
      <c r="J8"/>
      <c r="K8">
        <v>0.8</v>
      </c>
      <c r="L8" s="21"/>
      <c r="M8" s="31">
        <f>AVERAGE(I8,G8,K8)</f>
        <v>0.7000000000000001</v>
      </c>
    </row>
    <row r="9" spans="2:13" ht="12.75">
      <c r="B9" s="18" t="s">
        <v>222</v>
      </c>
      <c r="C9" s="18" t="s">
        <v>102</v>
      </c>
      <c r="D9" s="21" t="s">
        <v>30</v>
      </c>
      <c r="E9" s="21" t="s">
        <v>21</v>
      </c>
      <c r="F9" s="21"/>
      <c r="G9">
        <v>4.4</v>
      </c>
      <c r="H9"/>
      <c r="I9">
        <v>0</v>
      </c>
      <c r="J9"/>
      <c r="K9">
        <v>0</v>
      </c>
      <c r="L9" s="21"/>
      <c r="M9" s="31">
        <f>AVERAGE(I9,G9,K9)</f>
        <v>1.4666666666666668</v>
      </c>
    </row>
    <row r="10" spans="2:13" ht="12.75">
      <c r="B10" s="18" t="s">
        <v>23</v>
      </c>
      <c r="C10" s="18"/>
      <c r="D10" s="21" t="s">
        <v>35</v>
      </c>
      <c r="E10" s="21"/>
      <c r="F10"/>
      <c r="G10">
        <v>0.394</v>
      </c>
      <c r="H10"/>
      <c r="I10">
        <v>0.385</v>
      </c>
      <c r="J10"/>
      <c r="K10">
        <v>0.389</v>
      </c>
      <c r="L10"/>
      <c r="M10" s="31"/>
    </row>
    <row r="11" spans="2:13" ht="12.75">
      <c r="B11" s="18" t="s">
        <v>24</v>
      </c>
      <c r="C11" s="18"/>
      <c r="D11" s="21" t="s">
        <v>35</v>
      </c>
      <c r="E11" s="21"/>
      <c r="F11"/>
      <c r="G11">
        <v>0.078</v>
      </c>
      <c r="H11"/>
      <c r="I11">
        <v>0.064</v>
      </c>
      <c r="J11"/>
      <c r="K11">
        <v>0.067</v>
      </c>
      <c r="L11"/>
      <c r="M11" s="31"/>
    </row>
    <row r="12" spans="2:13" ht="12.75">
      <c r="B12" s="18" t="s">
        <v>23</v>
      </c>
      <c r="C12" s="18" t="s">
        <v>102</v>
      </c>
      <c r="D12" s="21" t="s">
        <v>30</v>
      </c>
      <c r="E12" s="21" t="s">
        <v>21</v>
      </c>
      <c r="F12"/>
      <c r="G12" s="32">
        <f>G10*454/G32/0.0283/60*14/(21-G33)/1518*1000000</f>
        <v>4.7597604193820775</v>
      </c>
      <c r="H12"/>
      <c r="I12" s="32">
        <f>I10*454/I32/0.0283/60*14/(21-I33)/1518*1000000</f>
        <v>4.65103492756878</v>
      </c>
      <c r="J12"/>
      <c r="K12" s="32">
        <f>K10*454/K32/0.0283/60*14/(21-K33)/1518*1000000</f>
        <v>4.62058201364471</v>
      </c>
      <c r="L12"/>
      <c r="M12" s="32">
        <f>AVERAGE(G12,I12,K12)</f>
        <v>4.677125786865189</v>
      </c>
    </row>
    <row r="13" spans="2:13" ht="12.75">
      <c r="B13" s="18" t="s">
        <v>24</v>
      </c>
      <c r="C13" s="18" t="s">
        <v>102</v>
      </c>
      <c r="D13" s="21" t="s">
        <v>30</v>
      </c>
      <c r="E13" s="21" t="s">
        <v>21</v>
      </c>
      <c r="F13"/>
      <c r="G13" s="32">
        <f>G11*454/G32/0.0283/60*14/(21-G33)/3000*1000000</f>
        <v>0.476797523431908</v>
      </c>
      <c r="H13"/>
      <c r="I13" s="32">
        <f>I11*454/I32/0.0283/60*14/(21-I33)/3000*1000000</f>
        <v>0.39121848076464255</v>
      </c>
      <c r="J13"/>
      <c r="K13" s="32">
        <f>K11*454/K32/0.0283/60*14/(21-K33)/3000*1000000</f>
        <v>0.4026914432559973</v>
      </c>
      <c r="L13"/>
      <c r="M13" s="32">
        <f>AVERAGE(G13,I13,K13)</f>
        <v>0.4235691491508493</v>
      </c>
    </row>
    <row r="14" spans="2:13" ht="12.75">
      <c r="B14" s="18" t="s">
        <v>101</v>
      </c>
      <c r="C14" s="18" t="s">
        <v>102</v>
      </c>
      <c r="D14" s="21" t="s">
        <v>30</v>
      </c>
      <c r="E14" s="21" t="s">
        <v>21</v>
      </c>
      <c r="F14"/>
      <c r="G14" s="32">
        <f>G12+2*G13</f>
        <v>5.713355466245893</v>
      </c>
      <c r="H14"/>
      <c r="I14" s="32">
        <f>I12+2*I13</f>
        <v>5.433471889098065</v>
      </c>
      <c r="J14"/>
      <c r="K14" s="32">
        <f>K12+2*K13</f>
        <v>5.425964900156704</v>
      </c>
      <c r="L14"/>
      <c r="M14" s="32">
        <f>AVERAGE(G14,I14,K14)</f>
        <v>5.524264085166887</v>
      </c>
    </row>
    <row r="15" spans="2:13" ht="12.75">
      <c r="B15" s="18"/>
      <c r="C15" s="18"/>
      <c r="F15"/>
      <c r="G15"/>
      <c r="H15"/>
      <c r="I15"/>
      <c r="J15"/>
      <c r="K15"/>
      <c r="L15"/>
      <c r="M15" s="32"/>
    </row>
    <row r="16" spans="2:13" ht="12.75">
      <c r="B16" s="23" t="s">
        <v>223</v>
      </c>
      <c r="C16" s="18" t="s">
        <v>56</v>
      </c>
      <c r="F16"/>
      <c r="G16"/>
      <c r="H16"/>
      <c r="I16"/>
      <c r="J16"/>
      <c r="K16"/>
      <c r="L16"/>
      <c r="M16" s="32"/>
    </row>
    <row r="17" spans="2:13" ht="12.75">
      <c r="B17" s="18" t="s">
        <v>170</v>
      </c>
      <c r="C17" s="18"/>
      <c r="D17" s="18" t="s">
        <v>35</v>
      </c>
      <c r="F17"/>
      <c r="G17">
        <v>209</v>
      </c>
      <c r="H17"/>
      <c r="I17">
        <v>209</v>
      </c>
      <c r="J17"/>
      <c r="K17">
        <v>211</v>
      </c>
      <c r="L17"/>
      <c r="M17" s="32"/>
    </row>
    <row r="18" spans="2:13" ht="12.75">
      <c r="B18" s="18" t="s">
        <v>224</v>
      </c>
      <c r="C18" s="18"/>
      <c r="D18" s="18" t="s">
        <v>35</v>
      </c>
      <c r="F18" t="s">
        <v>25</v>
      </c>
      <c r="G18" s="36">
        <v>0.00141</v>
      </c>
      <c r="H18" t="s">
        <v>25</v>
      </c>
      <c r="I18" s="36">
        <v>0.0014</v>
      </c>
      <c r="J18" t="s">
        <v>25</v>
      </c>
      <c r="K18" s="36">
        <v>0.0015</v>
      </c>
      <c r="L18"/>
      <c r="M18" s="32"/>
    </row>
    <row r="19" spans="2:13" ht="12.75">
      <c r="B19" s="18" t="s">
        <v>223</v>
      </c>
      <c r="C19" s="18"/>
      <c r="D19" s="18" t="s">
        <v>57</v>
      </c>
      <c r="F19" t="s">
        <v>225</v>
      </c>
      <c r="G19">
        <v>99.99932</v>
      </c>
      <c r="H19" t="s">
        <v>225</v>
      </c>
      <c r="I19">
        <v>99.99933</v>
      </c>
      <c r="J19" t="s">
        <v>225</v>
      </c>
      <c r="K19">
        <v>99.99929</v>
      </c>
      <c r="L19"/>
      <c r="M19" s="32"/>
    </row>
    <row r="20" spans="2:13" ht="12.75">
      <c r="B20" s="18"/>
      <c r="C20" s="18"/>
      <c r="F20"/>
      <c r="G20"/>
      <c r="H20"/>
      <c r="I20"/>
      <c r="J20"/>
      <c r="K20"/>
      <c r="L20"/>
      <c r="M20" s="32"/>
    </row>
    <row r="21" spans="2:13" ht="12.75">
      <c r="B21" s="18" t="s">
        <v>223</v>
      </c>
      <c r="C21" s="18" t="s">
        <v>59</v>
      </c>
      <c r="F21"/>
      <c r="G21"/>
      <c r="H21"/>
      <c r="I21"/>
      <c r="J21"/>
      <c r="K21"/>
      <c r="L21"/>
      <c r="M21" s="32"/>
    </row>
    <row r="22" spans="2:13" ht="12.75">
      <c r="B22" s="18" t="s">
        <v>170</v>
      </c>
      <c r="C22" s="18"/>
      <c r="D22" s="18" t="s">
        <v>35</v>
      </c>
      <c r="F22"/>
      <c r="G22">
        <v>1409</v>
      </c>
      <c r="H22"/>
      <c r="I22">
        <v>1409</v>
      </c>
      <c r="J22"/>
      <c r="K22">
        <v>1407</v>
      </c>
      <c r="L22"/>
      <c r="M22" s="32"/>
    </row>
    <row r="23" spans="2:13" ht="12.75">
      <c r="B23" s="18" t="s">
        <v>224</v>
      </c>
      <c r="C23" s="18"/>
      <c r="D23" s="18" t="s">
        <v>35</v>
      </c>
      <c r="F23" t="s">
        <v>25</v>
      </c>
      <c r="G23" s="36">
        <v>0.00141</v>
      </c>
      <c r="H23" t="s">
        <v>25</v>
      </c>
      <c r="I23" s="36">
        <v>0.0014</v>
      </c>
      <c r="J23" t="s">
        <v>25</v>
      </c>
      <c r="K23" s="36">
        <v>0.0015</v>
      </c>
      <c r="L23" s="36"/>
      <c r="M23" s="32"/>
    </row>
    <row r="24" spans="2:13" ht="12.75">
      <c r="B24" s="18" t="s">
        <v>223</v>
      </c>
      <c r="C24" s="18"/>
      <c r="D24" s="18" t="s">
        <v>57</v>
      </c>
      <c r="F24"/>
      <c r="G24">
        <v>99.9999</v>
      </c>
      <c r="H24"/>
      <c r="I24">
        <v>99.9999</v>
      </c>
      <c r="J24"/>
      <c r="K24">
        <v>99.99989</v>
      </c>
      <c r="L24"/>
      <c r="M24" s="32"/>
    </row>
    <row r="25" spans="2:13" ht="12.75">
      <c r="B25" s="18"/>
      <c r="C25" s="18"/>
      <c r="F25"/>
      <c r="G25"/>
      <c r="H25"/>
      <c r="I25"/>
      <c r="J25"/>
      <c r="K25"/>
      <c r="L25"/>
      <c r="M25" s="32"/>
    </row>
    <row r="26" spans="2:13" ht="12.75">
      <c r="B26" s="23" t="s">
        <v>223</v>
      </c>
      <c r="C26" s="18" t="s">
        <v>58</v>
      </c>
      <c r="F26"/>
      <c r="G26"/>
      <c r="H26"/>
      <c r="I26"/>
      <c r="J26"/>
      <c r="K26"/>
      <c r="L26"/>
      <c r="M26" s="32"/>
    </row>
    <row r="27" spans="2:13" ht="12.75">
      <c r="B27" s="18" t="s">
        <v>170</v>
      </c>
      <c r="C27" s="18"/>
      <c r="D27" s="18" t="s">
        <v>35</v>
      </c>
      <c r="F27"/>
      <c r="G27">
        <v>204</v>
      </c>
      <c r="H27"/>
      <c r="I27">
        <v>204</v>
      </c>
      <c r="J27"/>
      <c r="K27">
        <v>204</v>
      </c>
      <c r="L27"/>
      <c r="M27" s="32"/>
    </row>
    <row r="28" spans="2:13" ht="12.75">
      <c r="B28" s="18" t="s">
        <v>224</v>
      </c>
      <c r="C28" s="18"/>
      <c r="D28" s="18" t="s">
        <v>35</v>
      </c>
      <c r="F28" t="s">
        <v>25</v>
      </c>
      <c r="G28" s="36">
        <v>0.00141</v>
      </c>
      <c r="H28" t="s">
        <v>25</v>
      </c>
      <c r="I28" s="36">
        <v>0.0014</v>
      </c>
      <c r="J28" t="s">
        <v>25</v>
      </c>
      <c r="K28" s="36">
        <v>0.0015</v>
      </c>
      <c r="L28"/>
      <c r="M28" s="32"/>
    </row>
    <row r="29" spans="2:13" ht="12.75">
      <c r="B29" s="18" t="s">
        <v>223</v>
      </c>
      <c r="C29" s="18"/>
      <c r="D29" s="18" t="s">
        <v>57</v>
      </c>
      <c r="F29"/>
      <c r="G29">
        <v>99.99931</v>
      </c>
      <c r="H29"/>
      <c r="I29">
        <v>99.99931</v>
      </c>
      <c r="J29"/>
      <c r="K29">
        <v>99.99927</v>
      </c>
      <c r="L29"/>
      <c r="M29" s="32"/>
    </row>
    <row r="30" spans="2:13" ht="12.75">
      <c r="B30" s="18"/>
      <c r="C30" s="18"/>
      <c r="F30"/>
      <c r="G30"/>
      <c r="H30"/>
      <c r="I30"/>
      <c r="J30"/>
      <c r="K30"/>
      <c r="L30"/>
      <c r="M30"/>
    </row>
    <row r="31" spans="2:13" ht="12.75">
      <c r="B31" s="18" t="s">
        <v>39</v>
      </c>
      <c r="C31" s="18" t="s">
        <v>226</v>
      </c>
      <c r="D31" s="18" t="s">
        <v>102</v>
      </c>
      <c r="F31"/>
      <c r="G31"/>
      <c r="H31"/>
      <c r="I31"/>
      <c r="J31"/>
      <c r="K31"/>
      <c r="L31"/>
      <c r="M31"/>
    </row>
    <row r="32" spans="2:13" ht="12.75">
      <c r="B32" s="18" t="s">
        <v>104</v>
      </c>
      <c r="C32" s="18"/>
      <c r="D32" s="18" t="s">
        <v>105</v>
      </c>
      <c r="F32"/>
      <c r="G32">
        <v>16200</v>
      </c>
      <c r="H32"/>
      <c r="I32">
        <v>16200</v>
      </c>
      <c r="J32"/>
      <c r="K32">
        <v>17300</v>
      </c>
      <c r="L32"/>
      <c r="M32" s="32">
        <f>AVERAGE(G32,I32,K32)</f>
        <v>16566.666666666668</v>
      </c>
    </row>
    <row r="33" spans="2:13" ht="12.75">
      <c r="B33" s="18" t="s">
        <v>106</v>
      </c>
      <c r="C33" s="18"/>
      <c r="D33" s="18" t="s">
        <v>57</v>
      </c>
      <c r="F33"/>
      <c r="G33">
        <v>8.4</v>
      </c>
      <c r="H33"/>
      <c r="I33">
        <v>8.4</v>
      </c>
      <c r="J33"/>
      <c r="K33">
        <v>9</v>
      </c>
      <c r="L33"/>
      <c r="M33" s="32">
        <f>AVERAGE(G33,I33,K33)</f>
        <v>8.6</v>
      </c>
    </row>
    <row r="34" spans="2:13" ht="12.75">
      <c r="B34" s="18" t="s">
        <v>107</v>
      </c>
      <c r="C34" s="18"/>
      <c r="D34" s="18" t="s">
        <v>57</v>
      </c>
      <c r="F34"/>
      <c r="G34">
        <v>41.4</v>
      </c>
      <c r="H34"/>
      <c r="I34">
        <v>38.6</v>
      </c>
      <c r="J34"/>
      <c r="K34">
        <v>38.6</v>
      </c>
      <c r="L34"/>
      <c r="M34" s="32">
        <f>AVERAGE(G34,I34,K34)</f>
        <v>39.53333333333333</v>
      </c>
    </row>
    <row r="35" spans="2:13" ht="12.75">
      <c r="B35" s="18" t="s">
        <v>108</v>
      </c>
      <c r="C35" s="18"/>
      <c r="D35" s="18" t="s">
        <v>109</v>
      </c>
      <c r="F35"/>
      <c r="G35"/>
      <c r="H35"/>
      <c r="I35"/>
      <c r="J35"/>
      <c r="K35"/>
      <c r="L35"/>
      <c r="M35" s="32"/>
    </row>
    <row r="36" ht="12.75"/>
    <row r="37" spans="1:13" ht="12.75">
      <c r="A37" s="23">
        <v>10</v>
      </c>
      <c r="B37" s="29" t="s">
        <v>158</v>
      </c>
      <c r="C37" s="29"/>
      <c r="G37" s="27" t="s">
        <v>1</v>
      </c>
      <c r="H37" s="27"/>
      <c r="I37" s="28" t="s">
        <v>3</v>
      </c>
      <c r="J37" s="27"/>
      <c r="K37" s="27" t="s">
        <v>16</v>
      </c>
      <c r="L37" s="27"/>
      <c r="M37" s="23" t="s">
        <v>32</v>
      </c>
    </row>
    <row r="38" spans="2:12" ht="12.75">
      <c r="B38" s="18"/>
      <c r="C38" s="18"/>
      <c r="D38" s="21"/>
      <c r="E38" s="21"/>
      <c r="F38" s="21"/>
      <c r="G38" s="21"/>
      <c r="H38" s="21"/>
      <c r="I38" s="30"/>
      <c r="J38" s="21"/>
      <c r="K38" s="21"/>
      <c r="L38" s="21"/>
    </row>
    <row r="39" spans="2:13" ht="12.75">
      <c r="B39" s="18" t="s">
        <v>20</v>
      </c>
      <c r="C39" s="18" t="s">
        <v>102</v>
      </c>
      <c r="D39" s="21" t="s">
        <v>29</v>
      </c>
      <c r="E39" s="21" t="s">
        <v>21</v>
      </c>
      <c r="F39" s="21"/>
      <c r="G39">
        <v>0.0085</v>
      </c>
      <c r="H39"/>
      <c r="I39">
        <v>0.0082</v>
      </c>
      <c r="J39"/>
      <c r="K39">
        <v>0.0089</v>
      </c>
      <c r="L39" s="21"/>
      <c r="M39" s="56">
        <f>AVERAGE(I39,G39,K39)</f>
        <v>0.008533333333333332</v>
      </c>
    </row>
    <row r="40" spans="2:13" ht="12.75">
      <c r="B40" s="18" t="s">
        <v>222</v>
      </c>
      <c r="C40" s="18" t="s">
        <v>102</v>
      </c>
      <c r="D40" s="21" t="s">
        <v>30</v>
      </c>
      <c r="E40" s="21" t="s">
        <v>21</v>
      </c>
      <c r="F40" s="21"/>
      <c r="G40">
        <v>0</v>
      </c>
      <c r="H40"/>
      <c r="I40">
        <v>0</v>
      </c>
      <c r="J40"/>
      <c r="K40">
        <v>0</v>
      </c>
      <c r="L40" s="21"/>
      <c r="M40" s="31">
        <f>AVERAGE(I40,G40,K40)</f>
        <v>0</v>
      </c>
    </row>
    <row r="41" spans="2:13" ht="12.75">
      <c r="B41" s="18" t="s">
        <v>23</v>
      </c>
      <c r="C41" s="18"/>
      <c r="D41" s="21" t="s">
        <v>35</v>
      </c>
      <c r="E41" s="21"/>
      <c r="F41"/>
      <c r="G41">
        <v>0.368</v>
      </c>
      <c r="H41"/>
      <c r="I41">
        <v>0.391</v>
      </c>
      <c r="J41"/>
      <c r="K41">
        <v>0.397</v>
      </c>
      <c r="L41"/>
      <c r="M41" s="31"/>
    </row>
    <row r="42" spans="2:13" ht="12.75">
      <c r="B42" s="18" t="s">
        <v>24</v>
      </c>
      <c r="C42" s="18"/>
      <c r="D42" s="21" t="s">
        <v>35</v>
      </c>
      <c r="E42" s="21"/>
      <c r="F42"/>
      <c r="G42">
        <v>0.064</v>
      </c>
      <c r="H42"/>
      <c r="I42">
        <v>0.07</v>
      </c>
      <c r="J42"/>
      <c r="K42">
        <v>0.069</v>
      </c>
      <c r="L42"/>
      <c r="M42" s="31"/>
    </row>
    <row r="43" spans="2:13" ht="12.75">
      <c r="B43" s="18" t="s">
        <v>23</v>
      </c>
      <c r="C43" s="18" t="s">
        <v>102</v>
      </c>
      <c r="D43" s="21" t="s">
        <v>30</v>
      </c>
      <c r="E43" s="21" t="s">
        <v>21</v>
      </c>
      <c r="F43"/>
      <c r="G43" s="32">
        <f>G41*454/G48/0.0283/60*14/(21-G49)/1518*1000000</f>
        <v>4.406803849999053</v>
      </c>
      <c r="H43"/>
      <c r="I43" s="32">
        <f>I41*454/I48/0.0283/60*14/(21-I49)/1518*1000000</f>
        <v>4.783749016826063</v>
      </c>
      <c r="J43"/>
      <c r="K43" s="32">
        <f>K41*454/K48/0.0283/60*14/(21-K49)/1518*1000000</f>
        <v>4.863672393020897</v>
      </c>
      <c r="L43"/>
      <c r="M43" s="32">
        <f>AVERAGE(G43,I43,K43)</f>
        <v>4.684741753282004</v>
      </c>
    </row>
    <row r="44" spans="2:13" ht="12.75">
      <c r="B44" s="18" t="s">
        <v>24</v>
      </c>
      <c r="C44" s="18" t="s">
        <v>102</v>
      </c>
      <c r="D44" s="21" t="s">
        <v>30</v>
      </c>
      <c r="E44" s="21" t="s">
        <v>21</v>
      </c>
      <c r="F44"/>
      <c r="G44" s="32">
        <f>G42*454/G48/0.0283/60*14/(21-G49)/3000*1000000</f>
        <v>0.38779873879991666</v>
      </c>
      <c r="H44"/>
      <c r="I44" s="32">
        <f>I42*454/I48/0.0283/60*14/(21-I49)/3000*1000000</f>
        <v>0.4333513815242434</v>
      </c>
      <c r="J44"/>
      <c r="K44" s="32">
        <f>K42*454/K48/0.0283/60*14/(21-K49)/3000*1000000</f>
        <v>0.42773364717866913</v>
      </c>
      <c r="L44"/>
      <c r="M44" s="32">
        <f>AVERAGE(G44,I44,K44)</f>
        <v>0.4162945891676097</v>
      </c>
    </row>
    <row r="45" spans="2:13" ht="12.75">
      <c r="B45" s="18" t="s">
        <v>101</v>
      </c>
      <c r="C45" s="18" t="s">
        <v>102</v>
      </c>
      <c r="D45" s="21" t="s">
        <v>30</v>
      </c>
      <c r="E45" s="21" t="s">
        <v>21</v>
      </c>
      <c r="F45"/>
      <c r="G45" s="32">
        <f>G43+2*G44</f>
        <v>5.182401327598887</v>
      </c>
      <c r="H45"/>
      <c r="I45" s="32">
        <f>I43+2*I44</f>
        <v>5.650451779874549</v>
      </c>
      <c r="J45"/>
      <c r="K45" s="32">
        <f>K43+2*K44</f>
        <v>5.719139687378235</v>
      </c>
      <c r="L45"/>
      <c r="M45" s="32">
        <f>AVERAGE(G45,I45,K45)</f>
        <v>5.517330931617224</v>
      </c>
    </row>
    <row r="46" spans="2:13" ht="12.75">
      <c r="B46" s="18"/>
      <c r="C46" s="18"/>
      <c r="F46"/>
      <c r="G46"/>
      <c r="H46"/>
      <c r="I46"/>
      <c r="J46"/>
      <c r="K46"/>
      <c r="L46"/>
      <c r="M46"/>
    </row>
    <row r="47" spans="2:13" ht="12.75">
      <c r="B47" s="18" t="s">
        <v>39</v>
      </c>
      <c r="C47" s="18" t="s">
        <v>226</v>
      </c>
      <c r="D47" s="18" t="s">
        <v>102</v>
      </c>
      <c r="F47"/>
      <c r="G47"/>
      <c r="H47"/>
      <c r="I47"/>
      <c r="J47"/>
      <c r="K47"/>
      <c r="L47"/>
      <c r="M47"/>
    </row>
    <row r="48" spans="2:13" ht="12.75">
      <c r="B48" s="18" t="s">
        <v>104</v>
      </c>
      <c r="C48" s="18"/>
      <c r="D48" s="18" t="s">
        <v>105</v>
      </c>
      <c r="F48"/>
      <c r="G48">
        <v>14400</v>
      </c>
      <c r="H48"/>
      <c r="I48">
        <v>14500</v>
      </c>
      <c r="J48"/>
      <c r="K48">
        <v>14800</v>
      </c>
      <c r="L48"/>
      <c r="M48" s="32">
        <f>AVERAGE(G48,I48,K48)</f>
        <v>14566.666666666666</v>
      </c>
    </row>
    <row r="49" spans="2:13" ht="12.75">
      <c r="B49" s="18" t="s">
        <v>106</v>
      </c>
      <c r="C49" s="18"/>
      <c r="D49" s="18" t="s">
        <v>57</v>
      </c>
      <c r="F49"/>
      <c r="G49">
        <v>6.7</v>
      </c>
      <c r="H49"/>
      <c r="I49">
        <v>7.1</v>
      </c>
      <c r="J49"/>
      <c r="K49">
        <v>7.4</v>
      </c>
      <c r="L49"/>
      <c r="M49" s="32">
        <f>AVERAGE(G49,I49,K49)</f>
        <v>7.066666666666667</v>
      </c>
    </row>
    <row r="50" spans="2:13" ht="12.75">
      <c r="B50" s="18" t="s">
        <v>107</v>
      </c>
      <c r="C50" s="18"/>
      <c r="D50" s="18" t="s">
        <v>57</v>
      </c>
      <c r="F50"/>
      <c r="G50">
        <v>42.7</v>
      </c>
      <c r="H50"/>
      <c r="I50">
        <v>43.2</v>
      </c>
      <c r="J50"/>
      <c r="K50">
        <v>41.6</v>
      </c>
      <c r="L50"/>
      <c r="M50" s="32">
        <f>AVERAGE(G50,I50,K50)</f>
        <v>42.5</v>
      </c>
    </row>
    <row r="51" spans="2:13" ht="12.75">
      <c r="B51" s="18" t="s">
        <v>108</v>
      </c>
      <c r="C51" s="18"/>
      <c r="D51" s="18" t="s">
        <v>109</v>
      </c>
      <c r="F51"/>
      <c r="G51"/>
      <c r="H51"/>
      <c r="I51"/>
      <c r="J51"/>
      <c r="K51"/>
      <c r="L51"/>
      <c r="M51" s="32"/>
    </row>
    <row r="52" spans="2:12" ht="12.75">
      <c r="B52" s="9"/>
      <c r="C52" s="9"/>
      <c r="G52" s="27"/>
      <c r="H52" s="27"/>
      <c r="I52" s="28"/>
      <c r="J52" s="27"/>
      <c r="K52" s="27"/>
      <c r="L52" s="27"/>
    </row>
    <row r="53" spans="2:13" ht="12.75">
      <c r="B53" s="18" t="s">
        <v>172</v>
      </c>
      <c r="C53" s="23" t="s">
        <v>102</v>
      </c>
      <c r="D53" s="18" t="s">
        <v>31</v>
      </c>
      <c r="E53" s="18" t="s">
        <v>21</v>
      </c>
      <c r="G53" s="31">
        <v>51.52</v>
      </c>
      <c r="H53" s="31"/>
      <c r="I53" s="31">
        <v>51.54</v>
      </c>
      <c r="J53" s="31"/>
      <c r="K53" s="31">
        <v>45.1</v>
      </c>
      <c r="L53" s="31"/>
      <c r="M53" s="31">
        <f aca="true" t="shared" si="0" ref="M53:M69">AVERAGE(G53,I53,K53)</f>
        <v>49.38666666666666</v>
      </c>
    </row>
    <row r="54" spans="2:13" ht="12.75">
      <c r="B54" s="18" t="s">
        <v>4</v>
      </c>
      <c r="C54" s="23" t="s">
        <v>102</v>
      </c>
      <c r="D54" s="18" t="s">
        <v>31</v>
      </c>
      <c r="E54" s="18" t="s">
        <v>21</v>
      </c>
      <c r="G54" s="31">
        <v>4.32</v>
      </c>
      <c r="H54" s="31"/>
      <c r="I54" s="31">
        <v>5.89</v>
      </c>
      <c r="J54" s="31"/>
      <c r="K54" s="31">
        <v>6.13</v>
      </c>
      <c r="L54" s="31"/>
      <c r="M54" s="31">
        <f t="shared" si="0"/>
        <v>5.446666666666666</v>
      </c>
    </row>
    <row r="55" spans="2:13" ht="12.75">
      <c r="B55" s="18" t="s">
        <v>5</v>
      </c>
      <c r="C55" s="23" t="s">
        <v>102</v>
      </c>
      <c r="D55" s="18" t="s">
        <v>31</v>
      </c>
      <c r="E55" s="18" t="s">
        <v>21</v>
      </c>
      <c r="G55" s="31">
        <v>20.3</v>
      </c>
      <c r="H55" s="31"/>
      <c r="I55" s="31">
        <v>23.73</v>
      </c>
      <c r="J55" s="31"/>
      <c r="K55" s="31">
        <v>25.45</v>
      </c>
      <c r="L55" s="31"/>
      <c r="M55" s="31">
        <f t="shared" si="0"/>
        <v>23.16</v>
      </c>
    </row>
    <row r="56" spans="2:13" ht="12.75">
      <c r="B56" s="18" t="s">
        <v>6</v>
      </c>
      <c r="C56" s="23" t="s">
        <v>102</v>
      </c>
      <c r="D56" s="18" t="s">
        <v>31</v>
      </c>
      <c r="E56" s="18" t="s">
        <v>21</v>
      </c>
      <c r="G56" s="31">
        <v>12.95</v>
      </c>
      <c r="H56" s="31"/>
      <c r="I56" s="31">
        <v>13.45</v>
      </c>
      <c r="J56" s="31"/>
      <c r="K56" s="31">
        <v>13.61</v>
      </c>
      <c r="L56" s="31"/>
      <c r="M56" s="31">
        <f t="shared" si="0"/>
        <v>13.336666666666666</v>
      </c>
    </row>
    <row r="57" spans="2:13" ht="12.75">
      <c r="B57" s="18" t="s">
        <v>7</v>
      </c>
      <c r="C57" s="23" t="s">
        <v>102</v>
      </c>
      <c r="D57" s="18" t="s">
        <v>31</v>
      </c>
      <c r="E57" s="18" t="s">
        <v>21</v>
      </c>
      <c r="F57" s="18" t="s">
        <v>25</v>
      </c>
      <c r="G57" s="31">
        <v>0.33</v>
      </c>
      <c r="H57" s="31" t="s">
        <v>25</v>
      </c>
      <c r="I57" s="31">
        <v>0.34</v>
      </c>
      <c r="J57" s="31" t="s">
        <v>25</v>
      </c>
      <c r="K57" s="31">
        <v>0.34</v>
      </c>
      <c r="L57" s="62">
        <v>100</v>
      </c>
      <c r="M57" s="31">
        <f t="shared" si="0"/>
        <v>0.33666666666666667</v>
      </c>
    </row>
    <row r="58" spans="2:13" ht="12.75">
      <c r="B58" s="18" t="s">
        <v>8</v>
      </c>
      <c r="C58" s="23" t="s">
        <v>102</v>
      </c>
      <c r="D58" s="18" t="s">
        <v>31</v>
      </c>
      <c r="E58" s="18" t="s">
        <v>21</v>
      </c>
      <c r="G58" s="31">
        <v>12.44</v>
      </c>
      <c r="H58" s="31"/>
      <c r="I58" s="31">
        <v>14.3</v>
      </c>
      <c r="J58" s="31"/>
      <c r="K58" s="31">
        <v>15.27</v>
      </c>
      <c r="L58" s="31"/>
      <c r="M58" s="31">
        <f t="shared" si="0"/>
        <v>14.003333333333336</v>
      </c>
    </row>
    <row r="59" spans="2:13" ht="12.75">
      <c r="B59" s="18" t="s">
        <v>9</v>
      </c>
      <c r="C59" s="23" t="s">
        <v>102</v>
      </c>
      <c r="D59" s="18" t="s">
        <v>31</v>
      </c>
      <c r="E59" s="18" t="s">
        <v>21</v>
      </c>
      <c r="G59" s="31">
        <v>21.3</v>
      </c>
      <c r="H59" s="31"/>
      <c r="I59" s="31">
        <v>24.13</v>
      </c>
      <c r="J59" s="31"/>
      <c r="K59" s="31">
        <v>28.97</v>
      </c>
      <c r="L59" s="31"/>
      <c r="M59" s="31">
        <f t="shared" si="0"/>
        <v>24.8</v>
      </c>
    </row>
    <row r="60" spans="2:13" ht="12.75">
      <c r="B60" s="18" t="s">
        <v>173</v>
      </c>
      <c r="C60" s="23" t="s">
        <v>102</v>
      </c>
      <c r="D60" s="18" t="s">
        <v>31</v>
      </c>
      <c r="E60" s="18" t="s">
        <v>21</v>
      </c>
      <c r="G60" s="31">
        <v>40.47</v>
      </c>
      <c r="H60" s="31"/>
      <c r="I60" s="31">
        <v>14.8</v>
      </c>
      <c r="J60" s="31"/>
      <c r="K60" s="31">
        <v>7.34</v>
      </c>
      <c r="L60" s="31"/>
      <c r="M60" s="31">
        <f t="shared" si="0"/>
        <v>20.87</v>
      </c>
    </row>
    <row r="61" spans="2:13" ht="12.75">
      <c r="B61" s="18" t="s">
        <v>227</v>
      </c>
      <c r="C61" s="23" t="s">
        <v>102</v>
      </c>
      <c r="D61" s="18" t="s">
        <v>31</v>
      </c>
      <c r="E61" s="18" t="s">
        <v>21</v>
      </c>
      <c r="G61" s="31">
        <v>15.79</v>
      </c>
      <c r="H61" s="31"/>
      <c r="I61" s="31">
        <v>20.9</v>
      </c>
      <c r="J61" s="31"/>
      <c r="K61" s="31">
        <v>21.8</v>
      </c>
      <c r="L61" s="31"/>
      <c r="M61" s="31">
        <f t="shared" si="0"/>
        <v>19.496666666666666</v>
      </c>
    </row>
    <row r="62" spans="2:13" ht="12.75">
      <c r="B62" s="18" t="s">
        <v>10</v>
      </c>
      <c r="C62" s="23" t="s">
        <v>102</v>
      </c>
      <c r="D62" s="18" t="s">
        <v>31</v>
      </c>
      <c r="E62" s="18" t="s">
        <v>21</v>
      </c>
      <c r="G62" s="31">
        <v>102.56</v>
      </c>
      <c r="H62" s="31"/>
      <c r="I62" s="31">
        <v>128.12</v>
      </c>
      <c r="J62" s="31"/>
      <c r="K62" s="31">
        <v>117.98</v>
      </c>
      <c r="L62" s="31"/>
      <c r="M62" s="31">
        <f t="shared" si="0"/>
        <v>116.22000000000001</v>
      </c>
    </row>
    <row r="63" spans="2:13" ht="12.75">
      <c r="B63" s="18" t="s">
        <v>11</v>
      </c>
      <c r="C63" s="23" t="s">
        <v>102</v>
      </c>
      <c r="D63" s="18" t="s">
        <v>31</v>
      </c>
      <c r="E63" s="18" t="s">
        <v>21</v>
      </c>
      <c r="F63" s="18" t="s">
        <v>25</v>
      </c>
      <c r="G63" s="31">
        <v>3.67</v>
      </c>
      <c r="H63" s="31"/>
      <c r="I63" s="31">
        <v>4.05</v>
      </c>
      <c r="J63" s="31"/>
      <c r="K63" s="31">
        <v>3.84</v>
      </c>
      <c r="L63" s="62">
        <f>G63/M63/3*100</f>
        <v>31.74740484429066</v>
      </c>
      <c r="M63" s="31">
        <f t="shared" si="0"/>
        <v>3.853333333333333</v>
      </c>
    </row>
    <row r="64" spans="2:13" ht="12.75">
      <c r="B64" s="18" t="s">
        <v>12</v>
      </c>
      <c r="C64" s="23" t="s">
        <v>102</v>
      </c>
      <c r="D64" s="18" t="s">
        <v>31</v>
      </c>
      <c r="E64" s="18" t="s">
        <v>21</v>
      </c>
      <c r="G64" s="31">
        <v>27.8</v>
      </c>
      <c r="H64" s="31"/>
      <c r="I64" s="31">
        <v>32.7</v>
      </c>
      <c r="J64" s="31"/>
      <c r="K64" s="31">
        <v>35.54</v>
      </c>
      <c r="L64" s="31"/>
      <c r="M64" s="31">
        <f t="shared" si="0"/>
        <v>32.01333333333333</v>
      </c>
    </row>
    <row r="65" spans="2:13" ht="12.75">
      <c r="B65" s="18" t="s">
        <v>13</v>
      </c>
      <c r="C65" s="23" t="s">
        <v>102</v>
      </c>
      <c r="D65" s="18" t="s">
        <v>31</v>
      </c>
      <c r="E65" s="18" t="s">
        <v>21</v>
      </c>
      <c r="G65" s="31">
        <v>1.48</v>
      </c>
      <c r="H65" s="31"/>
      <c r="I65" s="31">
        <v>1.41</v>
      </c>
      <c r="J65" s="31"/>
      <c r="K65" s="31">
        <v>1.49</v>
      </c>
      <c r="L65" s="31"/>
      <c r="M65" s="31">
        <f t="shared" si="0"/>
        <v>1.46</v>
      </c>
    </row>
    <row r="66" spans="2:13" ht="12.75">
      <c r="B66" s="18" t="s">
        <v>14</v>
      </c>
      <c r="C66" s="23" t="s">
        <v>102</v>
      </c>
      <c r="D66" s="18" t="s">
        <v>31</v>
      </c>
      <c r="E66" s="18" t="s">
        <v>21</v>
      </c>
      <c r="F66" s="18" t="s">
        <v>25</v>
      </c>
      <c r="G66" s="31">
        <v>1.29</v>
      </c>
      <c r="H66" s="31" t="s">
        <v>25</v>
      </c>
      <c r="I66" s="31">
        <v>1.34</v>
      </c>
      <c r="J66" s="31" t="s">
        <v>25</v>
      </c>
      <c r="K66" s="31">
        <v>1.35</v>
      </c>
      <c r="L66" s="62">
        <v>100</v>
      </c>
      <c r="M66" s="31">
        <f t="shared" si="0"/>
        <v>1.3266666666666667</v>
      </c>
    </row>
    <row r="67" spans="2:13" ht="12.75">
      <c r="B67" s="18" t="s">
        <v>15</v>
      </c>
      <c r="C67" s="23" t="s">
        <v>102</v>
      </c>
      <c r="D67" s="18" t="s">
        <v>31</v>
      </c>
      <c r="E67" s="18" t="s">
        <v>21</v>
      </c>
      <c r="F67" s="18" t="s">
        <v>25</v>
      </c>
      <c r="G67" s="31">
        <v>1.29</v>
      </c>
      <c r="H67" s="31" t="s">
        <v>25</v>
      </c>
      <c r="I67" s="31">
        <v>1.34</v>
      </c>
      <c r="J67" s="31" t="s">
        <v>25</v>
      </c>
      <c r="K67" s="31">
        <v>1.35</v>
      </c>
      <c r="L67" s="62">
        <v>100</v>
      </c>
      <c r="M67" s="31">
        <f t="shared" si="0"/>
        <v>1.3266666666666667</v>
      </c>
    </row>
    <row r="68" spans="2:13" ht="12.75">
      <c r="B68" s="18" t="s">
        <v>174</v>
      </c>
      <c r="C68" s="23" t="s">
        <v>102</v>
      </c>
      <c r="D68" s="18" t="s">
        <v>31</v>
      </c>
      <c r="E68" s="18" t="s">
        <v>21</v>
      </c>
      <c r="G68" s="31">
        <v>67.7</v>
      </c>
      <c r="H68" s="31"/>
      <c r="I68" s="31">
        <v>55.7</v>
      </c>
      <c r="J68" s="31"/>
      <c r="K68" s="31">
        <v>48.2</v>
      </c>
      <c r="L68" s="31"/>
      <c r="M68" s="31">
        <f t="shared" si="0"/>
        <v>57.20000000000001</v>
      </c>
    </row>
    <row r="69" spans="2:13" ht="12.75">
      <c r="B69" s="18" t="s">
        <v>228</v>
      </c>
      <c r="C69" s="23" t="s">
        <v>102</v>
      </c>
      <c r="D69" s="18" t="s">
        <v>31</v>
      </c>
      <c r="E69" s="18" t="s">
        <v>21</v>
      </c>
      <c r="G69" s="31">
        <f>10.2/108.878/0.0283</f>
        <v>3.310347620901846</v>
      </c>
      <c r="H69" s="31"/>
      <c r="I69" s="31">
        <f>17.9/103.734/0.0283</f>
        <v>6.097411012033291</v>
      </c>
      <c r="J69" s="31"/>
      <c r="K69" s="31">
        <f>25/109.514/0.0283</f>
        <v>8.066477584129974</v>
      </c>
      <c r="L69" s="31"/>
      <c r="M69" s="31">
        <f t="shared" si="0"/>
        <v>5.824745405688371</v>
      </c>
    </row>
    <row r="70" spans="2:13" ht="12.75">
      <c r="B70" s="18" t="s">
        <v>33</v>
      </c>
      <c r="C70" s="23" t="s">
        <v>102</v>
      </c>
      <c r="D70" s="18" t="s">
        <v>31</v>
      </c>
      <c r="E70" s="18" t="s">
        <v>21</v>
      </c>
      <c r="G70" s="31">
        <f>G58+G62</f>
        <v>115</v>
      </c>
      <c r="H70" s="31"/>
      <c r="I70" s="31">
        <f>I58+I62</f>
        <v>142.42000000000002</v>
      </c>
      <c r="J70" s="31"/>
      <c r="K70" s="31">
        <f>K58+K62</f>
        <v>133.25</v>
      </c>
      <c r="L70" s="31"/>
      <c r="M70" s="31">
        <f>AVERAGE(G70,I70,K70)</f>
        <v>130.22333333333333</v>
      </c>
    </row>
    <row r="71" spans="2:13" ht="12.75">
      <c r="B71" s="18" t="s">
        <v>34</v>
      </c>
      <c r="C71" s="23" t="s">
        <v>102</v>
      </c>
      <c r="D71" s="18" t="s">
        <v>31</v>
      </c>
      <c r="E71" s="18" t="s">
        <v>21</v>
      </c>
      <c r="G71" s="31">
        <f>G55+G57+G59</f>
        <v>41.93</v>
      </c>
      <c r="H71" s="31"/>
      <c r="I71" s="31">
        <f>I55+I57+I59</f>
        <v>48.2</v>
      </c>
      <c r="J71" s="31"/>
      <c r="K71" s="31">
        <f>K55+K57+K59</f>
        <v>54.76</v>
      </c>
      <c r="L71" s="31"/>
      <c r="M71" s="31">
        <f>AVERAGE(G71,I71,K71)</f>
        <v>48.29666666666666</v>
      </c>
    </row>
    <row r="73" spans="2:13" ht="12.75">
      <c r="B73" s="18" t="s">
        <v>39</v>
      </c>
      <c r="C73" s="18" t="s">
        <v>236</v>
      </c>
      <c r="D73" s="18" t="s">
        <v>102</v>
      </c>
      <c r="F73"/>
      <c r="G73"/>
      <c r="H73"/>
      <c r="I73"/>
      <c r="J73"/>
      <c r="K73"/>
      <c r="L73"/>
      <c r="M73"/>
    </row>
    <row r="74" spans="2:13" ht="12.75">
      <c r="B74" s="18" t="s">
        <v>104</v>
      </c>
      <c r="C74" s="18"/>
      <c r="D74" s="18" t="s">
        <v>105</v>
      </c>
      <c r="F74"/>
      <c r="G74">
        <v>15100</v>
      </c>
      <c r="H74"/>
      <c r="I74">
        <v>15600</v>
      </c>
      <c r="J74"/>
      <c r="K74">
        <v>15800</v>
      </c>
      <c r="L74"/>
      <c r="M74" s="32">
        <f>AVERAGE(G74,I74,K74)</f>
        <v>15500</v>
      </c>
    </row>
    <row r="75" spans="2:13" ht="12.75">
      <c r="B75" s="18" t="s">
        <v>106</v>
      </c>
      <c r="C75" s="18"/>
      <c r="D75" s="18" t="s">
        <v>57</v>
      </c>
      <c r="F75"/>
      <c r="G75">
        <v>6.7</v>
      </c>
      <c r="H75"/>
      <c r="I75">
        <v>7.1</v>
      </c>
      <c r="J75"/>
      <c r="K75">
        <v>7.4</v>
      </c>
      <c r="L75"/>
      <c r="M75" s="32">
        <f>AVERAGE(G75,I75,K75)</f>
        <v>7.066666666666667</v>
      </c>
    </row>
    <row r="76" spans="2:13" ht="12.75">
      <c r="B76" s="18" t="s">
        <v>107</v>
      </c>
      <c r="C76" s="18"/>
      <c r="D76" s="18" t="s">
        <v>57</v>
      </c>
      <c r="F76"/>
      <c r="G76">
        <v>41.7</v>
      </c>
      <c r="H76"/>
      <c r="I76">
        <v>42.2</v>
      </c>
      <c r="J76"/>
      <c r="K76">
        <v>41.6</v>
      </c>
      <c r="L76"/>
      <c r="M76" s="32">
        <f>AVERAGE(G76,I76,K76)</f>
        <v>41.833333333333336</v>
      </c>
    </row>
    <row r="77" spans="2:13" ht="12.75">
      <c r="B77" s="18" t="s">
        <v>108</v>
      </c>
      <c r="C77" s="18"/>
      <c r="D77" s="18" t="s">
        <v>109</v>
      </c>
      <c r="F77"/>
      <c r="G77"/>
      <c r="H77"/>
      <c r="I77"/>
      <c r="J77"/>
      <c r="K77"/>
      <c r="L77"/>
      <c r="M77" s="32"/>
    </row>
    <row r="79" spans="1:13" ht="12.75">
      <c r="A79" s="23">
        <v>10</v>
      </c>
      <c r="B79" s="29" t="s">
        <v>161</v>
      </c>
      <c r="C79" s="29"/>
      <c r="G79" s="27" t="s">
        <v>1</v>
      </c>
      <c r="H79" s="27"/>
      <c r="I79" s="28" t="s">
        <v>3</v>
      </c>
      <c r="J79" s="27"/>
      <c r="K79" s="27" t="s">
        <v>16</v>
      </c>
      <c r="L79" s="27"/>
      <c r="M79" s="23" t="s">
        <v>32</v>
      </c>
    </row>
    <row r="80" spans="2:12" ht="12.75">
      <c r="B80" s="18"/>
      <c r="C80" s="18"/>
      <c r="D80" s="21"/>
      <c r="E80" s="21"/>
      <c r="F80" s="21"/>
      <c r="G80" s="21"/>
      <c r="H80" s="21"/>
      <c r="I80" s="30"/>
      <c r="J80" s="21"/>
      <c r="K80" s="21"/>
      <c r="L80" s="21"/>
    </row>
    <row r="81" spans="2:13" ht="12.75">
      <c r="B81" s="18" t="s">
        <v>20</v>
      </c>
      <c r="C81" s="18" t="s">
        <v>102</v>
      </c>
      <c r="D81" s="21" t="s">
        <v>29</v>
      </c>
      <c r="E81" s="21" t="s">
        <v>21</v>
      </c>
      <c r="F81" s="21"/>
      <c r="G81">
        <v>0.0045</v>
      </c>
      <c r="H81"/>
      <c r="I81">
        <v>0.0045</v>
      </c>
      <c r="J81"/>
      <c r="K81">
        <v>0.0054</v>
      </c>
      <c r="L81" s="21"/>
      <c r="M81" s="56">
        <f>AVERAGE(I81,G81,K81)</f>
        <v>0.0048</v>
      </c>
    </row>
    <row r="82" spans="2:13" ht="12.75">
      <c r="B82" s="18" t="s">
        <v>221</v>
      </c>
      <c r="C82" s="18" t="s">
        <v>102</v>
      </c>
      <c r="D82" s="21" t="s">
        <v>30</v>
      </c>
      <c r="E82" s="21" t="s">
        <v>21</v>
      </c>
      <c r="F82" s="21"/>
      <c r="G82">
        <v>2</v>
      </c>
      <c r="H82"/>
      <c r="I82">
        <v>1.2</v>
      </c>
      <c r="J82"/>
      <c r="K82">
        <v>0.7</v>
      </c>
      <c r="L82" s="21"/>
      <c r="M82" s="31">
        <f>AVERAGE(I82,G82,K82)</f>
        <v>1.3</v>
      </c>
    </row>
    <row r="83" spans="2:13" ht="12.75">
      <c r="B83" s="18" t="s">
        <v>222</v>
      </c>
      <c r="C83" s="18" t="s">
        <v>102</v>
      </c>
      <c r="D83" s="21" t="s">
        <v>30</v>
      </c>
      <c r="E83" s="21" t="s">
        <v>21</v>
      </c>
      <c r="F83" s="21"/>
      <c r="G83">
        <v>0</v>
      </c>
      <c r="H83"/>
      <c r="I83">
        <v>0</v>
      </c>
      <c r="J83"/>
      <c r="K83">
        <v>0</v>
      </c>
      <c r="L83" s="21"/>
      <c r="M83" s="31">
        <f>AVERAGE(I83,G83,K83)</f>
        <v>0</v>
      </c>
    </row>
    <row r="84" spans="2:13" ht="12.75">
      <c r="B84" s="18" t="s">
        <v>23</v>
      </c>
      <c r="C84" s="18"/>
      <c r="D84" s="21" t="s">
        <v>35</v>
      </c>
      <c r="E84" s="21"/>
      <c r="F84"/>
      <c r="G84">
        <v>0.379</v>
      </c>
      <c r="H84"/>
      <c r="I84">
        <v>0.386</v>
      </c>
      <c r="J84"/>
      <c r="K84">
        <v>0.381</v>
      </c>
      <c r="L84"/>
      <c r="M84" s="31"/>
    </row>
    <row r="85" spans="2:13" ht="12.75">
      <c r="B85" s="18" t="s">
        <v>24</v>
      </c>
      <c r="C85" s="18"/>
      <c r="D85" s="21" t="s">
        <v>35</v>
      </c>
      <c r="E85" s="21"/>
      <c r="F85"/>
      <c r="G85">
        <v>0.112</v>
      </c>
      <c r="H85"/>
      <c r="I85">
        <v>0.094</v>
      </c>
      <c r="J85"/>
      <c r="K85">
        <v>0.017</v>
      </c>
      <c r="L85"/>
      <c r="M85" s="31"/>
    </row>
    <row r="86" spans="2:13" ht="12.75">
      <c r="B86" s="18" t="s">
        <v>23</v>
      </c>
      <c r="C86" s="18" t="s">
        <v>102</v>
      </c>
      <c r="D86" s="21" t="s">
        <v>30</v>
      </c>
      <c r="E86" s="21" t="s">
        <v>21</v>
      </c>
      <c r="F86"/>
      <c r="G86" s="32">
        <f>G84*454/G91/0.0283/60*14/(21-G92)/1518*1000000</f>
        <v>4.724603834433983</v>
      </c>
      <c r="H86"/>
      <c r="I86" s="32">
        <f>I84*454/I91/0.0283/60*14/(21-I92)/1518*1000000</f>
        <v>4.687688468700641</v>
      </c>
      <c r="J86"/>
      <c r="K86" s="32">
        <f>K84*454/K91/0.0283/60*14/(21-K92)/1518*1000000</f>
        <v>4.737321867678686</v>
      </c>
      <c r="L86"/>
      <c r="M86" s="32">
        <f>AVERAGE(G86,I86,K86)</f>
        <v>4.71653805693777</v>
      </c>
    </row>
    <row r="87" spans="2:13" ht="12.75">
      <c r="B87" s="18" t="s">
        <v>24</v>
      </c>
      <c r="C87" s="18" t="s">
        <v>102</v>
      </c>
      <c r="D87" s="21" t="s">
        <v>30</v>
      </c>
      <c r="E87" s="21" t="s">
        <v>21</v>
      </c>
      <c r="F87"/>
      <c r="G87" s="32">
        <f>G85*454/G91/0.0283/60*14/(21-G92)/3000*1000000</f>
        <v>0.7064716319394266</v>
      </c>
      <c r="H87"/>
      <c r="I87" s="32">
        <f>I85*454/I91/0.0283/60*14/(21-I92)/3000*1000000</f>
        <v>0.5776300889255888</v>
      </c>
      <c r="J87"/>
      <c r="K87" s="32">
        <f>K85*454/K91/0.0283/60*14/(21-K92)/3000*1000000</f>
        <v>0.10695654253483483</v>
      </c>
      <c r="L87"/>
      <c r="M87" s="32">
        <f>AVERAGE(G87,I87,K87)</f>
        <v>0.4636860877999501</v>
      </c>
    </row>
    <row r="88" spans="2:13" ht="12.75">
      <c r="B88" s="18" t="s">
        <v>101</v>
      </c>
      <c r="C88" s="18" t="s">
        <v>102</v>
      </c>
      <c r="D88" s="21" t="s">
        <v>30</v>
      </c>
      <c r="E88" s="21" t="s">
        <v>21</v>
      </c>
      <c r="F88"/>
      <c r="G88" s="32">
        <f>G86+2*G87</f>
        <v>6.137547098312837</v>
      </c>
      <c r="H88"/>
      <c r="I88" s="32">
        <f>I86+2*I87</f>
        <v>5.842948646551818</v>
      </c>
      <c r="J88"/>
      <c r="K88" s="32">
        <f>K86+2*K87</f>
        <v>4.951234952748355</v>
      </c>
      <c r="L88"/>
      <c r="M88" s="32">
        <f>AVERAGE(G88,I88,K88)</f>
        <v>5.64391023253767</v>
      </c>
    </row>
    <row r="89" spans="2:13" ht="12.75">
      <c r="B89" s="18"/>
      <c r="C89" s="18"/>
      <c r="F89"/>
      <c r="G89"/>
      <c r="H89"/>
      <c r="I89"/>
      <c r="J89"/>
      <c r="K89"/>
      <c r="L89"/>
      <c r="M89"/>
    </row>
    <row r="90" spans="2:13" ht="12.75">
      <c r="B90" s="18" t="s">
        <v>39</v>
      </c>
      <c r="C90" s="18" t="s">
        <v>226</v>
      </c>
      <c r="D90" s="18" t="s">
        <v>102</v>
      </c>
      <c r="F90"/>
      <c r="G90"/>
      <c r="H90"/>
      <c r="I90"/>
      <c r="J90"/>
      <c r="K90"/>
      <c r="L90"/>
      <c r="M90"/>
    </row>
    <row r="91" spans="2:13" ht="12.75">
      <c r="B91" s="18" t="s">
        <v>104</v>
      </c>
      <c r="C91" s="18"/>
      <c r="D91" s="18" t="s">
        <v>105</v>
      </c>
      <c r="F91"/>
      <c r="G91">
        <v>15100</v>
      </c>
      <c r="H91"/>
      <c r="I91">
        <v>15500</v>
      </c>
      <c r="J91"/>
      <c r="K91">
        <v>14800</v>
      </c>
      <c r="L91"/>
      <c r="M91" s="32">
        <f>AVERAGE(G91,I91,K91)</f>
        <v>15133.333333333334</v>
      </c>
    </row>
    <row r="92" spans="2:13" ht="12.75">
      <c r="B92" s="18" t="s">
        <v>106</v>
      </c>
      <c r="C92" s="18"/>
      <c r="D92" s="18" t="s">
        <v>57</v>
      </c>
      <c r="F92"/>
      <c r="G92">
        <v>7.9</v>
      </c>
      <c r="H92"/>
      <c r="I92">
        <v>7.9</v>
      </c>
      <c r="J92"/>
      <c r="K92">
        <v>7.6</v>
      </c>
      <c r="L92"/>
      <c r="M92" s="32">
        <f>AVERAGE(G92,I92,K92)</f>
        <v>7.8</v>
      </c>
    </row>
    <row r="93" spans="2:13" ht="12.75">
      <c r="B93" s="18" t="s">
        <v>107</v>
      </c>
      <c r="C93" s="18"/>
      <c r="D93" s="18" t="s">
        <v>57</v>
      </c>
      <c r="F93"/>
      <c r="G93">
        <v>38.5</v>
      </c>
      <c r="H93"/>
      <c r="I93">
        <v>38.6</v>
      </c>
      <c r="J93"/>
      <c r="K93">
        <v>40.4</v>
      </c>
      <c r="L93"/>
      <c r="M93" s="32">
        <f>AVERAGE(G93,I93,K93)</f>
        <v>39.166666666666664</v>
      </c>
    </row>
    <row r="94" spans="2:13" ht="12.75">
      <c r="B94" s="18" t="s">
        <v>108</v>
      </c>
      <c r="C94" s="18"/>
      <c r="D94" s="18" t="s">
        <v>109</v>
      </c>
      <c r="F94"/>
      <c r="G94"/>
      <c r="H94"/>
      <c r="I94"/>
      <c r="J94"/>
      <c r="K94"/>
      <c r="L94"/>
      <c r="M94" s="32"/>
    </row>
    <row r="95" spans="2:12" ht="12.75">
      <c r="B95" s="21"/>
      <c r="C95" s="21"/>
      <c r="G95" s="27"/>
      <c r="H95" s="27"/>
      <c r="I95" s="28"/>
      <c r="J95" s="27"/>
      <c r="K95" s="27"/>
      <c r="L95" s="27"/>
    </row>
    <row r="96" ht="12.75"/>
    <row r="97" ht="12.75"/>
    <row r="98" spans="2:12" ht="12.75">
      <c r="B98" s="18"/>
      <c r="C98" s="18"/>
      <c r="G98" s="33"/>
      <c r="H98" s="33"/>
      <c r="I98" s="34"/>
      <c r="J98" s="33"/>
      <c r="K98" s="33"/>
      <c r="L98" s="33"/>
    </row>
    <row r="99" spans="2:12" ht="12.75">
      <c r="B99" s="18"/>
      <c r="C99" s="18"/>
      <c r="G99" s="33"/>
      <c r="H99" s="33"/>
      <c r="I99" s="34"/>
      <c r="J99" s="33"/>
      <c r="K99" s="33"/>
      <c r="L99" s="33"/>
    </row>
    <row r="100" spans="2:3" ht="12.75">
      <c r="B100" s="18"/>
      <c r="C100" s="18"/>
    </row>
    <row r="101" spans="2:12" ht="12.75">
      <c r="B101" s="29"/>
      <c r="C101" s="29"/>
      <c r="G101" s="27"/>
      <c r="H101" s="27"/>
      <c r="I101" s="28"/>
      <c r="J101" s="27"/>
      <c r="K101" s="27"/>
      <c r="L101" s="27"/>
    </row>
    <row r="102" spans="2:12" ht="12.75">
      <c r="B102" s="18"/>
      <c r="C102" s="18"/>
      <c r="D102" s="21"/>
      <c r="E102" s="21"/>
      <c r="F102" s="21"/>
      <c r="G102" s="21"/>
      <c r="H102" s="21"/>
      <c r="I102" s="30"/>
      <c r="J102" s="21"/>
      <c r="K102" s="21"/>
      <c r="L102" s="21"/>
    </row>
    <row r="103" spans="2:12" ht="12.75">
      <c r="B103" s="18"/>
      <c r="C103" s="18"/>
      <c r="G103" s="33"/>
      <c r="H103" s="33"/>
      <c r="I103" s="34"/>
      <c r="J103" s="33"/>
      <c r="K103" s="33"/>
      <c r="L103" s="33"/>
    </row>
    <row r="104" spans="2:12" ht="12.75">
      <c r="B104" s="18"/>
      <c r="C104" s="18"/>
      <c r="G104" s="33"/>
      <c r="H104" s="33"/>
      <c r="I104" s="34"/>
      <c r="J104" s="33"/>
      <c r="K104" s="33"/>
      <c r="L104" s="33"/>
    </row>
    <row r="105" spans="2:12" ht="12.75">
      <c r="B105" s="18"/>
      <c r="C105" s="18"/>
      <c r="G105" s="33"/>
      <c r="H105" s="33"/>
      <c r="I105" s="34"/>
      <c r="J105" s="33"/>
      <c r="K105" s="33"/>
      <c r="L105" s="33"/>
    </row>
    <row r="106" spans="2:12" ht="12.75">
      <c r="B106" s="18"/>
      <c r="C106" s="18"/>
      <c r="G106" s="33"/>
      <c r="H106" s="33"/>
      <c r="I106" s="34"/>
      <c r="J106" s="33"/>
      <c r="K106" s="33"/>
      <c r="L106" s="33"/>
    </row>
    <row r="107" spans="2:12" ht="12.75">
      <c r="B107" s="18"/>
      <c r="C107" s="18"/>
      <c r="G107" s="33"/>
      <c r="H107" s="33"/>
      <c r="I107" s="34"/>
      <c r="J107" s="33"/>
      <c r="K107" s="33"/>
      <c r="L107" s="33"/>
    </row>
    <row r="108" spans="2:12" ht="12.75">
      <c r="B108" s="18"/>
      <c r="C108" s="18"/>
      <c r="G108" s="33"/>
      <c r="H108" s="33"/>
      <c r="I108" s="34"/>
      <c r="J108" s="33"/>
      <c r="K108" s="33"/>
      <c r="L108" s="33"/>
    </row>
    <row r="109" spans="2:12" ht="12.75">
      <c r="B109" s="18"/>
      <c r="C109" s="18"/>
      <c r="G109" s="33"/>
      <c r="H109" s="33"/>
      <c r="I109" s="34"/>
      <c r="J109" s="33"/>
      <c r="K109" s="33"/>
      <c r="L109" s="33"/>
    </row>
    <row r="110" spans="2:12" ht="12.75">
      <c r="B110" s="18"/>
      <c r="C110" s="18"/>
      <c r="G110" s="33"/>
      <c r="H110" s="33"/>
      <c r="I110" s="34"/>
      <c r="J110" s="33"/>
      <c r="K110" s="33"/>
      <c r="L110" s="33"/>
    </row>
    <row r="111" spans="2:12" ht="12.75">
      <c r="B111" s="18"/>
      <c r="C111" s="18"/>
      <c r="G111" s="33"/>
      <c r="H111" s="33"/>
      <c r="I111" s="34"/>
      <c r="J111" s="37"/>
      <c r="K111" s="33"/>
      <c r="L111" s="33"/>
    </row>
    <row r="112" spans="2:12" ht="12.75">
      <c r="B112" s="18"/>
      <c r="C112" s="18"/>
      <c r="G112" s="33"/>
      <c r="H112" s="33"/>
      <c r="I112" s="34"/>
      <c r="J112" s="33"/>
      <c r="K112" s="33"/>
      <c r="L112" s="33"/>
    </row>
    <row r="113" spans="2:12" ht="12.75">
      <c r="B113" s="18"/>
      <c r="C113" s="18"/>
      <c r="G113" s="33"/>
      <c r="H113" s="33"/>
      <c r="I113" s="34"/>
      <c r="J113" s="33"/>
      <c r="K113" s="33"/>
      <c r="L113" s="33"/>
    </row>
    <row r="114" spans="2:12" ht="12.75">
      <c r="B114" s="18"/>
      <c r="C114" s="18"/>
      <c r="G114" s="33"/>
      <c r="H114" s="33"/>
      <c r="I114" s="34"/>
      <c r="J114" s="33"/>
      <c r="K114" s="33"/>
      <c r="L114" s="33"/>
    </row>
    <row r="115" spans="2:3" ht="12.75">
      <c r="B115" s="18"/>
      <c r="C115" s="18"/>
    </row>
    <row r="116" spans="2:12" ht="12.75">
      <c r="B116" s="18"/>
      <c r="C116" s="18"/>
      <c r="G116" s="33"/>
      <c r="H116" s="33"/>
      <c r="I116" s="34"/>
      <c r="J116" s="33"/>
      <c r="K116" s="33"/>
      <c r="L116" s="33"/>
    </row>
    <row r="117" spans="2:12" ht="12.75">
      <c r="B117" s="18"/>
      <c r="C117" s="18"/>
      <c r="G117" s="33"/>
      <c r="H117" s="33"/>
      <c r="I117" s="34"/>
      <c r="J117" s="37"/>
      <c r="K117" s="33"/>
      <c r="L117" s="33"/>
    </row>
    <row r="118" spans="2:12" ht="12.75">
      <c r="B118" s="18"/>
      <c r="C118" s="18"/>
      <c r="G118" s="33"/>
      <c r="H118" s="33"/>
      <c r="I118" s="34"/>
      <c r="J118" s="33"/>
      <c r="K118" s="33"/>
      <c r="L118" s="33"/>
    </row>
    <row r="119" spans="2:12" ht="12.75">
      <c r="B119" s="18"/>
      <c r="C119" s="18"/>
      <c r="G119" s="33"/>
      <c r="H119" s="33"/>
      <c r="I119" s="34"/>
      <c r="J119" s="33"/>
      <c r="K119" s="33"/>
      <c r="L119" s="33"/>
    </row>
    <row r="120" spans="2:12" ht="12.75">
      <c r="B120" s="18"/>
      <c r="C120" s="18"/>
      <c r="G120" s="33"/>
      <c r="H120" s="33"/>
      <c r="I120" s="34"/>
      <c r="J120" s="33"/>
      <c r="K120" s="33"/>
      <c r="L120" s="33"/>
    </row>
    <row r="121" spans="7:12" ht="12.75">
      <c r="G121" s="35"/>
      <c r="K121" s="35"/>
      <c r="L121" s="35"/>
    </row>
    <row r="123" spans="2:3" ht="12.75">
      <c r="B123" s="9"/>
      <c r="C123" s="9"/>
    </row>
    <row r="124" spans="2:3" ht="12.75">
      <c r="B124" s="18"/>
      <c r="C124" s="18"/>
    </row>
    <row r="125" spans="2:3" ht="12.75">
      <c r="B125" s="29"/>
      <c r="C125" s="29"/>
    </row>
    <row r="126" spans="2:3" ht="12.75">
      <c r="B126" s="18"/>
      <c r="C126" s="18"/>
    </row>
    <row r="127" spans="2:9" ht="12.75">
      <c r="B127" s="18"/>
      <c r="C127" s="18"/>
      <c r="G127" s="33"/>
      <c r="I127" s="34"/>
    </row>
    <row r="128" spans="2:9" ht="12.75">
      <c r="B128" s="18"/>
      <c r="C128" s="18"/>
      <c r="G128" s="33"/>
      <c r="I128" s="34"/>
    </row>
    <row r="129" spans="7:9" ht="12.75">
      <c r="G129" s="33"/>
      <c r="I129" s="34"/>
    </row>
    <row r="130" spans="2:12" ht="12.75">
      <c r="B130" s="18"/>
      <c r="C130" s="18"/>
      <c r="G130" s="33"/>
      <c r="H130" s="27"/>
      <c r="I130" s="34"/>
      <c r="J130" s="27"/>
      <c r="K130" s="33"/>
      <c r="L130" s="33"/>
    </row>
    <row r="131" spans="7:9" ht="12.75">
      <c r="G131" s="33"/>
      <c r="I131" s="34"/>
    </row>
    <row r="132" spans="2:9" ht="12.75">
      <c r="B132" s="18"/>
      <c r="C132" s="18"/>
      <c r="G132" s="33"/>
      <c r="I132" s="34"/>
    </row>
    <row r="133" spans="2:9" ht="12.75">
      <c r="B133" s="18"/>
      <c r="C133" s="18"/>
      <c r="G133" s="33"/>
      <c r="I133" s="34"/>
    </row>
    <row r="134" spans="2:9" ht="12.75">
      <c r="B134" s="18"/>
      <c r="C134" s="18"/>
      <c r="G134" s="33"/>
      <c r="I134" s="34"/>
    </row>
    <row r="135" spans="2:9" ht="12.75">
      <c r="B135" s="18"/>
      <c r="C135" s="18"/>
      <c r="G135" s="33"/>
      <c r="I135" s="34"/>
    </row>
    <row r="136" spans="7:9" ht="12.75">
      <c r="G136" s="33"/>
      <c r="I136" s="34"/>
    </row>
    <row r="137" spans="2:12" ht="12.75">
      <c r="B137" s="9"/>
      <c r="C137" s="9"/>
      <c r="G137" s="27"/>
      <c r="H137" s="27"/>
      <c r="I137" s="28"/>
      <c r="J137" s="27"/>
      <c r="K137" s="27"/>
      <c r="L137" s="27"/>
    </row>
    <row r="140" spans="7:12" ht="12.75">
      <c r="G140" s="35"/>
      <c r="K140" s="35"/>
      <c r="L140" s="35"/>
    </row>
    <row r="141" spans="7:12" ht="12.75">
      <c r="G141" s="35"/>
      <c r="K141" s="35"/>
      <c r="L141" s="35"/>
    </row>
    <row r="142" spans="7:12" ht="12.75">
      <c r="G142" s="35"/>
      <c r="K142" s="35"/>
      <c r="L142" s="35"/>
    </row>
    <row r="143" spans="7:12" ht="12.75">
      <c r="G143" s="35"/>
      <c r="K143" s="35"/>
      <c r="L143" s="35"/>
    </row>
    <row r="144" spans="7:12" ht="12.75">
      <c r="G144" s="35"/>
      <c r="K144" s="35"/>
      <c r="L144" s="35"/>
    </row>
    <row r="145" spans="7:12" ht="12.75">
      <c r="G145" s="35"/>
      <c r="K145" s="35"/>
      <c r="L145" s="35"/>
    </row>
    <row r="146" spans="7:12" ht="12.75">
      <c r="G146" s="35"/>
      <c r="K146" s="35"/>
      <c r="L146" s="35"/>
    </row>
    <row r="147" spans="7:12" ht="12.75">
      <c r="G147" s="35"/>
      <c r="K147" s="35"/>
      <c r="L147" s="35"/>
    </row>
    <row r="148" spans="7:12" ht="12.75">
      <c r="G148" s="35"/>
      <c r="K148" s="35"/>
      <c r="L148" s="35"/>
    </row>
    <row r="149" spans="7:12" ht="12.75">
      <c r="G149" s="35"/>
      <c r="K149" s="35"/>
      <c r="L149" s="35"/>
    </row>
    <row r="150" spans="7:12" ht="12.75">
      <c r="G150" s="35"/>
      <c r="K150" s="35"/>
      <c r="L150" s="35"/>
    </row>
    <row r="151" spans="7:12" ht="12.75">
      <c r="G151" s="35"/>
      <c r="K151" s="35"/>
      <c r="L151" s="35"/>
    </row>
    <row r="153" spans="7:12" ht="12.75">
      <c r="G153" s="35"/>
      <c r="K153" s="35"/>
      <c r="L153" s="35"/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57"/>
  <sheetViews>
    <sheetView tabSelected="1" workbookViewId="0" topLeftCell="B3">
      <selection activeCell="Z11" sqref="Z11"/>
    </sheetView>
  </sheetViews>
  <sheetFormatPr defaultColWidth="9.140625" defaultRowHeight="12.75"/>
  <cols>
    <col min="1" max="1" width="0.9921875" style="0" hidden="1" customWidth="1"/>
    <col min="2" max="2" width="19.28125" style="0" customWidth="1"/>
    <col min="3" max="3" width="9.8515625" style="0" customWidth="1"/>
    <col min="5" max="5" width="3.140625" style="0" customWidth="1"/>
    <col min="6" max="6" width="2.28125" style="0" customWidth="1"/>
    <col min="8" max="8" width="3.00390625" style="0" bestFit="1" customWidth="1"/>
    <col min="10" max="10" width="3.00390625" style="0" bestFit="1" customWidth="1"/>
    <col min="12" max="12" width="3.00390625" style="0" bestFit="1" customWidth="1"/>
    <col min="13" max="13" width="10.00390625" style="0" customWidth="1"/>
    <col min="14" max="14" width="5.421875" style="0" customWidth="1"/>
    <col min="15" max="15" width="11.00390625" style="0" customWidth="1"/>
    <col min="16" max="16" width="2.7109375" style="0" hidden="1" customWidth="1"/>
    <col min="17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92</v>
      </c>
    </row>
    <row r="4" spans="2:15" ht="12.75">
      <c r="B4" s="7" t="s">
        <v>0</v>
      </c>
      <c r="G4" s="16" t="s">
        <v>1</v>
      </c>
      <c r="H4" s="16"/>
      <c r="I4" s="16" t="s">
        <v>3</v>
      </c>
      <c r="J4" s="16"/>
      <c r="K4" s="16" t="s">
        <v>16</v>
      </c>
      <c r="L4" s="16"/>
      <c r="M4" s="16" t="s">
        <v>17</v>
      </c>
      <c r="N4" s="16"/>
      <c r="O4" s="16" t="s">
        <v>32</v>
      </c>
    </row>
    <row r="5" ht="12.75">
      <c r="B5" s="7"/>
    </row>
    <row r="6" spans="1:24" s="1" customFormat="1" ht="12.75">
      <c r="A6" s="1" t="s">
        <v>0</v>
      </c>
      <c r="B6" s="1" t="s">
        <v>20</v>
      </c>
      <c r="C6" s="1" t="s">
        <v>102</v>
      </c>
      <c r="D6" s="1" t="s">
        <v>29</v>
      </c>
      <c r="E6" s="1" t="s">
        <v>21</v>
      </c>
      <c r="F6" s="2" t="s">
        <v>22</v>
      </c>
      <c r="G6" s="3">
        <v>0.012500124</v>
      </c>
      <c r="H6" s="3" t="s">
        <v>22</v>
      </c>
      <c r="I6" s="3">
        <v>0.011600115072</v>
      </c>
      <c r="J6" s="3" t="s">
        <v>22</v>
      </c>
      <c r="K6" s="3">
        <v>0.01100010912</v>
      </c>
      <c r="L6" s="3" t="s">
        <v>22</v>
      </c>
      <c r="M6" s="3">
        <v>0.010300102176</v>
      </c>
      <c r="N6" s="3" t="s">
        <v>22</v>
      </c>
      <c r="O6" s="3">
        <f>AVERAGE(M6,K6,I6,G6)</f>
        <v>0.011350112592</v>
      </c>
      <c r="P6" s="3" t="s">
        <v>22</v>
      </c>
      <c r="Q6" s="3"/>
      <c r="R6" s="3" t="s">
        <v>22</v>
      </c>
      <c r="S6" s="3"/>
      <c r="T6" s="3" t="s">
        <v>22</v>
      </c>
      <c r="U6" s="3"/>
      <c r="V6" s="2" t="s">
        <v>22</v>
      </c>
      <c r="W6" s="2"/>
      <c r="X6" s="1">
        <v>0.011350112592</v>
      </c>
    </row>
    <row r="7" spans="1:24" s="1" customFormat="1" ht="12.75">
      <c r="A7" s="1" t="s">
        <v>0</v>
      </c>
      <c r="B7" s="1" t="s">
        <v>110</v>
      </c>
      <c r="C7" s="1" t="s">
        <v>102</v>
      </c>
      <c r="D7" s="1" t="s">
        <v>30</v>
      </c>
      <c r="E7" s="1" t="s">
        <v>21</v>
      </c>
      <c r="F7" s="2" t="s">
        <v>22</v>
      </c>
      <c r="G7" s="4">
        <v>0</v>
      </c>
      <c r="H7" s="4" t="s">
        <v>22</v>
      </c>
      <c r="I7" s="4">
        <v>0</v>
      </c>
      <c r="J7" s="4" t="s">
        <v>22</v>
      </c>
      <c r="K7" s="4">
        <v>0.015</v>
      </c>
      <c r="L7" s="2" t="s">
        <v>22</v>
      </c>
      <c r="M7" s="2">
        <v>0</v>
      </c>
      <c r="N7" s="2" t="s">
        <v>22</v>
      </c>
      <c r="O7" s="4">
        <f>AVERAGE(G7,I7,K7,M7)</f>
        <v>0.00375</v>
      </c>
      <c r="P7" s="2" t="s">
        <v>22</v>
      </c>
      <c r="Q7" s="2"/>
      <c r="R7" s="2" t="s">
        <v>22</v>
      </c>
      <c r="S7" s="2"/>
      <c r="T7" s="2" t="s">
        <v>22</v>
      </c>
      <c r="U7" s="2"/>
      <c r="V7" s="2" t="s">
        <v>22</v>
      </c>
      <c r="W7" s="2"/>
      <c r="X7" s="1">
        <v>0.00375</v>
      </c>
    </row>
    <row r="8" spans="6:23" s="1" customFormat="1" ht="12.75">
      <c r="F8" s="2"/>
      <c r="G8" s="4"/>
      <c r="H8" s="4"/>
      <c r="I8" s="4"/>
      <c r="J8" s="4"/>
      <c r="K8" s="4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2"/>
    </row>
    <row r="9" spans="1:24" s="1" customFormat="1" ht="12.75">
      <c r="A9" s="1" t="s">
        <v>0</v>
      </c>
      <c r="B9" s="1" t="s">
        <v>23</v>
      </c>
      <c r="C9" s="1" t="s">
        <v>102</v>
      </c>
      <c r="D9" s="1" t="s">
        <v>30</v>
      </c>
      <c r="E9" s="1" t="s">
        <v>21</v>
      </c>
      <c r="F9" s="2" t="s">
        <v>22</v>
      </c>
      <c r="G9" s="4">
        <v>0.08758878822247178</v>
      </c>
      <c r="H9" s="4" t="s">
        <v>22</v>
      </c>
      <c r="I9" s="4">
        <v>0.153111381451137</v>
      </c>
      <c r="J9" s="4" t="s">
        <v>22</v>
      </c>
      <c r="K9" s="4">
        <v>0.098318989289403</v>
      </c>
      <c r="L9" s="2" t="s">
        <v>22</v>
      </c>
      <c r="M9" s="4">
        <v>0.09822435430059787</v>
      </c>
      <c r="N9" s="2" t="s">
        <v>22</v>
      </c>
      <c r="O9" s="4">
        <f>AVERAGE(G9,I9,K9,M9)</f>
        <v>0.10931087831590242</v>
      </c>
      <c r="P9" s="2" t="s">
        <v>22</v>
      </c>
      <c r="Q9" s="2"/>
      <c r="R9" s="2" t="s">
        <v>22</v>
      </c>
      <c r="S9" s="2"/>
      <c r="T9" s="2" t="s">
        <v>22</v>
      </c>
      <c r="U9" s="2"/>
      <c r="V9" s="2" t="s">
        <v>22</v>
      </c>
      <c r="W9" s="2"/>
      <c r="X9" s="1">
        <v>0.10931087831590242</v>
      </c>
    </row>
    <row r="10" spans="1:24" s="1" customFormat="1" ht="12.75">
      <c r="A10" s="1" t="s">
        <v>0</v>
      </c>
      <c r="B10" s="1" t="s">
        <v>24</v>
      </c>
      <c r="C10" s="1" t="s">
        <v>102</v>
      </c>
      <c r="D10" s="1" t="s">
        <v>30</v>
      </c>
      <c r="E10" s="1" t="s">
        <v>21</v>
      </c>
      <c r="F10" s="2" t="s">
        <v>22</v>
      </c>
      <c r="G10" s="4">
        <v>0.071419323893581</v>
      </c>
      <c r="H10" s="4" t="s">
        <v>22</v>
      </c>
      <c r="I10" s="4">
        <v>0.04265573952042869</v>
      </c>
      <c r="J10" s="4" t="s">
        <v>22</v>
      </c>
      <c r="K10" s="4">
        <v>0.024082231557129</v>
      </c>
      <c r="L10" s="2" t="s">
        <v>22</v>
      </c>
      <c r="M10" s="4">
        <v>0.014189399839691681</v>
      </c>
      <c r="N10" s="2" t="s">
        <v>22</v>
      </c>
      <c r="O10" s="4">
        <f>AVERAGE(G10,I10,K10,M10)</f>
        <v>0.03808667370270759</v>
      </c>
      <c r="P10" s="2" t="s">
        <v>22</v>
      </c>
      <c r="Q10" s="2"/>
      <c r="R10" s="2" t="s">
        <v>22</v>
      </c>
      <c r="S10" s="2"/>
      <c r="T10" s="2" t="s">
        <v>22</v>
      </c>
      <c r="U10" s="2"/>
      <c r="V10" s="2" t="s">
        <v>22</v>
      </c>
      <c r="W10" s="2"/>
      <c r="X10" s="1">
        <v>0.03808667370270759</v>
      </c>
    </row>
    <row r="11" spans="2:23" s="1" customFormat="1" ht="12.75">
      <c r="B11" s="1" t="s">
        <v>101</v>
      </c>
      <c r="C11" s="1" t="s">
        <v>102</v>
      </c>
      <c r="D11" s="1" t="s">
        <v>30</v>
      </c>
      <c r="E11" s="1" t="s">
        <v>21</v>
      </c>
      <c r="F11" s="2"/>
      <c r="G11" s="4">
        <f>G9+2*G10</f>
        <v>0.23042743600963378</v>
      </c>
      <c r="H11" s="4"/>
      <c r="I11" s="4">
        <f>I9+2*I10</f>
        <v>0.2384228604919944</v>
      </c>
      <c r="J11" s="4"/>
      <c r="K11" s="4">
        <f>K9+2*K10</f>
        <v>0.146483452403661</v>
      </c>
      <c r="L11" s="2"/>
      <c r="M11" s="4">
        <f>M9+2*M10</f>
        <v>0.12660315397998123</v>
      </c>
      <c r="N11" s="2"/>
      <c r="O11" s="4">
        <f>AVERAGE(G11,I11,K11,M11)</f>
        <v>0.18548422572131762</v>
      </c>
      <c r="P11" s="2"/>
      <c r="Q11" s="2"/>
      <c r="R11" s="2"/>
      <c r="S11" s="2"/>
      <c r="T11" s="2"/>
      <c r="U11" s="2"/>
      <c r="V11" s="2"/>
      <c r="W11" s="2"/>
    </row>
    <row r="12" spans="6:23" s="1" customFormat="1" ht="12.75">
      <c r="F12" s="2"/>
      <c r="G12" s="4"/>
      <c r="H12" s="4"/>
      <c r="I12" s="4"/>
      <c r="J12" s="4"/>
      <c r="K12" s="4"/>
      <c r="L12" s="2"/>
      <c r="M12" s="4"/>
      <c r="N12" s="2"/>
      <c r="O12" s="4"/>
      <c r="P12" s="2"/>
      <c r="Q12" s="2"/>
      <c r="R12" s="2"/>
      <c r="S12" s="2"/>
      <c r="T12" s="2"/>
      <c r="U12" s="2"/>
      <c r="V12" s="2"/>
      <c r="W12" s="2"/>
    </row>
    <row r="13" spans="1:24" s="1" customFormat="1" ht="12.75">
      <c r="A13" s="1" t="s">
        <v>0</v>
      </c>
      <c r="B13" s="1" t="s">
        <v>4</v>
      </c>
      <c r="C13" s="1" t="s">
        <v>103</v>
      </c>
      <c r="D13" s="1" t="s">
        <v>31</v>
      </c>
      <c r="E13" s="1" t="s">
        <v>21</v>
      </c>
      <c r="F13" s="2" t="s">
        <v>22</v>
      </c>
      <c r="G13" s="4"/>
      <c r="H13" s="4" t="s">
        <v>25</v>
      </c>
      <c r="I13" s="4">
        <v>2.549444444444444</v>
      </c>
      <c r="J13" s="4" t="s">
        <v>25</v>
      </c>
      <c r="K13" s="4">
        <v>2.452421052631579</v>
      </c>
      <c r="L13" s="2" t="s">
        <v>25</v>
      </c>
      <c r="M13" s="4">
        <v>2.5243309352518</v>
      </c>
      <c r="N13" s="11">
        <v>100</v>
      </c>
      <c r="O13" s="4">
        <f aca="true" t="shared" si="0" ref="O13:O19">AVERAGE(G13,I13,K13,M13)</f>
        <v>2.5087321441092745</v>
      </c>
      <c r="P13" s="2" t="s">
        <v>22</v>
      </c>
      <c r="Q13" s="2"/>
      <c r="R13" s="2" t="s">
        <v>22</v>
      </c>
      <c r="S13" s="2"/>
      <c r="T13" s="2" t="s">
        <v>22</v>
      </c>
      <c r="U13" s="2"/>
      <c r="V13" s="2" t="s">
        <v>22</v>
      </c>
      <c r="W13" s="2"/>
      <c r="X13" s="1">
        <v>2.5087321441092745</v>
      </c>
    </row>
    <row r="14" spans="1:24" s="1" customFormat="1" ht="12.75">
      <c r="A14" s="1" t="s">
        <v>0</v>
      </c>
      <c r="B14" s="1" t="s">
        <v>5</v>
      </c>
      <c r="C14" s="1" t="s">
        <v>103</v>
      </c>
      <c r="D14" s="1" t="s">
        <v>31</v>
      </c>
      <c r="E14" s="1" t="s">
        <v>21</v>
      </c>
      <c r="F14" s="2" t="s">
        <v>22</v>
      </c>
      <c r="G14" s="4"/>
      <c r="H14" s="4" t="s">
        <v>22</v>
      </c>
      <c r="I14" s="4">
        <v>38.94766666666666</v>
      </c>
      <c r="J14" s="4" t="s">
        <v>22</v>
      </c>
      <c r="K14" s="4">
        <v>35.41147368421052</v>
      </c>
      <c r="L14" s="2" t="s">
        <v>22</v>
      </c>
      <c r="M14" s="4">
        <v>26.843237410072</v>
      </c>
      <c r="N14" s="2" t="s">
        <v>22</v>
      </c>
      <c r="O14" s="4">
        <f t="shared" si="0"/>
        <v>33.734125920316394</v>
      </c>
      <c r="P14" s="2" t="s">
        <v>22</v>
      </c>
      <c r="Q14" s="2"/>
      <c r="R14" s="2" t="s">
        <v>22</v>
      </c>
      <c r="S14" s="2"/>
      <c r="T14" s="2" t="s">
        <v>22</v>
      </c>
      <c r="U14" s="2"/>
      <c r="V14" s="2" t="s">
        <v>22</v>
      </c>
      <c r="W14" s="2"/>
      <c r="X14" s="1">
        <v>33.734125920316394</v>
      </c>
    </row>
    <row r="15" spans="1:24" s="1" customFormat="1" ht="12.75">
      <c r="A15" s="1" t="s">
        <v>0</v>
      </c>
      <c r="B15" s="1" t="s">
        <v>6</v>
      </c>
      <c r="C15" s="1" t="s">
        <v>103</v>
      </c>
      <c r="D15" s="1" t="s">
        <v>31</v>
      </c>
      <c r="E15" s="1" t="s">
        <v>21</v>
      </c>
      <c r="F15" s="2" t="s">
        <v>22</v>
      </c>
      <c r="G15" s="4"/>
      <c r="H15" s="4" t="s">
        <v>22</v>
      </c>
      <c r="I15" s="4">
        <v>3.6868888888888884</v>
      </c>
      <c r="J15" s="4" t="s">
        <v>22</v>
      </c>
      <c r="K15" s="4">
        <v>3.678631578947368</v>
      </c>
      <c r="L15" s="2" t="s">
        <v>22</v>
      </c>
      <c r="M15" s="4">
        <v>3.555395683453237</v>
      </c>
      <c r="N15" s="2" t="s">
        <v>22</v>
      </c>
      <c r="O15" s="4">
        <f t="shared" si="0"/>
        <v>3.6403053837631645</v>
      </c>
      <c r="P15" s="2" t="s">
        <v>22</v>
      </c>
      <c r="Q15" s="2"/>
      <c r="R15" s="2" t="s">
        <v>22</v>
      </c>
      <c r="S15" s="2"/>
      <c r="T15" s="2" t="s">
        <v>22</v>
      </c>
      <c r="U15" s="2"/>
      <c r="V15" s="2" t="s">
        <v>22</v>
      </c>
      <c r="W15" s="2"/>
      <c r="X15" s="1">
        <v>3.6403053837631645</v>
      </c>
    </row>
    <row r="16" spans="1:24" s="1" customFormat="1" ht="12.75">
      <c r="A16" s="1" t="s">
        <v>0</v>
      </c>
      <c r="B16" s="1" t="s">
        <v>7</v>
      </c>
      <c r="C16" s="1" t="s">
        <v>103</v>
      </c>
      <c r="D16" s="1" t="s">
        <v>31</v>
      </c>
      <c r="E16" s="1" t="s">
        <v>21</v>
      </c>
      <c r="F16" s="2" t="s">
        <v>22</v>
      </c>
      <c r="G16" s="4"/>
      <c r="H16" s="4" t="s">
        <v>22</v>
      </c>
      <c r="I16" s="4">
        <v>0.07452222222222221</v>
      </c>
      <c r="J16" s="4" t="s">
        <v>22</v>
      </c>
      <c r="K16" s="4">
        <v>0.05945263157894736</v>
      </c>
      <c r="L16" s="2" t="s">
        <v>22</v>
      </c>
      <c r="M16" s="4">
        <v>0.04977553956834532</v>
      </c>
      <c r="N16" s="2" t="s">
        <v>22</v>
      </c>
      <c r="O16" s="4">
        <f t="shared" si="0"/>
        <v>0.06125013112317163</v>
      </c>
      <c r="P16" s="2" t="s">
        <v>22</v>
      </c>
      <c r="Q16" s="2"/>
      <c r="R16" s="2" t="s">
        <v>22</v>
      </c>
      <c r="S16" s="2"/>
      <c r="T16" s="2" t="s">
        <v>22</v>
      </c>
      <c r="U16" s="2"/>
      <c r="V16" s="2" t="s">
        <v>22</v>
      </c>
      <c r="W16" s="2"/>
      <c r="X16" s="1">
        <v>0.06125013112317163</v>
      </c>
    </row>
    <row r="17" spans="1:24" s="1" customFormat="1" ht="12.75">
      <c r="A17" s="1" t="s">
        <v>0</v>
      </c>
      <c r="B17" s="1" t="s">
        <v>8</v>
      </c>
      <c r="C17" s="1" t="s">
        <v>103</v>
      </c>
      <c r="D17" s="1" t="s">
        <v>31</v>
      </c>
      <c r="E17" s="1" t="s">
        <v>21</v>
      </c>
      <c r="F17" s="2" t="s">
        <v>22</v>
      </c>
      <c r="G17" s="4"/>
      <c r="H17" s="4" t="s">
        <v>22</v>
      </c>
      <c r="I17" s="4">
        <v>13.727777777777776</v>
      </c>
      <c r="J17" s="4" t="s">
        <v>22</v>
      </c>
      <c r="K17" s="4">
        <v>13.859894736842103</v>
      </c>
      <c r="L17" s="2" t="s">
        <v>22</v>
      </c>
      <c r="M17" s="4">
        <v>23.892258992805754</v>
      </c>
      <c r="N17" s="2" t="s">
        <v>22</v>
      </c>
      <c r="O17" s="4">
        <f t="shared" si="0"/>
        <v>17.15997716914188</v>
      </c>
      <c r="P17" s="2" t="s">
        <v>22</v>
      </c>
      <c r="Q17" s="2"/>
      <c r="R17" s="2" t="s">
        <v>22</v>
      </c>
      <c r="S17" s="2"/>
      <c r="T17" s="2" t="s">
        <v>22</v>
      </c>
      <c r="U17" s="2"/>
      <c r="V17" s="2" t="s">
        <v>22</v>
      </c>
      <c r="W17" s="2"/>
      <c r="X17" s="1">
        <v>17.15997716914188</v>
      </c>
    </row>
    <row r="18" spans="1:24" s="1" customFormat="1" ht="12.75">
      <c r="A18" s="1" t="s">
        <v>0</v>
      </c>
      <c r="B18" s="1" t="s">
        <v>9</v>
      </c>
      <c r="C18" s="1" t="s">
        <v>103</v>
      </c>
      <c r="D18" s="1" t="s">
        <v>31</v>
      </c>
      <c r="E18" s="1" t="s">
        <v>21</v>
      </c>
      <c r="F18" s="2" t="s">
        <v>22</v>
      </c>
      <c r="G18" s="4"/>
      <c r="H18" s="4" t="s">
        <v>22</v>
      </c>
      <c r="I18" s="4">
        <v>5.4911111111111115</v>
      </c>
      <c r="J18" s="4" t="s">
        <v>22</v>
      </c>
      <c r="K18" s="4">
        <v>5.2021052631579</v>
      </c>
      <c r="L18" s="2" t="s">
        <v>22</v>
      </c>
      <c r="M18" s="4">
        <v>4.266474820143885</v>
      </c>
      <c r="N18" s="2" t="s">
        <v>22</v>
      </c>
      <c r="O18" s="4">
        <f t="shared" si="0"/>
        <v>4.986563731470966</v>
      </c>
      <c r="P18" s="2" t="s">
        <v>22</v>
      </c>
      <c r="Q18" s="2"/>
      <c r="R18" s="2" t="s">
        <v>22</v>
      </c>
      <c r="S18" s="2"/>
      <c r="T18" s="2" t="s">
        <v>22</v>
      </c>
      <c r="U18" s="2"/>
      <c r="V18" s="2" t="s">
        <v>22</v>
      </c>
      <c r="W18" s="2"/>
      <c r="X18" s="1">
        <v>4.986563731470965</v>
      </c>
    </row>
    <row r="19" spans="1:24" s="1" customFormat="1" ht="12.75">
      <c r="A19" s="1" t="s">
        <v>0</v>
      </c>
      <c r="B19" s="1" t="s">
        <v>10</v>
      </c>
      <c r="C19" s="1" t="s">
        <v>103</v>
      </c>
      <c r="D19" s="1" t="s">
        <v>31</v>
      </c>
      <c r="E19" s="1" t="s">
        <v>21</v>
      </c>
      <c r="F19" s="2" t="s">
        <v>22</v>
      </c>
      <c r="G19" s="4"/>
      <c r="H19" s="4" t="s">
        <v>22</v>
      </c>
      <c r="I19" s="4">
        <v>19.140444444444444</v>
      </c>
      <c r="J19" s="4" t="s">
        <v>22</v>
      </c>
      <c r="K19" s="4">
        <v>21.142842105263153</v>
      </c>
      <c r="L19" s="2" t="s">
        <v>22</v>
      </c>
      <c r="M19" s="4">
        <v>10.986172661870501</v>
      </c>
      <c r="N19" s="2" t="s">
        <v>22</v>
      </c>
      <c r="O19" s="4">
        <f t="shared" si="0"/>
        <v>17.0898197371927</v>
      </c>
      <c r="P19" s="2" t="s">
        <v>22</v>
      </c>
      <c r="Q19" s="2"/>
      <c r="R19" s="2" t="s">
        <v>22</v>
      </c>
      <c r="S19" s="2"/>
      <c r="T19" s="2" t="s">
        <v>22</v>
      </c>
      <c r="U19" s="2"/>
      <c r="V19" s="2" t="s">
        <v>22</v>
      </c>
      <c r="W19" s="2"/>
      <c r="X19" s="1">
        <v>17.0898197371927</v>
      </c>
    </row>
    <row r="20" spans="1:24" s="1" customFormat="1" ht="12.75">
      <c r="A20" s="1" t="s">
        <v>0</v>
      </c>
      <c r="B20" s="1" t="s">
        <v>11</v>
      </c>
      <c r="C20" s="1" t="s">
        <v>103</v>
      </c>
      <c r="D20" s="1" t="s">
        <v>31</v>
      </c>
      <c r="E20" s="1" t="s">
        <v>21</v>
      </c>
      <c r="F20" s="2" t="s">
        <v>22</v>
      </c>
      <c r="G20" s="4"/>
      <c r="H20" s="4" t="s">
        <v>22</v>
      </c>
      <c r="I20" s="4">
        <v>30.279555555555557</v>
      </c>
      <c r="J20" s="4" t="s">
        <v>22</v>
      </c>
      <c r="K20" s="4">
        <v>23.37231578947368</v>
      </c>
      <c r="L20" s="2" t="s">
        <v>22</v>
      </c>
      <c r="M20" s="4">
        <v>29.367568345323733</v>
      </c>
      <c r="N20" s="2" t="s">
        <v>22</v>
      </c>
      <c r="O20" s="4">
        <f>AVERAGE(I20,K20,M20)</f>
        <v>27.673146563450988</v>
      </c>
      <c r="P20" s="2" t="s">
        <v>22</v>
      </c>
      <c r="Q20" s="2"/>
      <c r="R20" s="2" t="s">
        <v>22</v>
      </c>
      <c r="S20" s="2"/>
      <c r="T20" s="2" t="s">
        <v>22</v>
      </c>
      <c r="U20" s="2"/>
      <c r="V20" s="2" t="s">
        <v>22</v>
      </c>
      <c r="W20" s="2"/>
      <c r="X20" s="1">
        <v>27.673146563450988</v>
      </c>
    </row>
    <row r="21" spans="1:24" s="1" customFormat="1" ht="12.75">
      <c r="A21" s="1" t="s">
        <v>0</v>
      </c>
      <c r="B21" s="1" t="s">
        <v>12</v>
      </c>
      <c r="C21" s="1" t="s">
        <v>103</v>
      </c>
      <c r="D21" s="1" t="s">
        <v>31</v>
      </c>
      <c r="E21" s="1" t="s">
        <v>21</v>
      </c>
      <c r="F21" s="2" t="s">
        <v>22</v>
      </c>
      <c r="G21" s="4"/>
      <c r="H21" s="4" t="s">
        <v>22</v>
      </c>
      <c r="I21" s="4">
        <v>1.3335555555555556</v>
      </c>
      <c r="J21" s="4" t="s">
        <v>25</v>
      </c>
      <c r="K21" s="4">
        <v>0.6688421052631577</v>
      </c>
      <c r="L21" s="2" t="s">
        <v>22</v>
      </c>
      <c r="M21" s="4">
        <v>0.88884892086331</v>
      </c>
      <c r="N21" s="2" t="s">
        <v>22</v>
      </c>
      <c r="O21" s="4">
        <f>AVERAGE(G21,I21,K21,M21)</f>
        <v>0.9637488605606744</v>
      </c>
      <c r="P21" s="2" t="s">
        <v>22</v>
      </c>
      <c r="Q21" s="2"/>
      <c r="R21" s="2" t="s">
        <v>22</v>
      </c>
      <c r="S21" s="2"/>
      <c r="T21" s="2" t="s">
        <v>22</v>
      </c>
      <c r="U21" s="2"/>
      <c r="V21" s="2" t="s">
        <v>22</v>
      </c>
      <c r="W21" s="2"/>
      <c r="X21" s="1">
        <v>0.9637488605606744</v>
      </c>
    </row>
    <row r="22" spans="1:24" s="1" customFormat="1" ht="12.75">
      <c r="A22" s="1" t="s">
        <v>0</v>
      </c>
      <c r="B22" s="1" t="s">
        <v>13</v>
      </c>
      <c r="C22" s="1" t="s">
        <v>103</v>
      </c>
      <c r="D22" s="1" t="s">
        <v>31</v>
      </c>
      <c r="E22" s="1" t="s">
        <v>21</v>
      </c>
      <c r="F22" s="2" t="s">
        <v>22</v>
      </c>
      <c r="G22" s="4"/>
      <c r="H22" s="4" t="s">
        <v>25</v>
      </c>
      <c r="I22" s="4">
        <v>4.706666666666667</v>
      </c>
      <c r="J22" s="4" t="s">
        <v>25</v>
      </c>
      <c r="K22" s="4">
        <v>4.644736842105263</v>
      </c>
      <c r="L22" s="2" t="s">
        <v>25</v>
      </c>
      <c r="M22" s="4">
        <v>4.977553956834532</v>
      </c>
      <c r="N22" s="11">
        <v>100</v>
      </c>
      <c r="O22" s="4">
        <f>AVERAGE(G22,I22,K22,M22)</f>
        <v>4.776319155202154</v>
      </c>
      <c r="P22" s="2" t="s">
        <v>22</v>
      </c>
      <c r="Q22" s="2"/>
      <c r="R22" s="2" t="s">
        <v>22</v>
      </c>
      <c r="S22" s="2"/>
      <c r="T22" s="2" t="s">
        <v>22</v>
      </c>
      <c r="U22" s="2"/>
      <c r="V22" s="2" t="s">
        <v>22</v>
      </c>
      <c r="W22" s="2"/>
      <c r="X22" s="1">
        <v>4.776319155202153</v>
      </c>
    </row>
    <row r="23" spans="1:24" s="1" customFormat="1" ht="12.75">
      <c r="A23" s="1" t="s">
        <v>0</v>
      </c>
      <c r="B23" s="1" t="s">
        <v>14</v>
      </c>
      <c r="C23" s="1" t="s">
        <v>103</v>
      </c>
      <c r="D23" s="1" t="s">
        <v>31</v>
      </c>
      <c r="E23" s="1" t="s">
        <v>21</v>
      </c>
      <c r="F23" s="2" t="s">
        <v>22</v>
      </c>
      <c r="G23" s="4"/>
      <c r="H23" s="4" t="s">
        <v>25</v>
      </c>
      <c r="I23" s="4">
        <v>0.23925555555555555</v>
      </c>
      <c r="J23" s="4" t="s">
        <v>25</v>
      </c>
      <c r="K23" s="4">
        <v>0.23037894736842102</v>
      </c>
      <c r="L23" s="2" t="s">
        <v>25</v>
      </c>
      <c r="M23" s="4">
        <v>0.24176690647482</v>
      </c>
      <c r="N23" s="11">
        <v>100</v>
      </c>
      <c r="O23" s="4">
        <f>AVERAGE(G23,I23,K23,M23)</f>
        <v>0.2371338031329322</v>
      </c>
      <c r="P23" s="2" t="s">
        <v>22</v>
      </c>
      <c r="Q23" s="2"/>
      <c r="R23" s="2" t="s">
        <v>22</v>
      </c>
      <c r="S23" s="2"/>
      <c r="T23" s="2" t="s">
        <v>22</v>
      </c>
      <c r="U23" s="2"/>
      <c r="V23" s="2" t="s">
        <v>22</v>
      </c>
      <c r="W23" s="2"/>
      <c r="X23" s="1">
        <v>0.2371338031329322</v>
      </c>
    </row>
    <row r="24" spans="1:24" s="1" customFormat="1" ht="12.75">
      <c r="A24" s="1" t="s">
        <v>0</v>
      </c>
      <c r="B24" s="1" t="s">
        <v>15</v>
      </c>
      <c r="C24" s="1" t="s">
        <v>103</v>
      </c>
      <c r="D24" s="1" t="s">
        <v>31</v>
      </c>
      <c r="E24" s="1" t="s">
        <v>21</v>
      </c>
      <c r="F24" s="2" t="s">
        <v>22</v>
      </c>
      <c r="G24" s="4"/>
      <c r="H24" s="4" t="s">
        <v>22</v>
      </c>
      <c r="I24" s="4">
        <v>0.16473333333333331</v>
      </c>
      <c r="J24" s="4" t="s">
        <v>22</v>
      </c>
      <c r="K24" s="4">
        <v>0.15977894736842102</v>
      </c>
      <c r="L24" s="2" t="s">
        <v>25</v>
      </c>
      <c r="M24" s="4">
        <v>0.12799424460431655</v>
      </c>
      <c r="N24" s="2" t="s">
        <v>22</v>
      </c>
      <c r="O24" s="4">
        <f>AVERAGE(G24,I24,K24,M24)</f>
        <v>0.15083550843535695</v>
      </c>
      <c r="P24" s="2" t="s">
        <v>22</v>
      </c>
      <c r="Q24" s="2"/>
      <c r="R24" s="2" t="s">
        <v>22</v>
      </c>
      <c r="S24" s="2"/>
      <c r="T24" s="2" t="s">
        <v>22</v>
      </c>
      <c r="U24" s="2"/>
      <c r="V24" s="2" t="s">
        <v>22</v>
      </c>
      <c r="W24" s="2"/>
      <c r="X24" s="1">
        <v>0.15083550843535695</v>
      </c>
    </row>
    <row r="25" spans="2:23" s="1" customFormat="1" ht="12.75">
      <c r="B25" s="1" t="s">
        <v>33</v>
      </c>
      <c r="C25" s="1" t="s">
        <v>103</v>
      </c>
      <c r="D25" s="1" t="s">
        <v>31</v>
      </c>
      <c r="E25" s="1" t="s">
        <v>21</v>
      </c>
      <c r="F25" s="2"/>
      <c r="G25" s="4"/>
      <c r="H25" s="4"/>
      <c r="I25" s="4">
        <f>I17+I19</f>
        <v>32.86822222222222</v>
      </c>
      <c r="J25" s="4"/>
      <c r="K25" s="4">
        <f>K17+K19</f>
        <v>35.00273684210526</v>
      </c>
      <c r="L25" s="2"/>
      <c r="M25" s="4">
        <f>M17+M19</f>
        <v>34.878431654676255</v>
      </c>
      <c r="N25" s="2"/>
      <c r="O25" s="4">
        <f>AVERAGE(I25,K25,M25)</f>
        <v>34.24979690633458</v>
      </c>
      <c r="P25" s="2"/>
      <c r="Q25" s="2"/>
      <c r="R25" s="2"/>
      <c r="S25" s="2"/>
      <c r="T25" s="2"/>
      <c r="U25" s="2"/>
      <c r="V25" s="2"/>
      <c r="W25" s="2"/>
    </row>
    <row r="26" spans="2:23" s="1" customFormat="1" ht="12.75">
      <c r="B26" s="1" t="s">
        <v>34</v>
      </c>
      <c r="C26" s="1" t="s">
        <v>103</v>
      </c>
      <c r="D26" s="1" t="s">
        <v>31</v>
      </c>
      <c r="E26" s="1" t="s">
        <v>21</v>
      </c>
      <c r="F26" s="2"/>
      <c r="G26" s="4"/>
      <c r="H26" s="4"/>
      <c r="I26" s="4">
        <f>I14+I16+I18</f>
        <v>44.513299999999994</v>
      </c>
      <c r="J26" s="4"/>
      <c r="K26" s="4">
        <f>K14+K16+K18</f>
        <v>40.67303157894737</v>
      </c>
      <c r="L26" s="2"/>
      <c r="M26" s="4">
        <f>M14+M16+M18</f>
        <v>31.159487769784228</v>
      </c>
      <c r="N26" s="2"/>
      <c r="O26" s="4">
        <f>AVERAGE(I26,K26,M26)</f>
        <v>38.781939782910534</v>
      </c>
      <c r="P26" s="2"/>
      <c r="Q26" s="2"/>
      <c r="R26" s="2"/>
      <c r="S26" s="2"/>
      <c r="T26" s="2"/>
      <c r="U26" s="2"/>
      <c r="V26" s="2"/>
      <c r="W26" s="2"/>
    </row>
    <row r="27" spans="7:63" s="1" customFormat="1" ht="12.7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2:63" s="1" customFormat="1" ht="12.75">
      <c r="B28" t="s">
        <v>39</v>
      </c>
      <c r="C28" s="1" t="s">
        <v>28</v>
      </c>
      <c r="D28" s="1" t="s">
        <v>102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2:63" s="1" customFormat="1" ht="12.75">
      <c r="B29" s="18" t="s">
        <v>104</v>
      </c>
      <c r="C29" s="18"/>
      <c r="D29" s="18" t="s">
        <v>105</v>
      </c>
      <c r="G29" s="4">
        <v>17888</v>
      </c>
      <c r="H29" s="4"/>
      <c r="I29" s="4">
        <v>17922</v>
      </c>
      <c r="J29" s="4"/>
      <c r="K29" s="4">
        <v>17962</v>
      </c>
      <c r="L29" s="4"/>
      <c r="M29" s="4">
        <v>16814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2:63" s="1" customFormat="1" ht="12.75">
      <c r="B30" s="18" t="s">
        <v>106</v>
      </c>
      <c r="C30" s="18"/>
      <c r="D30" s="18" t="s">
        <v>57</v>
      </c>
      <c r="G30" s="4">
        <v>8.3</v>
      </c>
      <c r="H30" s="4"/>
      <c r="I30" s="4">
        <v>8.4</v>
      </c>
      <c r="J30" s="4"/>
      <c r="K30" s="4">
        <v>7.7</v>
      </c>
      <c r="L30" s="4"/>
      <c r="M30" s="4">
        <v>7.1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2:63" s="1" customFormat="1" ht="12.75">
      <c r="B31" s="18" t="s">
        <v>107</v>
      </c>
      <c r="C31" s="18"/>
      <c r="D31" s="18" t="s">
        <v>57</v>
      </c>
      <c r="G31" s="4">
        <v>21.35</v>
      </c>
      <c r="H31" s="4"/>
      <c r="I31" s="4">
        <v>21.48</v>
      </c>
      <c r="J31" s="4"/>
      <c r="K31" s="4">
        <v>22.1</v>
      </c>
      <c r="L31" s="4"/>
      <c r="M31" s="4">
        <v>26.39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2:63" s="1" customFormat="1" ht="12.75">
      <c r="B32" s="18" t="s">
        <v>108</v>
      </c>
      <c r="C32" s="18"/>
      <c r="D32" s="18" t="s">
        <v>109</v>
      </c>
      <c r="G32" s="4">
        <v>157</v>
      </c>
      <c r="H32" s="4"/>
      <c r="I32" s="4">
        <v>159</v>
      </c>
      <c r="J32" s="4"/>
      <c r="K32" s="4">
        <v>160</v>
      </c>
      <c r="L32" s="4"/>
      <c r="M32" s="4">
        <v>168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6:23" s="1" customFormat="1" ht="12.75">
      <c r="F33" s="2"/>
      <c r="G33" s="4"/>
      <c r="H33" s="4"/>
      <c r="I33" s="4"/>
      <c r="J33" s="4"/>
      <c r="K33" s="4"/>
      <c r="L33" s="2"/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s="1" customFormat="1" ht="12.75">
      <c r="B34" t="s">
        <v>39</v>
      </c>
      <c r="C34" s="1" t="s">
        <v>26</v>
      </c>
      <c r="D34" s="6" t="s">
        <v>103</v>
      </c>
      <c r="F34" s="2"/>
      <c r="G34" s="4"/>
      <c r="H34" s="4"/>
      <c r="I34" s="4"/>
      <c r="J34" s="4"/>
      <c r="K34" s="4"/>
      <c r="L34" s="2"/>
      <c r="M34" s="4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63" s="1" customFormat="1" ht="12.75">
      <c r="B35" s="18" t="s">
        <v>104</v>
      </c>
      <c r="C35" s="18"/>
      <c r="D35" s="18" t="s">
        <v>105</v>
      </c>
      <c r="G35" s="4"/>
      <c r="H35" s="4"/>
      <c r="I35" s="4">
        <v>18503</v>
      </c>
      <c r="J35" s="4"/>
      <c r="K35" s="4">
        <v>17931</v>
      </c>
      <c r="L35" s="4"/>
      <c r="M35" s="4">
        <v>17010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s="1" customFormat="1" ht="12.75">
      <c r="B36" s="18" t="s">
        <v>106</v>
      </c>
      <c r="C36" s="18"/>
      <c r="D36" s="18" t="s">
        <v>57</v>
      </c>
      <c r="G36" s="4"/>
      <c r="H36" s="4"/>
      <c r="I36" s="4">
        <v>8.4</v>
      </c>
      <c r="J36" s="4"/>
      <c r="K36" s="4">
        <v>7.7</v>
      </c>
      <c r="L36" s="4"/>
      <c r="M36" s="4">
        <v>7.1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s="1" customFormat="1" ht="12.75">
      <c r="A37" s="1" t="s">
        <v>0</v>
      </c>
      <c r="B37" s="18" t="s">
        <v>107</v>
      </c>
      <c r="C37" s="18"/>
      <c r="D37" s="18" t="s">
        <v>57</v>
      </c>
      <c r="G37" s="4"/>
      <c r="H37" s="4"/>
      <c r="I37" s="4">
        <v>21.72</v>
      </c>
      <c r="J37" s="4"/>
      <c r="K37" s="4">
        <v>22.18</v>
      </c>
      <c r="L37" s="4"/>
      <c r="M37" s="4">
        <v>25.71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s="1" customFormat="1" ht="12.75">
      <c r="B38" s="18" t="s">
        <v>108</v>
      </c>
      <c r="C38" s="18"/>
      <c r="D38" s="18" t="s">
        <v>109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7:63" s="1" customFormat="1" ht="12.7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8" t="s">
        <v>18</v>
      </c>
      <c r="G40" s="16" t="s">
        <v>1</v>
      </c>
      <c r="H40" s="16"/>
      <c r="I40" s="16" t="s">
        <v>3</v>
      </c>
      <c r="J40" s="16"/>
      <c r="K40" s="16" t="s">
        <v>16</v>
      </c>
      <c r="L40" s="16"/>
      <c r="M40" s="16" t="s">
        <v>17</v>
      </c>
      <c r="N40" s="16"/>
      <c r="O40" s="16" t="s">
        <v>32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6:23" s="1" customFormat="1" ht="12.75">
      <c r="F41" s="2"/>
      <c r="G41" s="4"/>
      <c r="H41" s="4"/>
      <c r="I41" s="4"/>
      <c r="J41" s="4"/>
      <c r="K41" s="4"/>
      <c r="L41" s="2"/>
      <c r="M41" s="4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4" s="1" customFormat="1" ht="12.75">
      <c r="A42" s="1" t="s">
        <v>18</v>
      </c>
      <c r="B42" s="1" t="s">
        <v>20</v>
      </c>
      <c r="C42" s="1" t="s">
        <v>102</v>
      </c>
      <c r="D42" s="1" t="s">
        <v>29</v>
      </c>
      <c r="E42" s="1" t="s">
        <v>21</v>
      </c>
      <c r="F42" s="2" t="s">
        <v>22</v>
      </c>
      <c r="G42" s="3">
        <v>0.009700096224</v>
      </c>
      <c r="H42" s="3" t="s">
        <v>22</v>
      </c>
      <c r="I42" s="3">
        <v>0.00900008928</v>
      </c>
      <c r="J42" s="3" t="s">
        <v>22</v>
      </c>
      <c r="K42" s="3">
        <v>0.008700086304</v>
      </c>
      <c r="L42" s="3" t="s">
        <v>22</v>
      </c>
      <c r="M42" s="3"/>
      <c r="N42" s="3" t="s">
        <v>22</v>
      </c>
      <c r="O42" s="3">
        <f>AVERAGE(G42,I42,K42)</f>
        <v>0.009133423936</v>
      </c>
      <c r="P42" s="3" t="s">
        <v>22</v>
      </c>
      <c r="Q42" s="3"/>
      <c r="R42" s="3" t="s">
        <v>22</v>
      </c>
      <c r="S42" s="3"/>
      <c r="T42" s="3" t="s">
        <v>22</v>
      </c>
      <c r="U42" s="3"/>
      <c r="V42" s="2" t="s">
        <v>22</v>
      </c>
      <c r="W42" s="2"/>
      <c r="X42" s="1">
        <v>0.009133423936</v>
      </c>
    </row>
    <row r="43" spans="1:24" s="1" customFormat="1" ht="12.75">
      <c r="A43" s="1" t="s">
        <v>18</v>
      </c>
      <c r="B43" s="1" t="s">
        <v>110</v>
      </c>
      <c r="C43" s="1" t="s">
        <v>102</v>
      </c>
      <c r="D43" s="1" t="s">
        <v>30</v>
      </c>
      <c r="E43" s="1" t="s">
        <v>21</v>
      </c>
      <c r="F43" s="2" t="s">
        <v>22</v>
      </c>
      <c r="G43" s="4">
        <v>0</v>
      </c>
      <c r="H43" s="4" t="s">
        <v>22</v>
      </c>
      <c r="I43" s="4">
        <v>0</v>
      </c>
      <c r="J43" s="4" t="s">
        <v>22</v>
      </c>
      <c r="K43" s="4">
        <v>0</v>
      </c>
      <c r="L43" s="2" t="s">
        <v>22</v>
      </c>
      <c r="M43" s="2"/>
      <c r="N43" s="2" t="s">
        <v>22</v>
      </c>
      <c r="O43" s="4">
        <f>AVERAGE(G43,I43,K43)</f>
        <v>0</v>
      </c>
      <c r="P43" s="2" t="s">
        <v>22</v>
      </c>
      <c r="Q43" s="2"/>
      <c r="R43" s="2" t="s">
        <v>22</v>
      </c>
      <c r="S43" s="2"/>
      <c r="T43" s="2" t="s">
        <v>22</v>
      </c>
      <c r="U43" s="2"/>
      <c r="V43" s="2" t="s">
        <v>22</v>
      </c>
      <c r="W43" s="2"/>
      <c r="X43" s="1">
        <v>0</v>
      </c>
    </row>
    <row r="44" spans="6:23" s="1" customFormat="1" ht="12.75">
      <c r="F44" s="2"/>
      <c r="G44" s="4"/>
      <c r="H44" s="4"/>
      <c r="I44" s="4"/>
      <c r="J44" s="4"/>
      <c r="K44" s="4"/>
      <c r="L44" s="2"/>
      <c r="M44" s="2"/>
      <c r="N44" s="2"/>
      <c r="O44" s="4"/>
      <c r="P44" s="2"/>
      <c r="Q44" s="2"/>
      <c r="R44" s="2"/>
      <c r="S44" s="2"/>
      <c r="T44" s="2"/>
      <c r="U44" s="2"/>
      <c r="V44" s="2"/>
      <c r="W44" s="2"/>
    </row>
    <row r="45" spans="1:24" s="1" customFormat="1" ht="12.75">
      <c r="A45" s="1" t="s">
        <v>18</v>
      </c>
      <c r="B45" s="1" t="s">
        <v>23</v>
      </c>
      <c r="C45" s="1" t="s">
        <v>102</v>
      </c>
      <c r="D45" s="1" t="s">
        <v>30</v>
      </c>
      <c r="E45" s="1" t="s">
        <v>21</v>
      </c>
      <c r="F45" s="2" t="s">
        <v>22</v>
      </c>
      <c r="G45" s="4">
        <v>0.2493976258580344</v>
      </c>
      <c r="H45" s="4" t="s">
        <v>22</v>
      </c>
      <c r="I45" s="4">
        <v>0.19337663332729593</v>
      </c>
      <c r="J45" s="4" t="s">
        <v>22</v>
      </c>
      <c r="K45" s="4">
        <v>0.10707645266378105</v>
      </c>
      <c r="L45" s="2" t="s">
        <v>22</v>
      </c>
      <c r="M45" s="2"/>
      <c r="N45" s="2" t="s">
        <v>22</v>
      </c>
      <c r="O45" s="4">
        <f>AVERAGE(G45,I45,K45)</f>
        <v>0.18328357061637046</v>
      </c>
      <c r="P45" s="2" t="s">
        <v>22</v>
      </c>
      <c r="Q45" s="2"/>
      <c r="R45" s="2" t="s">
        <v>22</v>
      </c>
      <c r="S45" s="2"/>
      <c r="T45" s="2" t="s">
        <v>22</v>
      </c>
      <c r="U45" s="2"/>
      <c r="V45" s="2" t="s">
        <v>22</v>
      </c>
      <c r="W45" s="2"/>
      <c r="X45" s="1">
        <v>0.18328357061637046</v>
      </c>
    </row>
    <row r="46" spans="1:24" s="1" customFormat="1" ht="12.75">
      <c r="A46" s="1" t="s">
        <v>18</v>
      </c>
      <c r="B46" s="1" t="s">
        <v>24</v>
      </c>
      <c r="C46" s="1" t="s">
        <v>102</v>
      </c>
      <c r="D46" s="1" t="s">
        <v>30</v>
      </c>
      <c r="E46" s="1" t="s">
        <v>21</v>
      </c>
      <c r="F46" s="2" t="s">
        <v>22</v>
      </c>
      <c r="G46" s="4">
        <v>0.03657666894408253</v>
      </c>
      <c r="H46" s="4" t="s">
        <v>22</v>
      </c>
      <c r="I46" s="4">
        <v>0.04622593296062829</v>
      </c>
      <c r="J46" s="4" t="s">
        <v>22</v>
      </c>
      <c r="K46" s="4">
        <v>0.05432982402482229</v>
      </c>
      <c r="L46" s="2" t="s">
        <v>22</v>
      </c>
      <c r="M46" s="2"/>
      <c r="N46" s="2" t="s">
        <v>22</v>
      </c>
      <c r="O46" s="4">
        <f>AVERAGE(G46,I46,K46)</f>
        <v>0.0457108086431777</v>
      </c>
      <c r="P46" s="2" t="s">
        <v>22</v>
      </c>
      <c r="Q46" s="2"/>
      <c r="R46" s="2" t="s">
        <v>22</v>
      </c>
      <c r="S46" s="2"/>
      <c r="T46" s="2" t="s">
        <v>22</v>
      </c>
      <c r="U46" s="2"/>
      <c r="V46" s="2" t="s">
        <v>22</v>
      </c>
      <c r="W46" s="2"/>
      <c r="X46" s="1">
        <v>0.045710808643177704</v>
      </c>
    </row>
    <row r="47" spans="2:23" s="1" customFormat="1" ht="12.75">
      <c r="B47" s="1" t="s">
        <v>101</v>
      </c>
      <c r="C47" s="1" t="s">
        <v>102</v>
      </c>
      <c r="D47" s="1" t="s">
        <v>30</v>
      </c>
      <c r="E47" s="1" t="s">
        <v>21</v>
      </c>
      <c r="F47" s="2"/>
      <c r="G47" s="4">
        <f>G45+2*G46</f>
        <v>0.32255096374619946</v>
      </c>
      <c r="H47" s="4"/>
      <c r="I47" s="4">
        <f>I45+2*I46</f>
        <v>0.2858284992485525</v>
      </c>
      <c r="J47" s="4"/>
      <c r="K47" s="4">
        <f>K45+2*K46</f>
        <v>0.21573610071342564</v>
      </c>
      <c r="L47" s="2"/>
      <c r="M47" s="2"/>
      <c r="N47" s="2"/>
      <c r="O47" s="4">
        <f>AVERAGE(G47,I47,K47)</f>
        <v>0.27470518790272586</v>
      </c>
      <c r="P47" s="2"/>
      <c r="Q47" s="2"/>
      <c r="R47" s="2"/>
      <c r="S47" s="2"/>
      <c r="T47" s="2"/>
      <c r="U47" s="2"/>
      <c r="V47" s="2"/>
      <c r="W47" s="2"/>
    </row>
    <row r="49" spans="2:4" ht="12.75">
      <c r="B49" t="s">
        <v>39</v>
      </c>
      <c r="C49" s="1" t="s">
        <v>28</v>
      </c>
      <c r="D49" t="s">
        <v>102</v>
      </c>
    </row>
    <row r="50" spans="2:63" s="1" customFormat="1" ht="12.75">
      <c r="B50" s="18" t="s">
        <v>104</v>
      </c>
      <c r="C50" s="18"/>
      <c r="D50" s="18" t="s">
        <v>105</v>
      </c>
      <c r="G50" s="4">
        <v>17742</v>
      </c>
      <c r="H50" s="4"/>
      <c r="I50" s="4">
        <v>17038</v>
      </c>
      <c r="J50" s="4"/>
      <c r="K50" s="4">
        <v>16863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2:63" s="1" customFormat="1" ht="12.75">
      <c r="B51" s="18" t="s">
        <v>106</v>
      </c>
      <c r="C51" s="18"/>
      <c r="D51" s="18" t="s">
        <v>57</v>
      </c>
      <c r="G51" s="4">
        <v>7.3</v>
      </c>
      <c r="H51" s="4"/>
      <c r="I51" s="4">
        <v>6.7</v>
      </c>
      <c r="J51" s="4"/>
      <c r="K51" s="4">
        <v>7.3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s="1" customFormat="1" ht="12.75">
      <c r="A52" s="1" t="s">
        <v>18</v>
      </c>
      <c r="B52" s="18" t="s">
        <v>107</v>
      </c>
      <c r="C52" s="18"/>
      <c r="D52" s="18" t="s">
        <v>57</v>
      </c>
      <c r="G52" s="4">
        <v>24.46</v>
      </c>
      <c r="H52" s="4"/>
      <c r="I52" s="4">
        <v>25.48</v>
      </c>
      <c r="J52" s="4"/>
      <c r="K52" s="4">
        <v>26.01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2:63" s="1" customFormat="1" ht="12.75">
      <c r="B53" s="18" t="s">
        <v>108</v>
      </c>
      <c r="C53" s="18"/>
      <c r="D53" s="18" t="s">
        <v>109</v>
      </c>
      <c r="G53" s="4">
        <v>166</v>
      </c>
      <c r="H53" s="4"/>
      <c r="I53" s="4">
        <v>166</v>
      </c>
      <c r="J53" s="4"/>
      <c r="K53" s="4">
        <v>171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5" spans="1:57" s="6" customFormat="1" ht="12.75">
      <c r="A55" s="6" t="s">
        <v>18</v>
      </c>
      <c r="B55" s="6" t="s">
        <v>56</v>
      </c>
      <c r="C55" s="6" t="s">
        <v>242</v>
      </c>
      <c r="D55" s="6" t="s">
        <v>57</v>
      </c>
      <c r="G55" s="5">
        <v>99.999984</v>
      </c>
      <c r="H55" s="5"/>
      <c r="I55" s="5">
        <v>99.999985</v>
      </c>
      <c r="J55" s="5"/>
      <c r="K55" s="5">
        <v>99.999985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s="6" customFormat="1" ht="12.75">
      <c r="A56" s="6" t="s">
        <v>18</v>
      </c>
      <c r="B56" s="6" t="s">
        <v>58</v>
      </c>
      <c r="C56" s="6" t="s">
        <v>242</v>
      </c>
      <c r="D56" s="6" t="s">
        <v>57</v>
      </c>
      <c r="G56" s="5">
        <v>99.999987</v>
      </c>
      <c r="H56" s="5"/>
      <c r="I56" s="5">
        <v>99.999989</v>
      </c>
      <c r="J56" s="5"/>
      <c r="K56" s="5">
        <v>99.999989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s="6" customFormat="1" ht="12.75">
      <c r="A57" s="6" t="s">
        <v>18</v>
      </c>
      <c r="B57" s="6" t="s">
        <v>59</v>
      </c>
      <c r="C57" s="6" t="s">
        <v>242</v>
      </c>
      <c r="D57" s="6" t="s">
        <v>57</v>
      </c>
      <c r="G57" s="5">
        <v>99.999941</v>
      </c>
      <c r="H57" s="5"/>
      <c r="I57" s="5">
        <v>99.999948</v>
      </c>
      <c r="J57" s="5"/>
      <c r="K57" s="5">
        <v>99.999923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88"/>
  <sheetViews>
    <sheetView workbookViewId="0" topLeftCell="B7">
      <selection activeCell="P16" sqref="P16"/>
    </sheetView>
  </sheetViews>
  <sheetFormatPr defaultColWidth="9.140625" defaultRowHeight="12.75"/>
  <cols>
    <col min="1" max="1" width="2.421875" style="21" hidden="1" customWidth="1"/>
    <col min="2" max="2" width="18.7109375" style="21" customWidth="1"/>
    <col min="3" max="3" width="3.7109375" style="21" customWidth="1"/>
    <col min="4" max="4" width="9.140625" style="21" customWidth="1"/>
    <col min="5" max="5" width="2.8515625" style="21" customWidth="1"/>
    <col min="6" max="6" width="9.140625" style="21" customWidth="1"/>
    <col min="7" max="7" width="2.8515625" style="21" customWidth="1"/>
    <col min="8" max="8" width="9.140625" style="21" customWidth="1"/>
    <col min="9" max="9" width="2.28125" style="21" customWidth="1"/>
    <col min="10" max="10" width="9.140625" style="21" customWidth="1"/>
    <col min="11" max="11" width="1.7109375" style="21" customWidth="1"/>
    <col min="12" max="12" width="9.140625" style="21" customWidth="1"/>
    <col min="13" max="13" width="1.7109375" style="21" customWidth="1"/>
    <col min="14" max="14" width="9.140625" style="21" customWidth="1"/>
    <col min="15" max="15" width="1.7109375" style="21" customWidth="1"/>
    <col min="16" max="16" width="9.140625" style="21" customWidth="1"/>
    <col min="17" max="17" width="1.8515625" style="21" customWidth="1"/>
    <col min="18" max="18" width="9.140625" style="21" customWidth="1"/>
    <col min="19" max="19" width="2.28125" style="21" customWidth="1"/>
    <col min="20" max="20" width="9.28125" style="21" customWidth="1"/>
    <col min="21" max="21" width="2.28125" style="21" customWidth="1"/>
    <col min="22" max="22" width="9.140625" style="21" customWidth="1"/>
    <col min="23" max="23" width="1.8515625" style="21" customWidth="1"/>
    <col min="24" max="24" width="9.140625" style="21" customWidth="1"/>
    <col min="25" max="25" width="2.28125" style="21" customWidth="1"/>
    <col min="26" max="26" width="10.8515625" style="21" customWidth="1"/>
    <col min="27" max="27" width="2.28125" style="21" customWidth="1"/>
    <col min="28" max="28" width="9.140625" style="21" customWidth="1"/>
    <col min="29" max="29" width="2.00390625" style="21" customWidth="1"/>
    <col min="30" max="16384" width="9.140625" style="21" customWidth="1"/>
  </cols>
  <sheetData>
    <row r="1" ht="12.75">
      <c r="B1" s="7" t="s">
        <v>237</v>
      </c>
    </row>
    <row r="5" spans="1:30" s="38" customFormat="1" ht="12.75">
      <c r="A5" s="38" t="s">
        <v>229</v>
      </c>
      <c r="B5" s="57" t="s">
        <v>155</v>
      </c>
      <c r="C5" s="57"/>
      <c r="D5" s="42"/>
      <c r="F5" s="46" t="s">
        <v>1</v>
      </c>
      <c r="G5" s="46"/>
      <c r="H5" s="46" t="s">
        <v>3</v>
      </c>
      <c r="I5" s="46"/>
      <c r="J5" s="46" t="s">
        <v>16</v>
      </c>
      <c r="K5" s="46"/>
      <c r="L5" s="46" t="s">
        <v>1</v>
      </c>
      <c r="M5" s="46"/>
      <c r="N5" s="46" t="s">
        <v>3</v>
      </c>
      <c r="O5" s="46"/>
      <c r="P5" s="46" t="s">
        <v>16</v>
      </c>
      <c r="Q5" s="58"/>
      <c r="R5" s="46" t="s">
        <v>1</v>
      </c>
      <c r="S5" s="46"/>
      <c r="T5" s="46" t="s">
        <v>3</v>
      </c>
      <c r="U5" s="46"/>
      <c r="V5" s="46" t="s">
        <v>16</v>
      </c>
      <c r="W5" s="58"/>
      <c r="X5" s="46" t="s">
        <v>1</v>
      </c>
      <c r="Y5" s="46"/>
      <c r="Z5" s="46" t="s">
        <v>3</v>
      </c>
      <c r="AA5" s="46"/>
      <c r="AB5" s="46" t="s">
        <v>16</v>
      </c>
      <c r="AC5" s="46"/>
      <c r="AD5" s="46" t="s">
        <v>32</v>
      </c>
    </row>
    <row r="6" spans="2:7" s="38" customFormat="1" ht="12.75">
      <c r="B6" s="42"/>
      <c r="C6" s="42"/>
      <c r="D6" s="42"/>
      <c r="F6" s="63"/>
      <c r="G6" s="63"/>
    </row>
    <row r="7" spans="2:30" s="59" customFormat="1" ht="38.25">
      <c r="B7" s="59" t="s">
        <v>124</v>
      </c>
      <c r="E7" s="60"/>
      <c r="F7" s="60" t="s">
        <v>238</v>
      </c>
      <c r="G7" s="60"/>
      <c r="H7" s="60" t="s">
        <v>238</v>
      </c>
      <c r="I7" s="60"/>
      <c r="J7" s="60" t="s">
        <v>238</v>
      </c>
      <c r="K7" s="60"/>
      <c r="L7" s="60" t="s">
        <v>239</v>
      </c>
      <c r="M7" s="60"/>
      <c r="N7" s="60" t="s">
        <v>239</v>
      </c>
      <c r="O7" s="60"/>
      <c r="P7" s="60" t="s">
        <v>239</v>
      </c>
      <c r="Q7" s="60"/>
      <c r="R7" s="59" t="s">
        <v>128</v>
      </c>
      <c r="T7" s="59" t="s">
        <v>128</v>
      </c>
      <c r="V7" s="59" t="s">
        <v>128</v>
      </c>
      <c r="W7" s="60"/>
      <c r="X7" s="59" t="s">
        <v>42</v>
      </c>
      <c r="Z7" s="59" t="s">
        <v>42</v>
      </c>
      <c r="AB7" s="59" t="s">
        <v>42</v>
      </c>
      <c r="AD7" s="59" t="s">
        <v>42</v>
      </c>
    </row>
    <row r="8" spans="2:30" s="59" customFormat="1" ht="12.75">
      <c r="B8" s="59" t="s">
        <v>136</v>
      </c>
      <c r="E8" s="60"/>
      <c r="X8" s="59" t="s">
        <v>42</v>
      </c>
      <c r="Z8" s="59" t="s">
        <v>42</v>
      </c>
      <c r="AB8" s="59" t="s">
        <v>42</v>
      </c>
      <c r="AD8" s="59" t="s">
        <v>42</v>
      </c>
    </row>
    <row r="9" spans="2:30" s="38" customFormat="1" ht="12.75">
      <c r="B9" s="42" t="s">
        <v>230</v>
      </c>
      <c r="C9" s="42"/>
      <c r="D9" s="42" t="s">
        <v>35</v>
      </c>
      <c r="E9" s="21"/>
      <c r="F9" s="21">
        <v>2160</v>
      </c>
      <c r="G9" s="21"/>
      <c r="H9" s="21">
        <v>2160</v>
      </c>
      <c r="I9" s="21"/>
      <c r="J9" s="21">
        <v>2130</v>
      </c>
      <c r="K9" s="21"/>
      <c r="L9" s="21">
        <v>1980</v>
      </c>
      <c r="M9" s="21"/>
      <c r="N9" s="21">
        <v>1980</v>
      </c>
      <c r="O9" s="21"/>
      <c r="P9" s="21">
        <v>1980</v>
      </c>
      <c r="Q9" s="21"/>
      <c r="R9" s="21">
        <v>8820</v>
      </c>
      <c r="S9" s="21"/>
      <c r="T9" s="21">
        <v>9000</v>
      </c>
      <c r="U9" s="21"/>
      <c r="V9" s="21">
        <v>8820</v>
      </c>
      <c r="W9" s="21"/>
      <c r="X9" s="21">
        <f>R9+L9+F9</f>
        <v>12960</v>
      </c>
      <c r="Y9" s="21"/>
      <c r="Z9" s="21">
        <f>T9+N9+H9</f>
        <v>13140</v>
      </c>
      <c r="AA9" s="21"/>
      <c r="AB9" s="21">
        <f>V9+P9+J9</f>
        <v>12930</v>
      </c>
      <c r="AC9" s="21"/>
      <c r="AD9" s="21">
        <f>AVERAGE(X9,Z9,AB9)</f>
        <v>13010</v>
      </c>
    </row>
    <row r="10" spans="2:30" s="38" customFormat="1" ht="12.75">
      <c r="B10" s="42" t="s">
        <v>231</v>
      </c>
      <c r="C10" s="42"/>
      <c r="D10" s="42" t="s">
        <v>232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s="38" customFormat="1" ht="12.75">
      <c r="B11" s="42" t="s">
        <v>19</v>
      </c>
      <c r="C11" s="42"/>
      <c r="D11" s="42" t="s">
        <v>35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237</v>
      </c>
      <c r="Y11" s="21"/>
      <c r="Z11" s="21">
        <v>227</v>
      </c>
      <c r="AA11" s="21"/>
      <c r="AB11" s="21">
        <v>234</v>
      </c>
      <c r="AC11" s="21"/>
      <c r="AD11" s="21"/>
    </row>
    <row r="12" spans="2:30" s="38" customFormat="1" ht="12.75">
      <c r="B12" s="42" t="s">
        <v>40</v>
      </c>
      <c r="C12" s="42"/>
      <c r="D12" s="42" t="s">
        <v>35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187</v>
      </c>
      <c r="Y12" s="21"/>
      <c r="Z12" s="21">
        <v>190</v>
      </c>
      <c r="AA12" s="21"/>
      <c r="AB12" s="21">
        <v>176</v>
      </c>
      <c r="AC12" s="21"/>
      <c r="AD12" s="21"/>
    </row>
    <row r="13" spans="2:30" s="38" customFormat="1" ht="12.75">
      <c r="B13" s="42"/>
      <c r="C13" s="42"/>
      <c r="D13" s="4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s="38" customFormat="1" ht="12.75">
      <c r="B14" s="42" t="s">
        <v>233</v>
      </c>
      <c r="C14" s="42"/>
      <c r="D14" s="42" t="s">
        <v>105</v>
      </c>
      <c r="E14" s="4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f>'emiss 1'!G32</f>
        <v>16200</v>
      </c>
      <c r="Y14" s="21"/>
      <c r="Z14" s="21">
        <f>'emiss 1'!I32</f>
        <v>16200</v>
      </c>
      <c r="AA14" s="21"/>
      <c r="AB14" s="21">
        <f>'emiss 1'!K32</f>
        <v>17300</v>
      </c>
      <c r="AC14" s="21"/>
      <c r="AD14" s="21"/>
    </row>
    <row r="15" spans="2:30" s="38" customFormat="1" ht="12.75">
      <c r="B15" s="42" t="s">
        <v>27</v>
      </c>
      <c r="C15" s="42"/>
      <c r="D15" s="42" t="s">
        <v>57</v>
      </c>
      <c r="E15" s="46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f>'emiss 1'!G33</f>
        <v>8.4</v>
      </c>
      <c r="Y15" s="21"/>
      <c r="Z15" s="21">
        <f>'emiss 1'!I33</f>
        <v>8.4</v>
      </c>
      <c r="AA15" s="21"/>
      <c r="AB15" s="21">
        <f>'emiss 1'!K33</f>
        <v>9</v>
      </c>
      <c r="AC15" s="21"/>
      <c r="AD15" s="21"/>
    </row>
    <row r="16" spans="2:23" s="38" customFormat="1" ht="12.75">
      <c r="B16" s="42"/>
      <c r="C16" s="42"/>
      <c r="D16" s="42"/>
      <c r="E16" s="4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W16" s="21"/>
    </row>
    <row r="17" spans="2:23" s="38" customFormat="1" ht="12.75">
      <c r="B17" s="42" t="s">
        <v>234</v>
      </c>
      <c r="C17" s="42"/>
      <c r="D17" s="42" t="s">
        <v>139</v>
      </c>
      <c r="E17" s="46"/>
      <c r="F17" s="53"/>
      <c r="G17" s="21"/>
      <c r="H17" s="53"/>
      <c r="I17" s="21"/>
      <c r="J17" s="53"/>
      <c r="K17" s="21"/>
      <c r="L17" s="53"/>
      <c r="M17" s="21"/>
      <c r="N17" s="53"/>
      <c r="O17" s="21"/>
      <c r="P17" s="53"/>
      <c r="Q17" s="21"/>
      <c r="W17" s="21"/>
    </row>
    <row r="18" spans="2:23" s="38" customFormat="1" ht="12.75">
      <c r="B18" s="42" t="s">
        <v>140</v>
      </c>
      <c r="C18" s="42"/>
      <c r="D18" s="42" t="s">
        <v>139</v>
      </c>
      <c r="E18" s="46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W18" s="21"/>
    </row>
    <row r="19" spans="2:23" s="38" customFormat="1" ht="12.75">
      <c r="B19" s="42"/>
      <c r="C19" s="42"/>
      <c r="D19" s="42"/>
      <c r="E19" s="4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W19" s="21"/>
    </row>
    <row r="20" spans="2:23" s="38" customFormat="1" ht="12.75">
      <c r="B20" s="61" t="s">
        <v>235</v>
      </c>
      <c r="C20" s="42"/>
      <c r="D20" s="4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W20" s="21"/>
    </row>
    <row r="21" spans="2:30" s="38" customFormat="1" ht="12.75">
      <c r="B21" s="42" t="s">
        <v>19</v>
      </c>
      <c r="C21" s="42"/>
      <c r="D21" s="42" t="s">
        <v>31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51">
        <f>X11*454/60/0.0283*14/(21-X15)*1000000/X14</f>
        <v>4346192.809744701</v>
      </c>
      <c r="Z21" s="51">
        <f>Z11*454/60/0.0283*14/(21-Z15)*1000000/Z14</f>
        <v>4162809.146886275</v>
      </c>
      <c r="AB21" s="51">
        <f>AB11*454/60/0.0283*14/(21-AB15)*1000000/AB14</f>
        <v>4219244.674115076</v>
      </c>
      <c r="AD21" s="51">
        <f>AVERAGE(X21,Z21,AB21)</f>
        <v>4242748.876915351</v>
      </c>
    </row>
    <row r="22" spans="2:30" s="38" customFormat="1" ht="12.75">
      <c r="B22" s="42" t="s">
        <v>40</v>
      </c>
      <c r="C22" s="42"/>
      <c r="D22" s="42" t="s">
        <v>45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51">
        <f>X12*454*1000/0.0283/60*14/(21-X15)/X14</f>
        <v>3429.27449545257</v>
      </c>
      <c r="Z22" s="51">
        <f>Z12*454*1000/0.0283/60*14/(21-Z15)/Z14</f>
        <v>3484.289594310098</v>
      </c>
      <c r="AB22" s="51">
        <f>AB12*454*1000/0.0283/60*14/(21-AB15)/AB14</f>
        <v>3173.448985659202</v>
      </c>
      <c r="AD22" s="51">
        <f>AVERAGE(X22,Z22,AB22)</f>
        <v>3362.33769180729</v>
      </c>
    </row>
    <row r="23" spans="2:23" s="38" customFormat="1" ht="12.75">
      <c r="B23" s="42"/>
      <c r="C23" s="42"/>
      <c r="D23" s="4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W23" s="21"/>
    </row>
    <row r="24" spans="2:23" s="38" customFormat="1" ht="12.75">
      <c r="B24" s="42"/>
      <c r="C24" s="42"/>
      <c r="D24" s="4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W24" s="21"/>
    </row>
    <row r="25" spans="1:30" s="38" customFormat="1" ht="12.75">
      <c r="A25" s="38" t="s">
        <v>229</v>
      </c>
      <c r="B25" s="57" t="s">
        <v>158</v>
      </c>
      <c r="C25" s="57"/>
      <c r="D25" s="42"/>
      <c r="F25" s="46" t="s">
        <v>1</v>
      </c>
      <c r="G25" s="46"/>
      <c r="H25" s="46" t="s">
        <v>3</v>
      </c>
      <c r="I25" s="46"/>
      <c r="J25" s="46" t="s">
        <v>16</v>
      </c>
      <c r="L25" s="46" t="s">
        <v>1</v>
      </c>
      <c r="M25" s="46"/>
      <c r="N25" s="46" t="s">
        <v>3</v>
      </c>
      <c r="O25" s="46"/>
      <c r="P25" s="46" t="s">
        <v>16</v>
      </c>
      <c r="R25" s="46" t="s">
        <v>1</v>
      </c>
      <c r="S25" s="46"/>
      <c r="T25" s="46" t="s">
        <v>3</v>
      </c>
      <c r="U25" s="46"/>
      <c r="V25" s="46" t="s">
        <v>16</v>
      </c>
      <c r="X25" s="46" t="s">
        <v>1</v>
      </c>
      <c r="Y25" s="46"/>
      <c r="Z25" s="46" t="s">
        <v>3</v>
      </c>
      <c r="AA25" s="46"/>
      <c r="AB25" s="46" t="s">
        <v>16</v>
      </c>
      <c r="AC25" s="46"/>
      <c r="AD25" s="46" t="s">
        <v>32</v>
      </c>
    </row>
    <row r="26" spans="2:23" s="38" customFormat="1" ht="12.75">
      <c r="B26" s="42"/>
      <c r="C26" s="42"/>
      <c r="D26" s="42"/>
      <c r="F26" s="46"/>
      <c r="G26" s="46"/>
      <c r="H26" s="46"/>
      <c r="I26" s="46"/>
      <c r="J26" s="46"/>
      <c r="K26" s="46"/>
      <c r="Q26" s="58"/>
      <c r="W26" s="58"/>
    </row>
    <row r="27" spans="2:30" s="59" customFormat="1" ht="38.25">
      <c r="B27" s="59" t="s">
        <v>124</v>
      </c>
      <c r="E27" s="60"/>
      <c r="F27" s="60" t="s">
        <v>238</v>
      </c>
      <c r="G27" s="60"/>
      <c r="H27" s="60" t="s">
        <v>238</v>
      </c>
      <c r="I27" s="60"/>
      <c r="J27" s="60" t="s">
        <v>238</v>
      </c>
      <c r="K27" s="60"/>
      <c r="L27" s="60" t="s">
        <v>239</v>
      </c>
      <c r="M27" s="60"/>
      <c r="N27" s="60" t="s">
        <v>239</v>
      </c>
      <c r="O27" s="60"/>
      <c r="P27" s="60" t="s">
        <v>239</v>
      </c>
      <c r="Q27" s="60"/>
      <c r="R27" s="59" t="s">
        <v>128</v>
      </c>
      <c r="T27" s="59" t="s">
        <v>128</v>
      </c>
      <c r="V27" s="59" t="s">
        <v>128</v>
      </c>
      <c r="W27" s="60"/>
      <c r="X27" s="59" t="s">
        <v>42</v>
      </c>
      <c r="Z27" s="59" t="s">
        <v>42</v>
      </c>
      <c r="AB27" s="59" t="s">
        <v>42</v>
      </c>
      <c r="AD27" s="59" t="s">
        <v>42</v>
      </c>
    </row>
    <row r="28" spans="2:30" s="59" customFormat="1" ht="12.75">
      <c r="B28" s="59" t="s">
        <v>136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W28" s="60"/>
      <c r="X28" s="59" t="s">
        <v>42</v>
      </c>
      <c r="Z28" s="59" t="s">
        <v>42</v>
      </c>
      <c r="AB28" s="59" t="s">
        <v>42</v>
      </c>
      <c r="AD28" s="59" t="s">
        <v>42</v>
      </c>
    </row>
    <row r="29" spans="2:30" s="38" customFormat="1" ht="12.75">
      <c r="B29" s="42" t="s">
        <v>230</v>
      </c>
      <c r="C29" s="42"/>
      <c r="D29" s="42" t="s">
        <v>35</v>
      </c>
      <c r="E29" s="21"/>
      <c r="F29" s="21">
        <v>2160</v>
      </c>
      <c r="G29" s="21"/>
      <c r="H29" s="21">
        <v>2160</v>
      </c>
      <c r="I29" s="21"/>
      <c r="J29" s="21">
        <v>2130</v>
      </c>
      <c r="K29" s="21"/>
      <c r="L29" s="21">
        <v>1899</v>
      </c>
      <c r="M29" s="21"/>
      <c r="N29" s="21">
        <v>1929</v>
      </c>
      <c r="O29" s="21"/>
      <c r="P29" s="21">
        <v>1929</v>
      </c>
      <c r="Q29" s="21"/>
      <c r="R29" s="21">
        <v>8733</v>
      </c>
      <c r="S29" s="21"/>
      <c r="T29" s="21">
        <v>8673</v>
      </c>
      <c r="U29" s="21"/>
      <c r="V29" s="21">
        <v>8807</v>
      </c>
      <c r="W29" s="21"/>
      <c r="X29" s="21">
        <f>R29+L29+F29</f>
        <v>12792</v>
      </c>
      <c r="Y29" s="21"/>
      <c r="Z29" s="21">
        <f>T29+N29+H29</f>
        <v>12762</v>
      </c>
      <c r="AA29" s="21"/>
      <c r="AB29" s="21">
        <f>V29+P29+J29</f>
        <v>12866</v>
      </c>
      <c r="AC29" s="21"/>
      <c r="AD29" s="21">
        <f>AVERAGE(X29,Z29,AB29)</f>
        <v>12806.666666666666</v>
      </c>
    </row>
    <row r="30" spans="2:30" s="38" customFormat="1" ht="12.75">
      <c r="B30" s="42" t="s">
        <v>231</v>
      </c>
      <c r="C30" s="42"/>
      <c r="D30" s="42" t="s">
        <v>232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8" customFormat="1" ht="12.75">
      <c r="B31" s="42" t="s">
        <v>19</v>
      </c>
      <c r="C31" s="42"/>
      <c r="D31" s="42" t="s">
        <v>35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231</v>
      </c>
      <c r="Y31" s="21"/>
      <c r="Z31" s="21">
        <v>231</v>
      </c>
      <c r="AA31" s="21"/>
      <c r="AB31" s="21">
        <v>229</v>
      </c>
      <c r="AC31" s="21"/>
      <c r="AD31" s="21"/>
    </row>
    <row r="32" spans="2:30" s="38" customFormat="1" ht="12.75">
      <c r="B32" s="42" t="s">
        <v>40</v>
      </c>
      <c r="C32" s="42"/>
      <c r="D32" s="42" t="s">
        <v>35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466</v>
      </c>
      <c r="Y32" s="21"/>
      <c r="Z32" s="21">
        <v>465</v>
      </c>
      <c r="AA32" s="21"/>
      <c r="AB32" s="21">
        <v>450</v>
      </c>
      <c r="AC32" s="21"/>
      <c r="AD32" s="21"/>
    </row>
    <row r="33" spans="2:30" s="38" customFormat="1" ht="12.75">
      <c r="B33" s="42" t="s">
        <v>172</v>
      </c>
      <c r="C33" s="42"/>
      <c r="D33" s="42" t="s">
        <v>240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832</v>
      </c>
      <c r="Y33" s="21"/>
      <c r="Z33" s="21">
        <v>739</v>
      </c>
      <c r="AA33" s="21"/>
      <c r="AB33" s="21">
        <v>650</v>
      </c>
      <c r="AC33" s="21"/>
      <c r="AD33" s="21"/>
    </row>
    <row r="34" spans="2:30" s="38" customFormat="1" ht="12.75">
      <c r="B34" s="42" t="s">
        <v>5</v>
      </c>
      <c r="C34" s="42"/>
      <c r="D34" s="42" t="s">
        <v>240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40</v>
      </c>
      <c r="Y34" s="21"/>
      <c r="Z34" s="21">
        <v>39</v>
      </c>
      <c r="AA34" s="21"/>
      <c r="AB34" s="21">
        <v>39</v>
      </c>
      <c r="AC34" s="21"/>
      <c r="AD34" s="21"/>
    </row>
    <row r="35" spans="2:30" s="38" customFormat="1" ht="12.75">
      <c r="B35" s="42" t="s">
        <v>6</v>
      </c>
      <c r="C35" s="42"/>
      <c r="D35" s="42" t="s">
        <v>240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503</v>
      </c>
      <c r="Y35" s="21"/>
      <c r="Z35" s="21">
        <v>494</v>
      </c>
      <c r="AA35" s="21"/>
      <c r="AB35" s="21">
        <v>485</v>
      </c>
      <c r="AC35" s="21"/>
      <c r="AD35" s="21"/>
    </row>
    <row r="36" spans="2:30" s="38" customFormat="1" ht="12.75">
      <c r="B36" s="42" t="s">
        <v>7</v>
      </c>
      <c r="C36" s="42"/>
      <c r="D36" s="42" t="s">
        <v>240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>
        <v>10</v>
      </c>
      <c r="Y36" s="21"/>
      <c r="Z36" s="21">
        <v>10</v>
      </c>
      <c r="AA36" s="21"/>
      <c r="AB36" s="21">
        <v>10</v>
      </c>
      <c r="AC36" s="21"/>
      <c r="AD36" s="21"/>
    </row>
    <row r="37" spans="2:30" s="38" customFormat="1" ht="12.75">
      <c r="B37" s="42" t="s">
        <v>8</v>
      </c>
      <c r="C37" s="42"/>
      <c r="D37" s="42" t="s">
        <v>240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20</v>
      </c>
      <c r="Y37" s="21"/>
      <c r="Z37" s="21">
        <v>20</v>
      </c>
      <c r="AA37" s="21"/>
      <c r="AB37" s="21">
        <v>20</v>
      </c>
      <c r="AC37" s="21"/>
      <c r="AD37" s="21"/>
    </row>
    <row r="38" spans="2:30" s="38" customFormat="1" ht="12.75">
      <c r="B38" s="42" t="s">
        <v>9</v>
      </c>
      <c r="C38" s="42"/>
      <c r="D38" s="42" t="s">
        <v>240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>
        <v>390</v>
      </c>
      <c r="Y38" s="21"/>
      <c r="Z38" s="21">
        <v>388</v>
      </c>
      <c r="AA38" s="21"/>
      <c r="AB38" s="21">
        <v>317</v>
      </c>
      <c r="AC38" s="21"/>
      <c r="AD38" s="21"/>
    </row>
    <row r="39" spans="2:30" s="38" customFormat="1" ht="12.75">
      <c r="B39" s="42" t="s">
        <v>173</v>
      </c>
      <c r="C39" s="42"/>
      <c r="D39" s="42" t="s">
        <v>240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v>14</v>
      </c>
      <c r="Y39" s="21"/>
      <c r="Z39" s="21">
        <v>13</v>
      </c>
      <c r="AA39" s="21"/>
      <c r="AB39" s="21">
        <v>12</v>
      </c>
      <c r="AC39" s="21"/>
      <c r="AD39" s="21"/>
    </row>
    <row r="40" spans="2:30" s="38" customFormat="1" ht="12.75">
      <c r="B40" s="42" t="s">
        <v>227</v>
      </c>
      <c r="C40" s="42"/>
      <c r="D40" s="42" t="s">
        <v>240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>
        <v>6899</v>
      </c>
      <c r="Y40" s="21"/>
      <c r="Z40" s="21">
        <v>6064</v>
      </c>
      <c r="AA40" s="21"/>
      <c r="AB40" s="21">
        <v>5481</v>
      </c>
      <c r="AC40" s="21"/>
      <c r="AD40" s="21"/>
    </row>
    <row r="41" spans="2:30" s="38" customFormat="1" ht="12.75">
      <c r="B41" s="42" t="s">
        <v>10</v>
      </c>
      <c r="C41" s="42"/>
      <c r="D41" s="42" t="s">
        <v>240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>
        <v>154</v>
      </c>
      <c r="Y41" s="21"/>
      <c r="Z41" s="21">
        <v>153</v>
      </c>
      <c r="AA41" s="21"/>
      <c r="AB41" s="21">
        <v>153</v>
      </c>
      <c r="AC41" s="21"/>
      <c r="AD41" s="21"/>
    </row>
    <row r="42" spans="2:30" s="38" customFormat="1" ht="12.75">
      <c r="B42" s="42" t="s">
        <v>11</v>
      </c>
      <c r="C42" s="42"/>
      <c r="D42" s="42" t="s">
        <v>240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>
        <v>0.15</v>
      </c>
      <c r="Y42" s="21"/>
      <c r="Z42" s="21">
        <v>0.09</v>
      </c>
      <c r="AA42" s="21"/>
      <c r="AB42" s="21">
        <v>0.08</v>
      </c>
      <c r="AC42" s="21"/>
      <c r="AD42" s="21"/>
    </row>
    <row r="43" spans="2:30" s="38" customFormat="1" ht="12.75">
      <c r="B43" s="42" t="s">
        <v>12</v>
      </c>
      <c r="C43" s="42"/>
      <c r="D43" s="42" t="s">
        <v>240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170</v>
      </c>
      <c r="Y43" s="21"/>
      <c r="Z43" s="21">
        <v>167</v>
      </c>
      <c r="AA43" s="21"/>
      <c r="AB43" s="21">
        <v>166</v>
      </c>
      <c r="AC43" s="21"/>
      <c r="AD43" s="21"/>
    </row>
    <row r="44" spans="2:30" s="38" customFormat="1" ht="12.75">
      <c r="B44" s="42" t="s">
        <v>174</v>
      </c>
      <c r="C44" s="42"/>
      <c r="D44" s="42" t="s">
        <v>240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>
        <v>151</v>
      </c>
      <c r="Y44" s="21"/>
      <c r="Z44" s="21">
        <v>133</v>
      </c>
      <c r="AA44" s="21"/>
      <c r="AB44" s="21">
        <v>122</v>
      </c>
      <c r="AC44" s="21"/>
      <c r="AD44" s="21"/>
    </row>
    <row r="45" spans="2:30" s="38" customFormat="1" ht="12.75">
      <c r="B45" s="42"/>
      <c r="C45" s="42"/>
      <c r="D45" s="4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8" customFormat="1" ht="12.75">
      <c r="B46" s="42" t="s">
        <v>233</v>
      </c>
      <c r="C46" s="42"/>
      <c r="D46" s="42" t="s">
        <v>105</v>
      </c>
      <c r="E46" s="4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>
        <f>'emiss 1'!G48</f>
        <v>14400</v>
      </c>
      <c r="Y46" s="21"/>
      <c r="Z46" s="21">
        <f>'emiss 1'!I48</f>
        <v>14500</v>
      </c>
      <c r="AA46" s="21"/>
      <c r="AB46" s="21">
        <f>'emiss 1'!K48</f>
        <v>14800</v>
      </c>
      <c r="AC46" s="21"/>
      <c r="AD46" s="21"/>
    </row>
    <row r="47" spans="2:30" s="38" customFormat="1" ht="12.75">
      <c r="B47" s="42" t="s">
        <v>27</v>
      </c>
      <c r="C47" s="42"/>
      <c r="D47" s="42" t="s">
        <v>57</v>
      </c>
      <c r="E47" s="4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f>'emiss 1'!G49</f>
        <v>6.7</v>
      </c>
      <c r="Y47" s="21"/>
      <c r="Z47" s="21">
        <f>'emiss 1'!I49</f>
        <v>7.1</v>
      </c>
      <c r="AA47" s="21"/>
      <c r="AB47" s="21">
        <f>'emiss 1'!K49</f>
        <v>7.4</v>
      </c>
      <c r="AC47" s="21"/>
      <c r="AD47" s="21"/>
    </row>
    <row r="48" spans="2:30" s="38" customFormat="1" ht="12.75">
      <c r="B48" s="42"/>
      <c r="C48" s="42"/>
      <c r="D48" s="42"/>
      <c r="E48" s="46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8" customFormat="1" ht="12.75">
      <c r="B49" s="42" t="s">
        <v>234</v>
      </c>
      <c r="C49" s="42"/>
      <c r="D49" s="42" t="s">
        <v>139</v>
      </c>
      <c r="E49" s="46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8" customFormat="1" ht="12.75">
      <c r="B50" s="42" t="s">
        <v>140</v>
      </c>
      <c r="C50" s="42"/>
      <c r="D50" s="42" t="s">
        <v>139</v>
      </c>
      <c r="E50" s="4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23" s="38" customFormat="1" ht="12.75">
      <c r="B51" s="42"/>
      <c r="C51" s="42"/>
      <c r="D51" s="42"/>
      <c r="E51" s="4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W51" s="21"/>
    </row>
    <row r="52" spans="2:23" s="38" customFormat="1" ht="12.75">
      <c r="B52" s="61" t="s">
        <v>235</v>
      </c>
      <c r="C52" s="42"/>
      <c r="D52" s="4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W52" s="21"/>
    </row>
    <row r="53" spans="2:30" s="38" customFormat="1" ht="12.75">
      <c r="B53" s="42" t="s">
        <v>19</v>
      </c>
      <c r="C53" s="42"/>
      <c r="D53" s="42" t="s">
        <v>31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51">
        <f>X31*454/60/0.0283*14/(21-X47)*1000000/X46</f>
        <v>4199133.218567847</v>
      </c>
      <c r="Z53" s="51">
        <f>Z31*454/60/0.0283*14/(21-Z47)*1000000/Z46</f>
        <v>4290178.677090009</v>
      </c>
      <c r="AB53" s="51">
        <f>AB31*454/60/0.0283*14/(21-AB47)*1000000/AB46</f>
        <v>4258739.356691965</v>
      </c>
      <c r="AD53" s="51">
        <f>AVERAGE(X53,Z53,AB53)</f>
        <v>4249350.41744994</v>
      </c>
    </row>
    <row r="54" spans="2:30" s="38" customFormat="1" ht="12.75">
      <c r="B54" s="42" t="s">
        <v>40</v>
      </c>
      <c r="C54" s="42"/>
      <c r="D54" s="42" t="s">
        <v>45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51">
        <f>X32*454*1000/0.0283/60*14/(21-X47)/X46</f>
        <v>8470.978700660678</v>
      </c>
      <c r="Z54" s="51">
        <f>Z32*454*1000/0.0283/60*14/(21-Z47)/Z46</f>
        <v>8636.073960375992</v>
      </c>
      <c r="AB54" s="51">
        <f>AB32*454*1000/0.0283/60*14/(21-AB47)/AB46</f>
        <v>8368.701792626134</v>
      </c>
      <c r="AD54" s="51">
        <f>AVERAGE(X54,Z54,AB54)</f>
        <v>8491.918151220934</v>
      </c>
    </row>
    <row r="55" spans="2:30" s="38" customFormat="1" ht="12.75">
      <c r="B55" s="42" t="s">
        <v>172</v>
      </c>
      <c r="C55" s="42"/>
      <c r="D55" s="42" t="s">
        <v>31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64">
        <f>X33*1000000/60/0.0283*14/(21-X$47)/X$46</f>
        <v>33313.10751805451</v>
      </c>
      <c r="Y55" s="21"/>
      <c r="Z55" s="64">
        <f>Z33*1000000/60/0.0283*14/(21-Z$47)/Z$46</f>
        <v>30230.963273733392</v>
      </c>
      <c r="AA55" s="21"/>
      <c r="AB55" s="64">
        <f aca="true" t="shared" si="0" ref="AB55:AB66">AB33*1000000/60/0.0283*14/(21-AB$47)/AB$46</f>
        <v>26625.825576147756</v>
      </c>
      <c r="AC55" s="21"/>
      <c r="AD55" s="51">
        <f aca="true" t="shared" si="1" ref="AD55:AD68">AVERAGE(X55,Z55,AB55)</f>
        <v>30056.632122645224</v>
      </c>
    </row>
    <row r="56" spans="2:30" s="38" customFormat="1" ht="12.75">
      <c r="B56" s="42" t="s">
        <v>5</v>
      </c>
      <c r="C56" s="42"/>
      <c r="D56" s="42" t="s">
        <v>31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64">
        <f aca="true" t="shared" si="2" ref="X56:Z66">X34*1000000/60/0.0283*14/(21-X$47)/X$46</f>
        <v>1601.5917075987745</v>
      </c>
      <c r="Y56" s="21"/>
      <c r="Z56" s="64">
        <f t="shared" si="2"/>
        <v>1595.409428519083</v>
      </c>
      <c r="AA56" s="21"/>
      <c r="AB56" s="64">
        <f t="shared" si="0"/>
        <v>1597.549534568865</v>
      </c>
      <c r="AC56" s="21"/>
      <c r="AD56" s="51">
        <f t="shared" si="1"/>
        <v>1598.1835568955742</v>
      </c>
    </row>
    <row r="57" spans="2:30" s="38" customFormat="1" ht="12.75">
      <c r="B57" s="42" t="s">
        <v>6</v>
      </c>
      <c r="C57" s="42"/>
      <c r="D57" s="42" t="s">
        <v>31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64">
        <f t="shared" si="2"/>
        <v>20140.015723054592</v>
      </c>
      <c r="Y57" s="21"/>
      <c r="Z57" s="64">
        <f t="shared" si="2"/>
        <v>20208.519427908388</v>
      </c>
      <c r="AA57" s="21"/>
      <c r="AB57" s="64">
        <f t="shared" si="0"/>
        <v>19866.96216066409</v>
      </c>
      <c r="AC57" s="21"/>
      <c r="AD57" s="51">
        <f t="shared" si="1"/>
        <v>20071.832437209025</v>
      </c>
    </row>
    <row r="58" spans="2:30" s="38" customFormat="1" ht="12.75">
      <c r="B58" s="42" t="s">
        <v>7</v>
      </c>
      <c r="C58" s="42"/>
      <c r="D58" s="42" t="s">
        <v>31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64">
        <f t="shared" si="2"/>
        <v>400.39792689969363</v>
      </c>
      <c r="Y58" s="21"/>
      <c r="Z58" s="64">
        <f t="shared" si="2"/>
        <v>409.0793406459187</v>
      </c>
      <c r="AA58" s="21"/>
      <c r="AB58" s="64">
        <f t="shared" si="0"/>
        <v>409.6280857868885</v>
      </c>
      <c r="AC58" s="21"/>
      <c r="AD58" s="51">
        <f t="shared" si="1"/>
        <v>406.3684511108336</v>
      </c>
    </row>
    <row r="59" spans="2:30" s="38" customFormat="1" ht="12.75">
      <c r="B59" s="42" t="s">
        <v>8</v>
      </c>
      <c r="C59" s="42"/>
      <c r="D59" s="42" t="s">
        <v>31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64">
        <f t="shared" si="2"/>
        <v>800.7958537993873</v>
      </c>
      <c r="Y59" s="21"/>
      <c r="Z59" s="64">
        <f t="shared" si="2"/>
        <v>818.1586812918374</v>
      </c>
      <c r="AA59" s="21"/>
      <c r="AB59" s="64">
        <f t="shared" si="0"/>
        <v>819.256171573777</v>
      </c>
      <c r="AC59" s="21"/>
      <c r="AD59" s="51">
        <f t="shared" si="1"/>
        <v>812.7369022216672</v>
      </c>
    </row>
    <row r="60" spans="2:30" s="38" customFormat="1" ht="12.75">
      <c r="B60" s="42" t="s">
        <v>9</v>
      </c>
      <c r="C60" s="42"/>
      <c r="D60" s="42" t="s">
        <v>31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64">
        <f t="shared" si="2"/>
        <v>15615.519149088052</v>
      </c>
      <c r="Y60" s="21"/>
      <c r="Z60" s="64">
        <f t="shared" si="2"/>
        <v>15872.278417061649</v>
      </c>
      <c r="AA60" s="21"/>
      <c r="AB60" s="64">
        <f t="shared" si="0"/>
        <v>12985.210319444366</v>
      </c>
      <c r="AC60" s="21"/>
      <c r="AD60" s="51">
        <f t="shared" si="1"/>
        <v>14824.335961864688</v>
      </c>
    </row>
    <row r="61" spans="2:30" s="38" customFormat="1" ht="12.75">
      <c r="B61" s="42" t="s">
        <v>173</v>
      </c>
      <c r="C61" s="42"/>
      <c r="D61" s="42" t="s">
        <v>31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64">
        <f t="shared" si="2"/>
        <v>560.5570976595712</v>
      </c>
      <c r="Y61" s="21"/>
      <c r="Z61" s="64">
        <f t="shared" si="2"/>
        <v>531.8031428396944</v>
      </c>
      <c r="AA61" s="21"/>
      <c r="AB61" s="64">
        <f t="shared" si="0"/>
        <v>491.55370294426626</v>
      </c>
      <c r="AC61" s="21"/>
      <c r="AD61" s="51">
        <f t="shared" si="1"/>
        <v>527.9713144811773</v>
      </c>
    </row>
    <row r="62" spans="2:30" s="38" customFormat="1" ht="12.75">
      <c r="B62" s="42" t="s">
        <v>227</v>
      </c>
      <c r="C62" s="42"/>
      <c r="D62" s="42" t="s">
        <v>31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64">
        <f t="shared" si="2"/>
        <v>276234.52976809867</v>
      </c>
      <c r="Y62" s="21"/>
      <c r="Z62" s="64">
        <f t="shared" si="2"/>
        <v>248065.71216768515</v>
      </c>
      <c r="AA62" s="21"/>
      <c r="AB62" s="64">
        <f t="shared" si="0"/>
        <v>224517.15381979363</v>
      </c>
      <c r="AC62" s="21"/>
      <c r="AD62" s="51">
        <f t="shared" si="1"/>
        <v>249605.79858519245</v>
      </c>
    </row>
    <row r="63" spans="2:30" s="38" customFormat="1" ht="12.75">
      <c r="B63" s="42" t="s">
        <v>10</v>
      </c>
      <c r="C63" s="42"/>
      <c r="D63" s="42" t="s">
        <v>31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64">
        <f t="shared" si="2"/>
        <v>6166.1280742552835</v>
      </c>
      <c r="Y63" s="21"/>
      <c r="Z63" s="64">
        <f t="shared" si="2"/>
        <v>6258.913911882557</v>
      </c>
      <c r="AA63" s="21"/>
      <c r="AB63" s="64">
        <f t="shared" si="0"/>
        <v>6267.309712539395</v>
      </c>
      <c r="AC63" s="21"/>
      <c r="AD63" s="51">
        <f t="shared" si="1"/>
        <v>6230.783899559078</v>
      </c>
    </row>
    <row r="64" spans="2:30" s="38" customFormat="1" ht="12.75">
      <c r="B64" s="42" t="s">
        <v>11</v>
      </c>
      <c r="C64" s="42"/>
      <c r="D64" s="42" t="s">
        <v>31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64">
        <f t="shared" si="2"/>
        <v>6.005968903495406</v>
      </c>
      <c r="Y64" s="21"/>
      <c r="Z64" s="64">
        <f t="shared" si="2"/>
        <v>3.681714065813269</v>
      </c>
      <c r="AA64" s="21"/>
      <c r="AB64" s="64">
        <f t="shared" si="0"/>
        <v>3.2770246862951082</v>
      </c>
      <c r="AC64" s="21"/>
      <c r="AD64" s="51">
        <f t="shared" si="1"/>
        <v>4.321569218534594</v>
      </c>
    </row>
    <row r="65" spans="2:30" s="38" customFormat="1" ht="12.75">
      <c r="B65" s="42" t="s">
        <v>12</v>
      </c>
      <c r="C65" s="42"/>
      <c r="D65" s="42" t="s">
        <v>31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64">
        <f t="shared" si="2"/>
        <v>6806.764757294793</v>
      </c>
      <c r="Y65" s="21"/>
      <c r="Z65" s="64">
        <f t="shared" si="2"/>
        <v>6831.6249887868435</v>
      </c>
      <c r="AA65" s="21"/>
      <c r="AB65" s="64">
        <f t="shared" si="0"/>
        <v>6799.82622406235</v>
      </c>
      <c r="AC65" s="21"/>
      <c r="AD65" s="51">
        <f t="shared" si="1"/>
        <v>6812.738656714663</v>
      </c>
    </row>
    <row r="66" spans="2:30" s="38" customFormat="1" ht="12.75">
      <c r="B66" s="42" t="s">
        <v>174</v>
      </c>
      <c r="C66" s="42"/>
      <c r="D66" s="42" t="s">
        <v>31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64">
        <f t="shared" si="2"/>
        <v>6046.008696185374</v>
      </c>
      <c r="Y66" s="21"/>
      <c r="Z66" s="64">
        <f t="shared" si="2"/>
        <v>5440.755230590719</v>
      </c>
      <c r="AA66" s="21"/>
      <c r="AB66" s="64">
        <f t="shared" si="0"/>
        <v>4997.46264660004</v>
      </c>
      <c r="AC66" s="21"/>
      <c r="AD66" s="51">
        <f t="shared" si="1"/>
        <v>5494.742191125378</v>
      </c>
    </row>
    <row r="67" spans="2:30" s="38" customFormat="1" ht="12.75">
      <c r="B67" s="42" t="s">
        <v>33</v>
      </c>
      <c r="C67" s="42"/>
      <c r="D67" s="42" t="s">
        <v>31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64">
        <f>X59+X62</f>
        <v>277035.32562189805</v>
      </c>
      <c r="Y67" s="21"/>
      <c r="Z67" s="64">
        <f>Z59+Z62</f>
        <v>248883.87084897698</v>
      </c>
      <c r="AA67" s="21"/>
      <c r="AB67" s="64">
        <f>AB59+AB62</f>
        <v>225336.4099913674</v>
      </c>
      <c r="AC67" s="21"/>
      <c r="AD67" s="51">
        <f t="shared" si="1"/>
        <v>250418.53548741413</v>
      </c>
    </row>
    <row r="68" spans="2:30" s="38" customFormat="1" ht="12.75">
      <c r="B68" s="42" t="s">
        <v>34</v>
      </c>
      <c r="C68" s="42"/>
      <c r="D68" s="42" t="s">
        <v>31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64">
        <f>X56+X58+X60</f>
        <v>17617.50878358652</v>
      </c>
      <c r="Y68" s="21"/>
      <c r="Z68" s="64">
        <f>Z56+Z58+Z60</f>
        <v>17876.76718622665</v>
      </c>
      <c r="AA68" s="21"/>
      <c r="AB68" s="64">
        <f>AB56+AB58+AB60</f>
        <v>14992.387939800119</v>
      </c>
      <c r="AC68" s="21"/>
      <c r="AD68" s="51">
        <f t="shared" si="1"/>
        <v>16828.887969871095</v>
      </c>
    </row>
    <row r="69" spans="2:7" s="38" customFormat="1" ht="12.75">
      <c r="B69" s="42"/>
      <c r="C69" s="42"/>
      <c r="D69" s="42"/>
      <c r="F69" s="63"/>
      <c r="G69" s="63"/>
    </row>
    <row r="70" spans="2:7" s="38" customFormat="1" ht="12.75">
      <c r="B70" s="42"/>
      <c r="C70" s="42"/>
      <c r="D70" s="42"/>
      <c r="F70" s="63"/>
      <c r="G70" s="63"/>
    </row>
    <row r="71" spans="1:30" s="38" customFormat="1" ht="12.75">
      <c r="A71" s="38" t="s">
        <v>229</v>
      </c>
      <c r="B71" s="57" t="s">
        <v>161</v>
      </c>
      <c r="C71" s="57"/>
      <c r="D71" s="42"/>
      <c r="F71" s="46" t="s">
        <v>1</v>
      </c>
      <c r="G71" s="46"/>
      <c r="H71" s="46" t="s">
        <v>3</v>
      </c>
      <c r="I71" s="46"/>
      <c r="J71" s="46" t="s">
        <v>16</v>
      </c>
      <c r="L71" s="46" t="s">
        <v>1</v>
      </c>
      <c r="M71" s="46"/>
      <c r="N71" s="46" t="s">
        <v>3</v>
      </c>
      <c r="O71" s="46"/>
      <c r="P71" s="46" t="s">
        <v>16</v>
      </c>
      <c r="R71" s="46" t="s">
        <v>1</v>
      </c>
      <c r="S71" s="46"/>
      <c r="T71" s="46" t="s">
        <v>3</v>
      </c>
      <c r="U71" s="46"/>
      <c r="V71" s="46" t="s">
        <v>16</v>
      </c>
      <c r="X71" s="46" t="s">
        <v>1</v>
      </c>
      <c r="Y71" s="46"/>
      <c r="Z71" s="46" t="s">
        <v>3</v>
      </c>
      <c r="AA71" s="46"/>
      <c r="AB71" s="46" t="s">
        <v>16</v>
      </c>
      <c r="AC71" s="46"/>
      <c r="AD71" s="46" t="s">
        <v>32</v>
      </c>
    </row>
    <row r="72" spans="2:23" s="38" customFormat="1" ht="12.75">
      <c r="B72" s="42"/>
      <c r="C72" s="42"/>
      <c r="D72" s="42"/>
      <c r="F72" s="46"/>
      <c r="G72" s="46"/>
      <c r="H72" s="46"/>
      <c r="I72" s="46"/>
      <c r="J72" s="46"/>
      <c r="K72" s="46"/>
      <c r="Q72" s="58"/>
      <c r="W72" s="58"/>
    </row>
    <row r="73" spans="2:30" s="59" customFormat="1" ht="38.25">
      <c r="B73" s="59" t="s">
        <v>124</v>
      </c>
      <c r="E73" s="60"/>
      <c r="F73" s="60" t="s">
        <v>238</v>
      </c>
      <c r="G73" s="60"/>
      <c r="H73" s="60" t="s">
        <v>238</v>
      </c>
      <c r="I73" s="60"/>
      <c r="J73" s="60" t="s">
        <v>238</v>
      </c>
      <c r="K73" s="60"/>
      <c r="L73" s="60" t="s">
        <v>239</v>
      </c>
      <c r="M73" s="60"/>
      <c r="N73" s="60" t="s">
        <v>239</v>
      </c>
      <c r="O73" s="60"/>
      <c r="P73" s="60" t="s">
        <v>239</v>
      </c>
      <c r="Q73" s="60"/>
      <c r="R73" s="59" t="s">
        <v>128</v>
      </c>
      <c r="T73" s="59" t="s">
        <v>128</v>
      </c>
      <c r="V73" s="59" t="s">
        <v>128</v>
      </c>
      <c r="W73" s="60"/>
      <c r="X73" s="59" t="s">
        <v>42</v>
      </c>
      <c r="Z73" s="59" t="s">
        <v>42</v>
      </c>
      <c r="AB73" s="59" t="s">
        <v>42</v>
      </c>
      <c r="AD73" s="59" t="s">
        <v>42</v>
      </c>
    </row>
    <row r="74" spans="2:30" s="59" customFormat="1" ht="12.75">
      <c r="B74" s="59" t="s">
        <v>136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9" t="s">
        <v>42</v>
      </c>
      <c r="T74" s="59" t="s">
        <v>42</v>
      </c>
      <c r="V74" s="59" t="s">
        <v>42</v>
      </c>
      <c r="W74" s="60"/>
      <c r="X74" s="59" t="s">
        <v>42</v>
      </c>
      <c r="Z74" s="59" t="s">
        <v>42</v>
      </c>
      <c r="AB74" s="59" t="s">
        <v>42</v>
      </c>
      <c r="AD74" s="59" t="s">
        <v>42</v>
      </c>
    </row>
    <row r="75" spans="2:30" s="38" customFormat="1" ht="12.75">
      <c r="B75" s="42" t="s">
        <v>230</v>
      </c>
      <c r="C75" s="42"/>
      <c r="D75" s="42" t="s">
        <v>35</v>
      </c>
      <c r="E75" s="21"/>
      <c r="F75" s="21">
        <v>2160</v>
      </c>
      <c r="G75" s="21"/>
      <c r="H75" s="21">
        <v>2160</v>
      </c>
      <c r="I75" s="21"/>
      <c r="J75" s="21">
        <v>2160</v>
      </c>
      <c r="K75" s="21"/>
      <c r="L75" s="21">
        <v>1140</v>
      </c>
      <c r="M75" s="21"/>
      <c r="N75" s="21">
        <v>1140</v>
      </c>
      <c r="O75" s="21"/>
      <c r="P75" s="21">
        <v>1140</v>
      </c>
      <c r="Q75" s="21"/>
      <c r="R75" s="21">
        <v>8880</v>
      </c>
      <c r="S75" s="21"/>
      <c r="T75" s="21">
        <v>9000</v>
      </c>
      <c r="U75" s="21"/>
      <c r="V75" s="21">
        <v>8940</v>
      </c>
      <c r="W75" s="21"/>
      <c r="X75" s="21">
        <f>R75+L75+F75</f>
        <v>12180</v>
      </c>
      <c r="Y75" s="21"/>
      <c r="Z75" s="21">
        <f>T75+N75+H75</f>
        <v>12300</v>
      </c>
      <c r="AA75" s="21"/>
      <c r="AB75" s="21">
        <f>V75+P75+J75</f>
        <v>12240</v>
      </c>
      <c r="AC75" s="21"/>
      <c r="AD75" s="21">
        <f>AVERAGE(X75,Z75,AB75)</f>
        <v>12240</v>
      </c>
    </row>
    <row r="76" spans="2:30" s="38" customFormat="1" ht="12.75">
      <c r="B76" s="42" t="s">
        <v>231</v>
      </c>
      <c r="C76" s="42"/>
      <c r="D76" s="42" t="s">
        <v>232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8" customFormat="1" ht="12.75">
      <c r="B77" s="42" t="s">
        <v>19</v>
      </c>
      <c r="C77" s="42"/>
      <c r="D77" s="42" t="s">
        <v>35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8" customFormat="1" ht="12.75">
      <c r="B78" s="42" t="s">
        <v>40</v>
      </c>
      <c r="C78" s="42"/>
      <c r="D78" s="42" t="s">
        <v>35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>
        <v>224</v>
      </c>
      <c r="Y78" s="21"/>
      <c r="Z78" s="21">
        <v>230</v>
      </c>
      <c r="AA78" s="21"/>
      <c r="AB78" s="21">
        <v>211</v>
      </c>
      <c r="AC78" s="21"/>
      <c r="AD78" s="21"/>
    </row>
    <row r="79" spans="2:23" s="38" customFormat="1" ht="12.75">
      <c r="B79" s="42"/>
      <c r="C79" s="42"/>
      <c r="D79" s="4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W79" s="21"/>
    </row>
    <row r="80" spans="2:30" s="38" customFormat="1" ht="12.75">
      <c r="B80" s="42" t="s">
        <v>233</v>
      </c>
      <c r="C80" s="42"/>
      <c r="D80" s="42" t="s">
        <v>105</v>
      </c>
      <c r="E80" s="46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f>'emiss 1'!G91</f>
        <v>15100</v>
      </c>
      <c r="Y80" s="21"/>
      <c r="Z80" s="21">
        <f>'emiss 1'!I91</f>
        <v>15500</v>
      </c>
      <c r="AA80" s="21"/>
      <c r="AB80" s="21">
        <f>'emiss 1'!K91</f>
        <v>14800</v>
      </c>
      <c r="AC80" s="21"/>
      <c r="AD80" s="21"/>
    </row>
    <row r="81" spans="2:30" s="38" customFormat="1" ht="12.75">
      <c r="B81" s="42" t="s">
        <v>27</v>
      </c>
      <c r="C81" s="42"/>
      <c r="D81" s="42" t="s">
        <v>57</v>
      </c>
      <c r="E81" s="46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>
        <f>'emiss 1'!G92</f>
        <v>7.9</v>
      </c>
      <c r="Y81" s="21"/>
      <c r="Z81" s="21">
        <f>'emiss 1'!I92</f>
        <v>7.9</v>
      </c>
      <c r="AA81" s="21"/>
      <c r="AB81" s="21">
        <f>'emiss 1'!K92</f>
        <v>7.6</v>
      </c>
      <c r="AC81" s="21"/>
      <c r="AD81" s="21"/>
    </row>
    <row r="82" spans="2:23" s="38" customFormat="1" ht="12.75">
      <c r="B82" s="42"/>
      <c r="C82" s="42"/>
      <c r="D82" s="42"/>
      <c r="E82" s="46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W82" s="21"/>
    </row>
    <row r="83" spans="2:23" s="38" customFormat="1" ht="12.75">
      <c r="B83" s="42" t="s">
        <v>234</v>
      </c>
      <c r="C83" s="42"/>
      <c r="D83" s="42" t="s">
        <v>139</v>
      </c>
      <c r="E83" s="46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W83" s="21"/>
    </row>
    <row r="84" spans="2:23" s="38" customFormat="1" ht="12.75">
      <c r="B84" s="42" t="s">
        <v>140</v>
      </c>
      <c r="C84" s="42"/>
      <c r="D84" s="42" t="s">
        <v>139</v>
      </c>
      <c r="E84" s="46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W84" s="21"/>
    </row>
    <row r="85" spans="2:23" s="38" customFormat="1" ht="12.75">
      <c r="B85" s="42"/>
      <c r="C85" s="42"/>
      <c r="D85" s="42"/>
      <c r="E85" s="46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W85" s="21"/>
    </row>
    <row r="86" spans="2:23" s="38" customFormat="1" ht="12.75">
      <c r="B86" s="61" t="s">
        <v>235</v>
      </c>
      <c r="C86" s="42"/>
      <c r="D86" s="4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W86" s="21"/>
    </row>
    <row r="87" spans="2:30" s="38" customFormat="1" ht="12.75">
      <c r="B87" s="42" t="s">
        <v>19</v>
      </c>
      <c r="C87" s="42"/>
      <c r="D87" s="42" t="s">
        <v>31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51"/>
      <c r="Z87" s="51"/>
      <c r="AB87" s="51"/>
      <c r="AD87" s="51"/>
    </row>
    <row r="88" spans="2:30" s="38" customFormat="1" ht="12.75">
      <c r="B88" s="42" t="s">
        <v>40</v>
      </c>
      <c r="C88" s="42"/>
      <c r="D88" s="42" t="s">
        <v>45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51">
        <f>X78*454*1000/0.0283/60*14/(21-X81)/X80</f>
        <v>4238.82979163656</v>
      </c>
      <c r="Z88" s="51">
        <f>Z78*454*1000/0.0283/60*14/(21-Z81)/Z80</f>
        <v>4240.050652751662</v>
      </c>
      <c r="AB88" s="51">
        <f>AB78*454*1000/0.0283/60*14/(21-AB81)/AB80</f>
        <v>3982.5583190912025</v>
      </c>
      <c r="AD88" s="51">
        <f>AVERAGE(X88,Z88,AB88)</f>
        <v>4153.812921159808</v>
      </c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68"/>
  <sheetViews>
    <sheetView workbookViewId="0" topLeftCell="B1">
      <selection activeCell="M11" sqref="M11"/>
    </sheetView>
  </sheetViews>
  <sheetFormatPr defaultColWidth="9.140625" defaultRowHeight="12.75"/>
  <cols>
    <col min="1" max="1" width="9.140625" style="6" hidden="1" customWidth="1"/>
    <col min="2" max="2" width="20.57421875" style="6" customWidth="1"/>
    <col min="3" max="3" width="4.421875" style="6" customWidth="1"/>
    <col min="4" max="4" width="8.8515625" style="6" customWidth="1"/>
    <col min="5" max="5" width="3.421875" style="6" customWidth="1"/>
    <col min="6" max="6" width="7.421875" style="6" customWidth="1"/>
    <col min="7" max="7" width="4.421875" style="6" customWidth="1"/>
    <col min="8" max="8" width="8.7109375" style="6" customWidth="1"/>
    <col min="9" max="9" width="4.00390625" style="6" customWidth="1"/>
    <col min="10" max="10" width="8.421875" style="6" customWidth="1"/>
    <col min="11" max="11" width="4.28125" style="6" customWidth="1"/>
    <col min="12" max="12" width="11.140625" style="6" customWidth="1"/>
    <col min="13" max="13" width="2.140625" style="6" customWidth="1"/>
    <col min="14" max="14" width="7.140625" style="6" customWidth="1"/>
    <col min="15" max="15" width="2.7109375" style="6" customWidth="1"/>
    <col min="16" max="16" width="7.140625" style="6" customWidth="1"/>
    <col min="17" max="17" width="2.140625" style="6" customWidth="1"/>
    <col min="18" max="18" width="7.00390625" style="6" customWidth="1"/>
    <col min="19" max="19" width="2.421875" style="6" customWidth="1"/>
    <col min="20" max="20" width="7.00390625" style="6" customWidth="1"/>
    <col min="21" max="21" width="6.00390625" style="6" customWidth="1"/>
    <col min="22" max="22" width="9.7109375" style="6" customWidth="1"/>
    <col min="23" max="23" width="3.28125" style="6" customWidth="1"/>
    <col min="24" max="24" width="10.7109375" style="6" customWidth="1"/>
    <col min="25" max="25" width="3.00390625" style="6" customWidth="1"/>
    <col min="26" max="26" width="9.8515625" style="6" customWidth="1"/>
    <col min="27" max="27" width="3.00390625" style="6" customWidth="1"/>
    <col min="28" max="28" width="9.8515625" style="6" customWidth="1"/>
    <col min="29" max="29" width="3.57421875" style="6" customWidth="1"/>
    <col min="30" max="30" width="9.7109375" style="6" customWidth="1"/>
    <col min="31" max="31" width="3.00390625" style="6" customWidth="1"/>
    <col min="32" max="32" width="9.00390625" style="6" customWidth="1"/>
    <col min="33" max="33" width="2.421875" style="6" customWidth="1"/>
    <col min="34" max="34" width="8.57421875" style="6" customWidth="1"/>
    <col min="35" max="35" width="3.140625" style="6" customWidth="1"/>
    <col min="36" max="36" width="8.00390625" style="6" customWidth="1"/>
    <col min="37" max="37" width="2.7109375" style="6" customWidth="1"/>
    <col min="38" max="38" width="9.140625" style="6" customWidth="1"/>
    <col min="39" max="39" width="4.421875" style="6" customWidth="1"/>
    <col min="40" max="40" width="9.57421875" style="6" bestFit="1" customWidth="1"/>
    <col min="41" max="41" width="3.7109375" style="6" customWidth="1"/>
    <col min="42" max="42" width="9.57421875" style="6" bestFit="1" customWidth="1"/>
    <col min="43" max="43" width="3.421875" style="6" customWidth="1"/>
    <col min="44" max="44" width="9.57421875" style="6" bestFit="1" customWidth="1"/>
    <col min="45" max="45" width="3.421875" style="6" customWidth="1"/>
    <col min="46" max="46" width="9.140625" style="6" customWidth="1"/>
    <col min="47" max="47" width="2.00390625" style="6" customWidth="1"/>
    <col min="48" max="48" width="9.140625" style="6" customWidth="1"/>
    <col min="49" max="49" width="3.8515625" style="6" customWidth="1"/>
    <col min="50" max="50" width="9.140625" style="6" customWidth="1"/>
    <col min="51" max="51" width="3.421875" style="6" customWidth="1"/>
    <col min="52" max="52" width="9.140625" style="6" customWidth="1"/>
    <col min="53" max="53" width="3.140625" style="6" customWidth="1"/>
    <col min="54" max="54" width="9.140625" style="6" customWidth="1"/>
    <col min="55" max="55" width="2.57421875" style="6" customWidth="1"/>
    <col min="56" max="16384" width="9.140625" style="6" customWidth="1"/>
  </cols>
  <sheetData>
    <row r="1" spans="2:3" ht="12.75">
      <c r="B1" s="9" t="s">
        <v>93</v>
      </c>
      <c r="C1" s="9"/>
    </row>
    <row r="4" spans="2:56" ht="12.75">
      <c r="B4" s="9" t="s">
        <v>0</v>
      </c>
      <c r="C4" s="9"/>
      <c r="F4" s="17" t="s">
        <v>1</v>
      </c>
      <c r="G4" s="17"/>
      <c r="H4" s="17" t="s">
        <v>3</v>
      </c>
      <c r="I4" s="17"/>
      <c r="J4" s="17" t="s">
        <v>16</v>
      </c>
      <c r="K4" s="17"/>
      <c r="L4" s="17" t="s">
        <v>17</v>
      </c>
      <c r="M4" s="17"/>
      <c r="N4" s="17" t="s">
        <v>1</v>
      </c>
      <c r="O4" s="17"/>
      <c r="P4" s="17" t="s">
        <v>3</v>
      </c>
      <c r="Q4" s="17"/>
      <c r="R4" s="17" t="s">
        <v>16</v>
      </c>
      <c r="S4" s="17"/>
      <c r="T4" s="17" t="s">
        <v>17</v>
      </c>
      <c r="U4" s="17"/>
      <c r="V4" s="17" t="s">
        <v>1</v>
      </c>
      <c r="W4" s="17"/>
      <c r="X4" s="17" t="s">
        <v>3</v>
      </c>
      <c r="Y4" s="17"/>
      <c r="Z4" s="17" t="s">
        <v>16</v>
      </c>
      <c r="AA4" s="17"/>
      <c r="AB4" s="17" t="s">
        <v>17</v>
      </c>
      <c r="AC4" s="17"/>
      <c r="AD4" s="17" t="s">
        <v>1</v>
      </c>
      <c r="AE4" s="17"/>
      <c r="AF4" s="17" t="s">
        <v>3</v>
      </c>
      <c r="AG4" s="17"/>
      <c r="AH4" s="17" t="s">
        <v>16</v>
      </c>
      <c r="AI4" s="17"/>
      <c r="AJ4" s="17" t="s">
        <v>17</v>
      </c>
      <c r="AK4" s="17"/>
      <c r="AL4" s="17" t="s">
        <v>1</v>
      </c>
      <c r="AM4" s="17"/>
      <c r="AN4" s="17" t="s">
        <v>3</v>
      </c>
      <c r="AO4" s="17"/>
      <c r="AP4" s="17" t="s">
        <v>16</v>
      </c>
      <c r="AQ4" s="17"/>
      <c r="AR4" s="17" t="s">
        <v>17</v>
      </c>
      <c r="AS4" s="17"/>
      <c r="AT4" s="17" t="s">
        <v>32</v>
      </c>
      <c r="AV4" s="17" t="s">
        <v>1</v>
      </c>
      <c r="AW4" s="17"/>
      <c r="AX4" s="17" t="s">
        <v>3</v>
      </c>
      <c r="AY4" s="17"/>
      <c r="AZ4" s="17" t="s">
        <v>16</v>
      </c>
      <c r="BA4" s="17"/>
      <c r="BB4" s="17" t="s">
        <v>17</v>
      </c>
      <c r="BC4" s="17"/>
      <c r="BD4" s="17"/>
    </row>
    <row r="5" spans="2:46" ht="12.75">
      <c r="B5" s="9"/>
      <c r="C5" s="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2:46" ht="12.75">
      <c r="B6" s="23" t="s">
        <v>125</v>
      </c>
      <c r="C6" s="23"/>
      <c r="F6" s="17" t="s">
        <v>127</v>
      </c>
      <c r="G6" s="17"/>
      <c r="H6" s="17" t="s">
        <v>127</v>
      </c>
      <c r="I6" s="17"/>
      <c r="J6" s="17" t="s">
        <v>127</v>
      </c>
      <c r="K6" s="17"/>
      <c r="L6" s="17" t="s">
        <v>127</v>
      </c>
      <c r="M6" s="17"/>
      <c r="N6" s="17" t="s">
        <v>129</v>
      </c>
      <c r="O6" s="17"/>
      <c r="P6" s="17" t="s">
        <v>129</v>
      </c>
      <c r="Q6" s="17"/>
      <c r="R6" s="17" t="s">
        <v>129</v>
      </c>
      <c r="S6" s="17"/>
      <c r="T6" s="17" t="s">
        <v>129</v>
      </c>
      <c r="U6" s="17"/>
      <c r="V6" s="17" t="s">
        <v>131</v>
      </c>
      <c r="W6" s="17"/>
      <c r="X6" s="17" t="s">
        <v>131</v>
      </c>
      <c r="Y6" s="17"/>
      <c r="Z6" s="17" t="s">
        <v>131</v>
      </c>
      <c r="AA6" s="17"/>
      <c r="AB6" s="17" t="s">
        <v>131</v>
      </c>
      <c r="AC6" s="17"/>
      <c r="AD6" s="17" t="s">
        <v>133</v>
      </c>
      <c r="AE6" s="17"/>
      <c r="AF6" s="17" t="s">
        <v>133</v>
      </c>
      <c r="AG6" s="17"/>
      <c r="AH6" s="17" t="s">
        <v>133</v>
      </c>
      <c r="AI6" s="17"/>
      <c r="AJ6" s="17" t="s">
        <v>133</v>
      </c>
      <c r="AK6" s="17"/>
      <c r="AL6" s="17" t="s">
        <v>135</v>
      </c>
      <c r="AM6" s="17"/>
      <c r="AN6" s="17" t="s">
        <v>135</v>
      </c>
      <c r="AO6" s="17"/>
      <c r="AP6" s="17" t="s">
        <v>135</v>
      </c>
      <c r="AQ6" s="17"/>
      <c r="AR6" s="17" t="s">
        <v>135</v>
      </c>
      <c r="AS6" s="17"/>
      <c r="AT6" s="17" t="s">
        <v>135</v>
      </c>
    </row>
    <row r="7" spans="2:46" ht="12.75">
      <c r="B7" s="23" t="s">
        <v>126</v>
      </c>
      <c r="C7" s="23"/>
      <c r="F7" s="6" t="s">
        <v>128</v>
      </c>
      <c r="H7" s="6" t="s">
        <v>128</v>
      </c>
      <c r="J7" s="6" t="s">
        <v>128</v>
      </c>
      <c r="L7" s="6" t="s">
        <v>128</v>
      </c>
      <c r="N7" s="6" t="s">
        <v>130</v>
      </c>
      <c r="P7" s="6" t="s">
        <v>130</v>
      </c>
      <c r="R7" s="6" t="s">
        <v>130</v>
      </c>
      <c r="T7" s="6" t="s">
        <v>130</v>
      </c>
      <c r="V7" s="6" t="s">
        <v>132</v>
      </c>
      <c r="X7" s="6" t="s">
        <v>132</v>
      </c>
      <c r="Z7" s="6" t="s">
        <v>132</v>
      </c>
      <c r="AB7" s="6" t="s">
        <v>132</v>
      </c>
      <c r="AD7" s="6" t="s">
        <v>134</v>
      </c>
      <c r="AF7" s="6" t="s">
        <v>134</v>
      </c>
      <c r="AH7" s="6" t="s">
        <v>134</v>
      </c>
      <c r="AJ7" s="6" t="s">
        <v>134</v>
      </c>
      <c r="AL7" s="6" t="s">
        <v>42</v>
      </c>
      <c r="AN7" s="6" t="s">
        <v>42</v>
      </c>
      <c r="AP7" s="6" t="s">
        <v>42</v>
      </c>
      <c r="AR7" s="6" t="s">
        <v>42</v>
      </c>
      <c r="AT7" s="6" t="s">
        <v>42</v>
      </c>
    </row>
    <row r="8" spans="2:54" ht="12.75">
      <c r="B8" s="23" t="s">
        <v>136</v>
      </c>
      <c r="C8" s="23"/>
      <c r="N8" s="6" t="s">
        <v>137</v>
      </c>
      <c r="P8" s="6" t="s">
        <v>137</v>
      </c>
      <c r="R8" s="6" t="s">
        <v>137</v>
      </c>
      <c r="T8" s="6" t="s">
        <v>137</v>
      </c>
      <c r="AD8" s="6" t="s">
        <v>134</v>
      </c>
      <c r="AF8" s="6" t="s">
        <v>134</v>
      </c>
      <c r="AH8" s="6" t="s">
        <v>134</v>
      </c>
      <c r="AJ8" s="6" t="s">
        <v>134</v>
      </c>
      <c r="AL8" s="6" t="s">
        <v>42</v>
      </c>
      <c r="AN8" s="6" t="s">
        <v>42</v>
      </c>
      <c r="AP8" s="6" t="s">
        <v>42</v>
      </c>
      <c r="AR8" s="6" t="s">
        <v>42</v>
      </c>
      <c r="AT8" s="6" t="s">
        <v>42</v>
      </c>
      <c r="AV8" s="6" t="s">
        <v>138</v>
      </c>
      <c r="AX8" s="6" t="s">
        <v>138</v>
      </c>
      <c r="AZ8" s="6" t="s">
        <v>138</v>
      </c>
      <c r="BB8" s="6" t="s">
        <v>138</v>
      </c>
    </row>
    <row r="9" spans="2:38" ht="12.75">
      <c r="B9" s="6" t="s">
        <v>124</v>
      </c>
      <c r="F9" s="6" t="s">
        <v>36</v>
      </c>
      <c r="N9" s="6" t="s">
        <v>37</v>
      </c>
      <c r="V9" s="6" t="s">
        <v>41</v>
      </c>
      <c r="AD9" s="6" t="s">
        <v>38</v>
      </c>
      <c r="AL9" s="6" t="s">
        <v>42</v>
      </c>
    </row>
    <row r="10" spans="1:36" ht="12.75">
      <c r="A10" s="6" t="s">
        <v>0</v>
      </c>
      <c r="B10" s="6" t="s">
        <v>2</v>
      </c>
      <c r="D10" s="6" t="s">
        <v>35</v>
      </c>
      <c r="E10" s="5"/>
      <c r="F10" s="5">
        <v>8856</v>
      </c>
      <c r="G10" s="5"/>
      <c r="H10" s="5">
        <v>8844</v>
      </c>
      <c r="I10" s="5"/>
      <c r="J10" s="5">
        <v>8820</v>
      </c>
      <c r="K10" s="5"/>
      <c r="L10" s="5">
        <v>8844</v>
      </c>
      <c r="M10" s="5"/>
      <c r="N10" s="5">
        <v>1116</v>
      </c>
      <c r="O10" s="5"/>
      <c r="P10" s="5">
        <v>1099</v>
      </c>
      <c r="Q10" s="5"/>
      <c r="R10" s="5">
        <v>1200</v>
      </c>
      <c r="S10" s="5"/>
      <c r="T10" s="5">
        <v>1209</v>
      </c>
      <c r="U10" s="5"/>
      <c r="V10" s="5">
        <v>2166</v>
      </c>
      <c r="W10" s="5"/>
      <c r="X10" s="5">
        <v>2160</v>
      </c>
      <c r="Y10" s="5"/>
      <c r="Z10" s="5">
        <v>2076</v>
      </c>
      <c r="AA10" s="5"/>
      <c r="AB10" s="5">
        <v>2166</v>
      </c>
      <c r="AC10" s="5"/>
      <c r="AD10" s="5"/>
      <c r="AE10" s="5"/>
      <c r="AF10" s="5">
        <v>0</v>
      </c>
      <c r="AG10" s="5"/>
      <c r="AH10" s="5">
        <v>0</v>
      </c>
      <c r="AI10" s="5"/>
      <c r="AJ10" s="5">
        <v>0</v>
      </c>
    </row>
    <row r="11" spans="2:44" ht="12.75">
      <c r="B11" s="6" t="s">
        <v>40</v>
      </c>
      <c r="D11" s="6" t="s">
        <v>35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L11" s="6">
        <v>499</v>
      </c>
      <c r="AN11" s="6">
        <v>387</v>
      </c>
      <c r="AP11" s="6">
        <v>407</v>
      </c>
      <c r="AR11" s="6">
        <v>410</v>
      </c>
    </row>
    <row r="12" spans="2:36" ht="12.75">
      <c r="B12" s="6" t="s">
        <v>19</v>
      </c>
      <c r="D12" s="6" t="s">
        <v>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227</v>
      </c>
      <c r="W12" s="5"/>
      <c r="X12" s="5">
        <v>227</v>
      </c>
      <c r="Y12" s="5"/>
      <c r="Z12" s="5">
        <v>218</v>
      </c>
      <c r="AA12" s="5"/>
      <c r="AB12" s="5">
        <v>227</v>
      </c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6" t="s">
        <v>0</v>
      </c>
      <c r="B13" s="6" t="s">
        <v>4</v>
      </c>
      <c r="D13" s="6" t="s">
        <v>35</v>
      </c>
      <c r="E13" s="5"/>
      <c r="F13" s="5"/>
      <c r="G13" s="5">
        <v>1</v>
      </c>
      <c r="H13" s="5">
        <v>0.08844</v>
      </c>
      <c r="I13" s="5">
        <v>1</v>
      </c>
      <c r="J13" s="5">
        <v>0.0882</v>
      </c>
      <c r="K13" s="5">
        <v>1</v>
      </c>
      <c r="L13" s="5">
        <v>0.08844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1</v>
      </c>
      <c r="X13" s="5">
        <v>0.0216</v>
      </c>
      <c r="Y13" s="5">
        <v>1</v>
      </c>
      <c r="Z13" s="5">
        <v>0.02076</v>
      </c>
      <c r="AA13" s="5">
        <v>1</v>
      </c>
      <c r="AB13" s="5">
        <v>0.02166</v>
      </c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6" t="s">
        <v>0</v>
      </c>
      <c r="B14" s="6" t="s">
        <v>5</v>
      </c>
      <c r="D14" s="6" t="s">
        <v>35</v>
      </c>
      <c r="E14" s="5"/>
      <c r="F14" s="5"/>
      <c r="G14" s="5"/>
      <c r="H14" s="5">
        <v>0.0212256</v>
      </c>
      <c r="I14" s="5"/>
      <c r="J14" s="5">
        <v>0.02205</v>
      </c>
      <c r="K14" s="5"/>
      <c r="L14" s="5">
        <v>0.0203412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1</v>
      </c>
      <c r="X14" s="5">
        <v>0.000648</v>
      </c>
      <c r="Y14" s="5">
        <v>1</v>
      </c>
      <c r="Z14" s="5">
        <v>0.0006228</v>
      </c>
      <c r="AA14" s="5">
        <v>1</v>
      </c>
      <c r="AB14" s="5">
        <v>0.0006498</v>
      </c>
      <c r="AC14" s="5"/>
      <c r="AD14" s="5"/>
      <c r="AE14" s="5"/>
      <c r="AF14" s="5">
        <v>0.132011448</v>
      </c>
      <c r="AG14" s="5"/>
      <c r="AH14" s="5">
        <v>0.131923264</v>
      </c>
      <c r="AI14" s="5"/>
      <c r="AJ14" s="5">
        <v>0.132011448</v>
      </c>
    </row>
    <row r="15" spans="1:36" ht="12.75">
      <c r="A15" s="6" t="s">
        <v>0</v>
      </c>
      <c r="B15" s="6" t="s">
        <v>6</v>
      </c>
      <c r="D15" s="6" t="s">
        <v>35</v>
      </c>
      <c r="E15" s="5"/>
      <c r="F15" s="5"/>
      <c r="G15" s="5"/>
      <c r="H15" s="5">
        <v>0.3113088</v>
      </c>
      <c r="I15" s="5"/>
      <c r="J15" s="5">
        <v>0.323694</v>
      </c>
      <c r="K15" s="5"/>
      <c r="L15" s="5">
        <v>0.291852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0.0002592</v>
      </c>
      <c r="Y15" s="5">
        <v>1</v>
      </c>
      <c r="Z15" s="5">
        <v>0.0004152</v>
      </c>
      <c r="AA15" s="5"/>
      <c r="AB15" s="5">
        <v>0.00017328</v>
      </c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6" t="s">
        <v>0</v>
      </c>
      <c r="B16" s="6" t="s">
        <v>7</v>
      </c>
      <c r="D16" s="6" t="s">
        <v>35</v>
      </c>
      <c r="E16" s="5"/>
      <c r="F16" s="5"/>
      <c r="G16" s="5"/>
      <c r="H16" s="5">
        <v>0.00592548</v>
      </c>
      <c r="I16" s="5"/>
      <c r="J16" s="5">
        <v>0.00441</v>
      </c>
      <c r="K16" s="5"/>
      <c r="L16" s="5">
        <v>0.00406824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5">
        <v>4.32E-05</v>
      </c>
      <c r="Y16" s="65"/>
      <c r="Z16" s="65">
        <v>4.152E-05</v>
      </c>
      <c r="AA16" s="5">
        <v>1</v>
      </c>
      <c r="AB16" s="5">
        <v>0.0001083</v>
      </c>
      <c r="AC16" s="5"/>
      <c r="AD16" s="5"/>
      <c r="AE16" s="5"/>
      <c r="AF16" s="5">
        <v>0.022001908</v>
      </c>
      <c r="AG16" s="5"/>
      <c r="AH16" s="5">
        <v>0.022001908</v>
      </c>
      <c r="AI16" s="5"/>
      <c r="AJ16" s="5">
        <v>0.022001908</v>
      </c>
    </row>
    <row r="17" spans="1:36" ht="12.75">
      <c r="A17" s="6" t="s">
        <v>0</v>
      </c>
      <c r="B17" s="6" t="s">
        <v>8</v>
      </c>
      <c r="D17" s="6" t="s">
        <v>35</v>
      </c>
      <c r="E17" s="5"/>
      <c r="F17" s="5"/>
      <c r="G17" s="5"/>
      <c r="H17" s="5">
        <v>0.00256476</v>
      </c>
      <c r="I17" s="5"/>
      <c r="J17" s="5">
        <v>0.000882</v>
      </c>
      <c r="K17" s="5"/>
      <c r="L17" s="5">
        <v>0.00106128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  <c r="X17" s="65">
        <v>4.32E-05</v>
      </c>
      <c r="Y17" s="11">
        <v>1</v>
      </c>
      <c r="Z17" s="65">
        <v>4.152E-05</v>
      </c>
      <c r="AA17" s="11">
        <v>1</v>
      </c>
      <c r="AB17" s="65">
        <v>4.332E-05</v>
      </c>
      <c r="AC17" s="5"/>
      <c r="AD17" s="5"/>
      <c r="AE17" s="5"/>
      <c r="AF17" s="5">
        <v>0.051719916</v>
      </c>
      <c r="AG17" s="5"/>
      <c r="AH17" s="5">
        <v>0.051675824</v>
      </c>
      <c r="AI17" s="5"/>
      <c r="AJ17" s="5">
        <v>0.051719916</v>
      </c>
    </row>
    <row r="18" spans="1:40" ht="12.75">
      <c r="A18" s="6" t="s">
        <v>0</v>
      </c>
      <c r="B18" s="6" t="s">
        <v>9</v>
      </c>
      <c r="D18" s="6" t="s">
        <v>35</v>
      </c>
      <c r="E18" s="5"/>
      <c r="F18" s="5"/>
      <c r="G18" s="5"/>
      <c r="H18" s="5">
        <v>0.1335444</v>
      </c>
      <c r="I18" s="5"/>
      <c r="J18" s="5">
        <v>0.14112</v>
      </c>
      <c r="K18" s="5"/>
      <c r="L18" s="5">
        <v>0.1317756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0.002592</v>
      </c>
      <c r="Y18" s="5"/>
      <c r="Z18" s="5">
        <v>0.0033216</v>
      </c>
      <c r="AA18" s="5"/>
      <c r="AB18" s="5">
        <v>0.0030324</v>
      </c>
      <c r="AC18" s="5"/>
      <c r="AD18" s="5"/>
      <c r="AE18" s="5"/>
      <c r="AF18" s="5">
        <v>0.915063322</v>
      </c>
      <c r="AG18" s="5"/>
      <c r="AH18" s="5">
        <v>0.914666494</v>
      </c>
      <c r="AI18" s="5"/>
      <c r="AJ18" s="5">
        <v>0.909199086</v>
      </c>
      <c r="AN18" s="6">
        <f>AF18+X18+H18</f>
        <v>1.051199722</v>
      </c>
    </row>
    <row r="19" spans="1:36" ht="12.75">
      <c r="A19" s="6" t="s">
        <v>0</v>
      </c>
      <c r="B19" s="6" t="s">
        <v>10</v>
      </c>
      <c r="D19" s="6" t="s">
        <v>35</v>
      </c>
      <c r="E19" s="5"/>
      <c r="F19" s="5"/>
      <c r="G19" s="5"/>
      <c r="H19" s="5">
        <v>0.0424512</v>
      </c>
      <c r="I19" s="5"/>
      <c r="J19" s="5">
        <v>0.029106</v>
      </c>
      <c r="K19" s="5"/>
      <c r="L19" s="5">
        <v>0.0159192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0.016416</v>
      </c>
      <c r="Y19" s="5">
        <v>1</v>
      </c>
      <c r="Z19" s="5">
        <v>0.01038</v>
      </c>
      <c r="AA19" s="5">
        <v>1</v>
      </c>
      <c r="AB19" s="5">
        <v>0.01083</v>
      </c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6" t="s">
        <v>0</v>
      </c>
      <c r="B20" s="6" t="s">
        <v>11</v>
      </c>
      <c r="D20" s="6" t="s">
        <v>35</v>
      </c>
      <c r="E20" s="5"/>
      <c r="F20" s="5"/>
      <c r="G20" s="5">
        <v>1</v>
      </c>
      <c r="H20" s="5">
        <v>0.00185724</v>
      </c>
      <c r="I20" s="5">
        <v>1</v>
      </c>
      <c r="J20" s="5">
        <v>0.0015876</v>
      </c>
      <c r="K20" s="5"/>
      <c r="L20" s="5">
        <v>0.00168036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</v>
      </c>
      <c r="X20" s="65">
        <v>4.32E-05</v>
      </c>
      <c r="Y20" s="5">
        <v>1</v>
      </c>
      <c r="Z20" s="65">
        <v>4.152E-05</v>
      </c>
      <c r="AA20" s="5">
        <v>1</v>
      </c>
      <c r="AB20" s="65">
        <v>4.332E-05</v>
      </c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6" t="s">
        <v>0</v>
      </c>
      <c r="B21" s="6" t="s">
        <v>12</v>
      </c>
      <c r="D21" s="6" t="s">
        <v>35</v>
      </c>
      <c r="E21" s="5"/>
      <c r="F21" s="5"/>
      <c r="G21" s="5"/>
      <c r="H21" s="5">
        <v>0.0415668</v>
      </c>
      <c r="I21" s="5"/>
      <c r="J21" s="5">
        <v>0.0441</v>
      </c>
      <c r="K21" s="5"/>
      <c r="L21" s="5">
        <v>0.0389136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0.00324</v>
      </c>
      <c r="Y21" s="5"/>
      <c r="Z21" s="5">
        <v>0.00190992</v>
      </c>
      <c r="AA21" s="5"/>
      <c r="AB21" s="5">
        <v>0.0049818</v>
      </c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6" t="s">
        <v>0</v>
      </c>
      <c r="B22" s="6" t="s">
        <v>13</v>
      </c>
      <c r="D22" s="6" t="s">
        <v>35</v>
      </c>
      <c r="E22" s="5"/>
      <c r="F22" s="5"/>
      <c r="G22" s="5">
        <v>1</v>
      </c>
      <c r="H22" s="5">
        <v>0.08844</v>
      </c>
      <c r="I22" s="5">
        <v>1</v>
      </c>
      <c r="J22" s="5">
        <v>0.0882</v>
      </c>
      <c r="K22" s="5">
        <v>1</v>
      </c>
      <c r="L22" s="5">
        <v>0.08844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1</v>
      </c>
      <c r="X22" s="5">
        <v>0.0216</v>
      </c>
      <c r="Y22" s="5">
        <v>1</v>
      </c>
      <c r="Z22" s="5">
        <v>0.02076</v>
      </c>
      <c r="AA22" s="5">
        <v>1</v>
      </c>
      <c r="AB22" s="5">
        <v>0.02166</v>
      </c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6" t="s">
        <v>0</v>
      </c>
      <c r="B23" s="6" t="s">
        <v>14</v>
      </c>
      <c r="D23" s="6" t="s">
        <v>35</v>
      </c>
      <c r="E23" s="5"/>
      <c r="F23" s="5"/>
      <c r="G23" s="5">
        <v>1</v>
      </c>
      <c r="H23" s="5">
        <v>0.04422</v>
      </c>
      <c r="I23" s="5">
        <v>1</v>
      </c>
      <c r="J23" s="5">
        <v>0.0441</v>
      </c>
      <c r="K23" s="5">
        <v>1</v>
      </c>
      <c r="L23" s="5">
        <v>0.04422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1</v>
      </c>
      <c r="X23" s="5">
        <v>0.0108</v>
      </c>
      <c r="Y23" s="5">
        <v>1</v>
      </c>
      <c r="Z23" s="5">
        <v>0.01038</v>
      </c>
      <c r="AA23" s="5">
        <v>1</v>
      </c>
      <c r="AB23" s="5">
        <v>0.01083</v>
      </c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6" t="s">
        <v>0</v>
      </c>
      <c r="B24" s="6" t="s">
        <v>15</v>
      </c>
      <c r="D24" s="6" t="s">
        <v>35</v>
      </c>
      <c r="E24" s="5"/>
      <c r="F24" s="5"/>
      <c r="G24" s="5"/>
      <c r="H24" s="5">
        <v>0.1344288</v>
      </c>
      <c r="I24" s="5"/>
      <c r="J24" s="5">
        <v>0.178164</v>
      </c>
      <c r="K24" s="5"/>
      <c r="L24" s="5">
        <v>0.1441572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1</v>
      </c>
      <c r="X24" s="5">
        <v>0.0864</v>
      </c>
      <c r="Y24" s="5">
        <v>1</v>
      </c>
      <c r="Z24" s="5">
        <v>0.08304</v>
      </c>
      <c r="AA24" s="5">
        <v>1</v>
      </c>
      <c r="AB24" s="5">
        <v>0.08664</v>
      </c>
      <c r="AC24" s="5"/>
      <c r="AD24" s="5"/>
      <c r="AE24" s="5"/>
      <c r="AF24" s="5"/>
      <c r="AG24" s="5"/>
      <c r="AH24" s="5"/>
      <c r="AI24" s="5"/>
      <c r="AJ24" s="5"/>
    </row>
    <row r="25" spans="5:36" ht="12.7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2:46" ht="12.75">
      <c r="B26" s="6" t="s">
        <v>43</v>
      </c>
      <c r="D26" s="6" t="s">
        <v>105</v>
      </c>
      <c r="E26" s="5"/>
      <c r="F26" s="5">
        <f>'emiss 2'!$G$29</f>
        <v>17888</v>
      </c>
      <c r="G26" s="5"/>
      <c r="H26" s="5">
        <f>'emiss 2'!$I$29</f>
        <v>17922</v>
      </c>
      <c r="I26" s="5"/>
      <c r="J26" s="5">
        <f>'emiss 2'!$K$29</f>
        <v>17962</v>
      </c>
      <c r="K26" s="5"/>
      <c r="L26" s="5">
        <f>'emiss 2'!$M$29</f>
        <v>16814</v>
      </c>
      <c r="M26" s="5"/>
      <c r="N26" s="5"/>
      <c r="O26" s="5"/>
      <c r="P26" s="5"/>
      <c r="Q26" s="5"/>
      <c r="R26" s="5"/>
      <c r="S26" s="5"/>
      <c r="T26" s="5"/>
      <c r="U26" s="5"/>
      <c r="V26" s="5">
        <f>'emiss 2'!$G$29</f>
        <v>17888</v>
      </c>
      <c r="W26" s="5"/>
      <c r="X26" s="5">
        <f>'emiss 2'!$I$29</f>
        <v>17922</v>
      </c>
      <c r="Y26" s="5"/>
      <c r="Z26" s="5">
        <f>'emiss 2'!$K$29</f>
        <v>17962</v>
      </c>
      <c r="AA26" s="5"/>
      <c r="AB26" s="5">
        <f>'emiss 2'!$M$29</f>
        <v>16814</v>
      </c>
      <c r="AC26" s="5"/>
      <c r="AD26" s="5">
        <f>'emiss 2'!$G$29</f>
        <v>17888</v>
      </c>
      <c r="AE26" s="5"/>
      <c r="AF26" s="5">
        <f>'emiss 2'!$I$29</f>
        <v>17922</v>
      </c>
      <c r="AG26" s="5"/>
      <c r="AH26" s="5">
        <f>'emiss 2'!$K$29</f>
        <v>17962</v>
      </c>
      <c r="AI26" s="5"/>
      <c r="AJ26" s="5">
        <f>'emiss 2'!$M$29</f>
        <v>16814</v>
      </c>
      <c r="AL26" s="5">
        <f>'emiss 2'!$G$29</f>
        <v>17888</v>
      </c>
      <c r="AM26" s="5"/>
      <c r="AN26" s="5">
        <f>'emiss 2'!$I$29</f>
        <v>17922</v>
      </c>
      <c r="AO26" s="5"/>
      <c r="AP26" s="5">
        <f>'emiss 2'!$K$29</f>
        <v>17962</v>
      </c>
      <c r="AQ26" s="5"/>
      <c r="AR26" s="5">
        <f>'emiss 2'!$M$29</f>
        <v>16814</v>
      </c>
      <c r="AT26" s="6">
        <f>AVERAGE(AL26,AN26,AP26,AR26)</f>
        <v>17646.5</v>
      </c>
    </row>
    <row r="27" spans="2:46" ht="12.75">
      <c r="B27" s="6" t="s">
        <v>27</v>
      </c>
      <c r="D27" s="6" t="s">
        <v>57</v>
      </c>
      <c r="E27" s="5"/>
      <c r="F27" s="5">
        <f>'emiss 2'!$G$30</f>
        <v>8.3</v>
      </c>
      <c r="G27" s="5"/>
      <c r="H27" s="5">
        <f>'emiss 2'!$I$30</f>
        <v>8.4</v>
      </c>
      <c r="I27" s="5"/>
      <c r="J27" s="5">
        <f>'emiss 2'!$K$30</f>
        <v>7.7</v>
      </c>
      <c r="K27" s="5"/>
      <c r="L27" s="5">
        <f>'emiss 2'!$M$30</f>
        <v>7.1</v>
      </c>
      <c r="M27" s="5"/>
      <c r="N27" s="5"/>
      <c r="O27" s="5"/>
      <c r="P27" s="5"/>
      <c r="Q27" s="5"/>
      <c r="R27" s="5"/>
      <c r="S27" s="5"/>
      <c r="T27" s="5"/>
      <c r="U27" s="5"/>
      <c r="V27" s="5">
        <f>'emiss 2'!$G$30</f>
        <v>8.3</v>
      </c>
      <c r="W27" s="5"/>
      <c r="X27" s="5">
        <f>'emiss 2'!$I$30</f>
        <v>8.4</v>
      </c>
      <c r="Y27" s="5"/>
      <c r="Z27" s="5">
        <f>'emiss 2'!$K$30</f>
        <v>7.7</v>
      </c>
      <c r="AA27" s="5"/>
      <c r="AB27" s="5">
        <f>'emiss 2'!$M$30</f>
        <v>7.1</v>
      </c>
      <c r="AC27" s="5"/>
      <c r="AD27" s="5">
        <f>'emiss 2'!$G$30</f>
        <v>8.3</v>
      </c>
      <c r="AE27" s="5"/>
      <c r="AF27" s="5">
        <f>'emiss 2'!$I$30</f>
        <v>8.4</v>
      </c>
      <c r="AG27" s="5"/>
      <c r="AH27" s="5">
        <f>'emiss 2'!$K$30</f>
        <v>7.7</v>
      </c>
      <c r="AI27" s="5"/>
      <c r="AJ27" s="5">
        <f>'emiss 2'!$M$30</f>
        <v>7.1</v>
      </c>
      <c r="AL27" s="5">
        <f>'emiss 2'!$G$30</f>
        <v>8.3</v>
      </c>
      <c r="AM27" s="5"/>
      <c r="AN27" s="5">
        <f>'emiss 2'!$I$30</f>
        <v>8.4</v>
      </c>
      <c r="AO27" s="5"/>
      <c r="AP27" s="5">
        <f>'emiss 2'!$K$30</f>
        <v>7.7</v>
      </c>
      <c r="AQ27" s="5"/>
      <c r="AR27" s="5">
        <f>'emiss 2'!$M$30</f>
        <v>7.1</v>
      </c>
      <c r="AT27" s="6">
        <f>AVERAGE(AL27,AN27,AP27,AR27)</f>
        <v>7.875</v>
      </c>
    </row>
    <row r="28" spans="5:44" ht="12.7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L28" s="5"/>
      <c r="AM28" s="5"/>
      <c r="AN28" s="5"/>
      <c r="AO28" s="5"/>
      <c r="AP28" s="5"/>
      <c r="AQ28" s="5"/>
      <c r="AR28" s="5"/>
    </row>
    <row r="29" spans="2:46" ht="12.75">
      <c r="B29" s="18" t="s">
        <v>140</v>
      </c>
      <c r="C29" s="18"/>
      <c r="D29" s="18" t="s">
        <v>139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L29" s="24">
        <f>AL26/9000*60*(21-AL27)/21</f>
        <v>72.11987301587301</v>
      </c>
      <c r="AM29" s="5"/>
      <c r="AN29" s="24">
        <f>AN26/9000*60*(21-AN27)/21</f>
        <v>71.688</v>
      </c>
      <c r="AO29" s="5"/>
      <c r="AP29" s="24">
        <f>AP26/9000*60*(21-AP27)/21</f>
        <v>75.83955555555556</v>
      </c>
      <c r="AQ29" s="5"/>
      <c r="AR29" s="24">
        <f>AR26/9000*60*(21-AR27)/21</f>
        <v>74.19511111111112</v>
      </c>
      <c r="AT29" s="24">
        <f>AT26/9000*60*(21-AT27)/21</f>
        <v>73.52708333333332</v>
      </c>
    </row>
    <row r="30" spans="5:36" ht="12.75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2:36" ht="12.75">
      <c r="B31" s="6" t="s">
        <v>44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5:36" ht="12.7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2:46" ht="12.75">
      <c r="B33" s="6" t="s">
        <v>40</v>
      </c>
      <c r="D33" s="6" t="s">
        <v>45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L33" s="11">
        <f>AL11*454*1000/AL26*14/(21-AL27)/0.0283/60</f>
        <v>8222.071347733367</v>
      </c>
      <c r="AM33" s="11"/>
      <c r="AN33" s="11">
        <f>AN11*454*1000/AN26*14/(21-AN27)/0.0283/60</f>
        <v>6415.051534006346</v>
      </c>
      <c r="AO33" s="11"/>
      <c r="AP33" s="11">
        <f>AP11*454*1000/AP26*14/(21-AP27)/0.0283/60</f>
        <v>6377.262281317124</v>
      </c>
      <c r="AQ33" s="11"/>
      <c r="AR33" s="11">
        <f>AR11*454*1000/AR26*14/(21-AR27)/0.0283/60</f>
        <v>6566.655244341347</v>
      </c>
      <c r="AT33" s="11">
        <f>AVERAGE(AL33,AN33,AP33,AR33)</f>
        <v>6895.260101849546</v>
      </c>
    </row>
    <row r="34" spans="2:54" ht="12.75">
      <c r="B34" s="6" t="s">
        <v>19</v>
      </c>
      <c r="D34" s="6" t="s">
        <v>31</v>
      </c>
      <c r="E34" s="5"/>
      <c r="F34" s="11"/>
      <c r="G34" s="5"/>
      <c r="H34" s="11"/>
      <c r="I34" s="5"/>
      <c r="J34" s="11"/>
      <c r="K34" s="5"/>
      <c r="L34" s="11"/>
      <c r="M34" s="5"/>
      <c r="N34" s="5"/>
      <c r="O34" s="5"/>
      <c r="P34" s="5"/>
      <c r="Q34" s="5"/>
      <c r="R34" s="5"/>
      <c r="S34" s="5"/>
      <c r="T34" s="5"/>
      <c r="U34" s="5"/>
      <c r="V34" s="5">
        <f>V12*454*1000000/V$26/60/0.0283*14/(21-V$27)</f>
        <v>3740300.993858666</v>
      </c>
      <c r="W34" s="5"/>
      <c r="X34" s="11">
        <f aca="true" t="shared" si="0" ref="X34:Z46">X12*454*1000000/X$26/60/0.0283*14/(21-X$27)</f>
        <v>3762833.84552827</v>
      </c>
      <c r="Y34" s="5"/>
      <c r="Z34" s="11">
        <f t="shared" si="0"/>
        <v>3415830.9025236676</v>
      </c>
      <c r="AA34" s="5"/>
      <c r="AB34" s="11">
        <f aca="true" t="shared" si="1" ref="AB34:AB46">AB12*454*1000000/AB$26/60/0.0283*14/(21-AB$27)</f>
        <v>3635684.7328426484</v>
      </c>
      <c r="AC34" s="5"/>
      <c r="AD34" s="5"/>
      <c r="AE34" s="5"/>
      <c r="AF34" s="11">
        <f aca="true" t="shared" si="2" ref="AF34:AF46">AF12*454*1000000/AF$26/60/0.0283*14/(21-AF$27)</f>
        <v>0</v>
      </c>
      <c r="AG34" s="5"/>
      <c r="AH34" s="11">
        <f aca="true" t="shared" si="3" ref="AH34:AH46">AH12*454*1000000/AH$26/60/0.0283*14/(21-AH$27)</f>
        <v>0</v>
      </c>
      <c r="AI34" s="5"/>
      <c r="AJ34" s="11">
        <f aca="true" t="shared" si="4" ref="AJ34:AJ46">AJ12*454*1000000/AJ$26/60/0.0283*14/(21-AJ$27)</f>
        <v>0</v>
      </c>
      <c r="AL34" s="6">
        <f>F34+N34+V34+AD34</f>
        <v>3740300.993858666</v>
      </c>
      <c r="AN34" s="11">
        <f aca="true" t="shared" si="5" ref="AN34:AN46">H34+P34+X34+AF34</f>
        <v>3762833.84552827</v>
      </c>
      <c r="AO34" s="11"/>
      <c r="AP34" s="11">
        <f aca="true" t="shared" si="6" ref="AP34:AP46">J34+R34+Z34+AH34</f>
        <v>3415830.9025236676</v>
      </c>
      <c r="AQ34" s="11"/>
      <c r="AR34" s="11">
        <f aca="true" t="shared" si="7" ref="AR34:AR46">L34+T34+AB34+AJ34</f>
        <v>3635684.7328426484</v>
      </c>
      <c r="AT34" s="11">
        <f>AVERAGE(AL34,AN34,AP34,AR34)</f>
        <v>3638662.618688313</v>
      </c>
      <c r="AV34" s="6">
        <f>F34+V34</f>
        <v>3740300.993858666</v>
      </c>
      <c r="AX34" s="11">
        <f aca="true" t="shared" si="8" ref="AX34:AX48">H34+X34</f>
        <v>3762833.84552827</v>
      </c>
      <c r="AY34" s="11"/>
      <c r="AZ34" s="11">
        <f aca="true" t="shared" si="9" ref="AZ34:AZ48">J34+Z34</f>
        <v>3415830.9025236676</v>
      </c>
      <c r="BA34" s="11"/>
      <c r="BB34" s="11">
        <f aca="true" t="shared" si="10" ref="BB34:BB48">L34+AB34</f>
        <v>3635684.7328426484</v>
      </c>
    </row>
    <row r="35" spans="2:54" ht="12.75">
      <c r="B35" s="6" t="s">
        <v>4</v>
      </c>
      <c r="D35" s="6" t="s">
        <v>31</v>
      </c>
      <c r="E35" s="5"/>
      <c r="F35" s="10"/>
      <c r="G35" s="5">
        <v>100</v>
      </c>
      <c r="H35" s="10">
        <f aca="true" t="shared" si="11" ref="H35:H46">H13*454*1000000/H$26/60/0.0283*14/(21-H$27)</f>
        <v>1466.0133273062565</v>
      </c>
      <c r="I35" s="5">
        <v>100</v>
      </c>
      <c r="J35" s="10">
        <f aca="true" t="shared" si="12" ref="J35:J46">J13*454*1000000/J$26/60/0.0283*14/(21-J$27)</f>
        <v>1382.0013101036122</v>
      </c>
      <c r="K35" s="5">
        <v>100</v>
      </c>
      <c r="L35" s="10">
        <f aca="true" t="shared" si="13" ref="L35:L46">L13*454*1000000/L$26/60/0.0283*14/(21-L$27)</f>
        <v>1416.4755849013384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0">
        <f t="shared" si="0"/>
        <v>358.0493879445403</v>
      </c>
      <c r="Y35" s="5"/>
      <c r="Z35" s="10">
        <f t="shared" si="0"/>
        <v>325.28738319445574</v>
      </c>
      <c r="AA35" s="5"/>
      <c r="AB35" s="10">
        <f t="shared" si="1"/>
        <v>346.9115916888623</v>
      </c>
      <c r="AC35" s="5"/>
      <c r="AD35" s="5"/>
      <c r="AE35" s="5"/>
      <c r="AF35" s="10">
        <f t="shared" si="2"/>
        <v>0</v>
      </c>
      <c r="AG35" s="5"/>
      <c r="AH35" s="10">
        <f t="shared" si="3"/>
        <v>0</v>
      </c>
      <c r="AI35" s="5"/>
      <c r="AJ35" s="10">
        <f t="shared" si="4"/>
        <v>0</v>
      </c>
      <c r="AM35" s="6">
        <f>H35*G35/100/AN35*100</f>
        <v>80.37077426390402</v>
      </c>
      <c r="AN35" s="11">
        <f t="shared" si="5"/>
        <v>1824.0627152507968</v>
      </c>
      <c r="AO35" s="6">
        <f>J35*I35/100/AP35*100</f>
        <v>80.94713656387665</v>
      </c>
      <c r="AP35" s="11">
        <f t="shared" si="6"/>
        <v>1707.288693298068</v>
      </c>
      <c r="AQ35" s="6">
        <f>L35*K35/100/AR35*100</f>
        <v>80.32697547683925</v>
      </c>
      <c r="AR35" s="11">
        <f t="shared" si="7"/>
        <v>1763.3871765902006</v>
      </c>
      <c r="AS35" s="6">
        <f>SUM((AR35*AQ35/100),(AP35*AO35/100),(AN35*AM35/100))/AT35/3*100</f>
        <v>80.54203533826025</v>
      </c>
      <c r="AT35" s="11">
        <f>AVERAGE(AN35,AP35,AR35)</f>
        <v>1764.9128617130218</v>
      </c>
      <c r="AV35"/>
      <c r="AW35" s="6">
        <f>H35*G35/100/AX35*100</f>
        <v>80.37077426390402</v>
      </c>
      <c r="AX35" s="11">
        <f t="shared" si="8"/>
        <v>1824.0627152507968</v>
      </c>
      <c r="AY35" s="11">
        <f>J35*I35/100/AZ35*100</f>
        <v>80.94713656387665</v>
      </c>
      <c r="AZ35" s="11">
        <f t="shared" si="9"/>
        <v>1707.288693298068</v>
      </c>
      <c r="BA35" s="11">
        <f>L35*K35/100/BB35*100</f>
        <v>80.32697547683925</v>
      </c>
      <c r="BB35" s="11">
        <f t="shared" si="10"/>
        <v>1763.3871765902006</v>
      </c>
    </row>
    <row r="36" spans="2:54" ht="12.75">
      <c r="B36" s="6" t="s">
        <v>5</v>
      </c>
      <c r="D36" s="6" t="s">
        <v>31</v>
      </c>
      <c r="E36" s="5"/>
      <c r="F36" s="10"/>
      <c r="G36" s="5"/>
      <c r="H36" s="10">
        <f t="shared" si="11"/>
        <v>351.84319855350157</v>
      </c>
      <c r="I36" s="5"/>
      <c r="J36" s="10">
        <f t="shared" si="12"/>
        <v>345.50032752590306</v>
      </c>
      <c r="K36" s="5"/>
      <c r="L36" s="10">
        <f t="shared" si="13"/>
        <v>325.78938452730785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0">
        <f t="shared" si="0"/>
        <v>10.741481638336207</v>
      </c>
      <c r="Y36" s="5"/>
      <c r="Z36" s="10">
        <f t="shared" si="0"/>
        <v>9.758621495833669</v>
      </c>
      <c r="AA36" s="5"/>
      <c r="AB36" s="10">
        <f t="shared" si="1"/>
        <v>10.40734775066587</v>
      </c>
      <c r="AC36" s="5"/>
      <c r="AD36" s="5"/>
      <c r="AE36" s="5"/>
      <c r="AF36" s="10">
        <f t="shared" si="2"/>
        <v>2188.269359170023</v>
      </c>
      <c r="AG36" s="5"/>
      <c r="AH36" s="10">
        <f t="shared" si="3"/>
        <v>2067.098907949487</v>
      </c>
      <c r="AI36" s="5"/>
      <c r="AJ36" s="10">
        <f t="shared" si="4"/>
        <v>2114.3260178592564</v>
      </c>
      <c r="AN36" s="11">
        <f t="shared" si="5"/>
        <v>2550.854039361861</v>
      </c>
      <c r="AP36" s="11">
        <f t="shared" si="6"/>
        <v>2422.3578569712236</v>
      </c>
      <c r="AR36" s="11">
        <f t="shared" si="7"/>
        <v>2450.52275013723</v>
      </c>
      <c r="AT36" s="11">
        <f aca="true" t="shared" si="14" ref="AT36:AT48">AVERAGE(AN36,AP36,AR36)</f>
        <v>2474.578215490105</v>
      </c>
      <c r="AV36"/>
      <c r="AX36" s="11">
        <f t="shared" si="8"/>
        <v>362.5846801918378</v>
      </c>
      <c r="AY36" s="11"/>
      <c r="AZ36" s="11">
        <f t="shared" si="9"/>
        <v>355.2589490217367</v>
      </c>
      <c r="BA36" s="11"/>
      <c r="BB36" s="11">
        <f t="shared" si="10"/>
        <v>336.1967322779737</v>
      </c>
    </row>
    <row r="37" spans="2:54" ht="12.75">
      <c r="B37" s="6" t="s">
        <v>6</v>
      </c>
      <c r="D37" s="6" t="s">
        <v>31</v>
      </c>
      <c r="E37" s="5"/>
      <c r="F37" s="10"/>
      <c r="G37" s="5"/>
      <c r="H37" s="10">
        <f t="shared" si="11"/>
        <v>5160.366912118023</v>
      </c>
      <c r="I37" s="5"/>
      <c r="J37" s="10">
        <f t="shared" si="12"/>
        <v>5071.944808080257</v>
      </c>
      <c r="K37" s="5"/>
      <c r="L37" s="10">
        <f t="shared" si="13"/>
        <v>4674.369430174416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0">
        <f t="shared" si="0"/>
        <v>4.296592655334483</v>
      </c>
      <c r="Y37" s="5"/>
      <c r="Z37" s="10">
        <f t="shared" si="0"/>
        <v>6.505747663889114</v>
      </c>
      <c r="AA37" s="5"/>
      <c r="AB37" s="10">
        <f t="shared" si="1"/>
        <v>2.775292733510899</v>
      </c>
      <c r="AC37" s="5"/>
      <c r="AD37" s="5"/>
      <c r="AE37" s="5"/>
      <c r="AF37" s="10">
        <f t="shared" si="2"/>
        <v>0</v>
      </c>
      <c r="AG37" s="5"/>
      <c r="AH37" s="10">
        <f t="shared" si="3"/>
        <v>0</v>
      </c>
      <c r="AI37" s="5"/>
      <c r="AJ37" s="10">
        <f t="shared" si="4"/>
        <v>0</v>
      </c>
      <c r="AN37" s="11">
        <f t="shared" si="5"/>
        <v>5164.663504773357</v>
      </c>
      <c r="AP37" s="11">
        <f t="shared" si="6"/>
        <v>5078.450555744146</v>
      </c>
      <c r="AR37" s="11">
        <f t="shared" si="7"/>
        <v>4677.144722907927</v>
      </c>
      <c r="AT37" s="11">
        <f t="shared" si="14"/>
        <v>4973.419594475144</v>
      </c>
      <c r="AV37"/>
      <c r="AX37" s="11">
        <f t="shared" si="8"/>
        <v>5164.663504773357</v>
      </c>
      <c r="AY37" s="11"/>
      <c r="AZ37" s="11">
        <f t="shared" si="9"/>
        <v>5078.450555744146</v>
      </c>
      <c r="BA37" s="11"/>
      <c r="BB37" s="11">
        <f t="shared" si="10"/>
        <v>4677.144722907927</v>
      </c>
    </row>
    <row r="38" spans="2:54" ht="12.75">
      <c r="B38" s="6" t="s">
        <v>7</v>
      </c>
      <c r="D38" s="6" t="s">
        <v>31</v>
      </c>
      <c r="E38" s="5"/>
      <c r="F38" s="10"/>
      <c r="G38" s="5"/>
      <c r="H38" s="10">
        <f t="shared" si="11"/>
        <v>98.22289292951918</v>
      </c>
      <c r="I38" s="5"/>
      <c r="J38" s="10">
        <f t="shared" si="12"/>
        <v>69.10006550518062</v>
      </c>
      <c r="K38" s="5"/>
      <c r="L38" s="10">
        <f t="shared" si="13"/>
        <v>65.15787690546156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0">
        <f t="shared" si="0"/>
        <v>0.7160987758890804</v>
      </c>
      <c r="Y38" s="5"/>
      <c r="Z38" s="10">
        <f t="shared" si="0"/>
        <v>0.6505747663889114</v>
      </c>
      <c r="AA38" s="5"/>
      <c r="AB38" s="10">
        <f t="shared" si="1"/>
        <v>1.734557958444312</v>
      </c>
      <c r="AC38" s="5"/>
      <c r="AD38" s="5"/>
      <c r="AE38" s="5"/>
      <c r="AF38" s="10">
        <f t="shared" si="2"/>
        <v>364.7115598616705</v>
      </c>
      <c r="AG38" s="5"/>
      <c r="AH38" s="10">
        <f t="shared" si="3"/>
        <v>344.7467764260674</v>
      </c>
      <c r="AI38" s="5"/>
      <c r="AJ38" s="10">
        <f t="shared" si="4"/>
        <v>352.38766964320934</v>
      </c>
      <c r="AN38" s="11">
        <f t="shared" si="5"/>
        <v>463.65055156707876</v>
      </c>
      <c r="AP38" s="11">
        <f t="shared" si="6"/>
        <v>414.49741669763694</v>
      </c>
      <c r="AR38" s="11">
        <f t="shared" si="7"/>
        <v>419.2801045071152</v>
      </c>
      <c r="AT38" s="11">
        <f t="shared" si="14"/>
        <v>432.476024257277</v>
      </c>
      <c r="AV38"/>
      <c r="AX38" s="11">
        <f t="shared" si="8"/>
        <v>98.93899170540826</v>
      </c>
      <c r="AY38" s="11"/>
      <c r="AZ38" s="11">
        <f t="shared" si="9"/>
        <v>69.75064027156954</v>
      </c>
      <c r="BA38" s="11"/>
      <c r="BB38" s="11">
        <f t="shared" si="10"/>
        <v>66.89243486390588</v>
      </c>
    </row>
    <row r="39" spans="2:54" ht="12.75">
      <c r="B39" s="6" t="s">
        <v>8</v>
      </c>
      <c r="D39" s="6" t="s">
        <v>31</v>
      </c>
      <c r="E39" s="5"/>
      <c r="F39" s="10"/>
      <c r="G39" s="5"/>
      <c r="H39" s="10">
        <f t="shared" si="11"/>
        <v>42.51438649188143</v>
      </c>
      <c r="I39" s="5"/>
      <c r="J39" s="10">
        <f t="shared" si="12"/>
        <v>13.820013101036125</v>
      </c>
      <c r="K39" s="5"/>
      <c r="L39" s="10">
        <f t="shared" si="13"/>
        <v>16.997707018816058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0">
        <f t="shared" si="0"/>
        <v>0.7160987758890804</v>
      </c>
      <c r="Y39" s="5"/>
      <c r="Z39" s="10">
        <f t="shared" si="0"/>
        <v>0.6505747663889114</v>
      </c>
      <c r="AA39" s="5"/>
      <c r="AB39" s="10">
        <f t="shared" si="1"/>
        <v>0.6938231833777248</v>
      </c>
      <c r="AC39" s="5"/>
      <c r="AD39" s="5"/>
      <c r="AE39" s="5"/>
      <c r="AF39" s="10">
        <f t="shared" si="2"/>
        <v>857.3279753862515</v>
      </c>
      <c r="AG39" s="5"/>
      <c r="AH39" s="10">
        <f t="shared" si="3"/>
        <v>809.7058556540101</v>
      </c>
      <c r="AI39" s="5"/>
      <c r="AJ39" s="10">
        <f t="shared" si="4"/>
        <v>828.3581893616926</v>
      </c>
      <c r="AN39" s="11">
        <f t="shared" si="5"/>
        <v>900.558460654022</v>
      </c>
      <c r="AP39" s="11">
        <f t="shared" si="6"/>
        <v>824.1764435214351</v>
      </c>
      <c r="AR39" s="11">
        <f t="shared" si="7"/>
        <v>846.0497195638864</v>
      </c>
      <c r="AT39" s="11">
        <f t="shared" si="14"/>
        <v>856.9282079131144</v>
      </c>
      <c r="AV39"/>
      <c r="AX39" s="11">
        <f t="shared" si="8"/>
        <v>43.23048526777051</v>
      </c>
      <c r="AY39" s="11"/>
      <c r="AZ39" s="11">
        <f t="shared" si="9"/>
        <v>14.470587867425037</v>
      </c>
      <c r="BA39" s="11"/>
      <c r="BB39" s="11">
        <f t="shared" si="10"/>
        <v>17.691530202193782</v>
      </c>
    </row>
    <row r="40" spans="2:54" ht="12.75">
      <c r="B40" s="6" t="s">
        <v>9</v>
      </c>
      <c r="D40" s="6" t="s">
        <v>31</v>
      </c>
      <c r="E40" s="5"/>
      <c r="F40" s="10"/>
      <c r="G40" s="5"/>
      <c r="H40" s="10">
        <f t="shared" si="11"/>
        <v>2213.6801242324477</v>
      </c>
      <c r="I40" s="5"/>
      <c r="J40" s="10">
        <f t="shared" si="12"/>
        <v>2211.20209616578</v>
      </c>
      <c r="K40" s="5"/>
      <c r="L40" s="10">
        <f t="shared" si="13"/>
        <v>2110.5486215029937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0">
        <f t="shared" si="0"/>
        <v>42.96592655334483</v>
      </c>
      <c r="Y40" s="5"/>
      <c r="Z40" s="10">
        <f t="shared" si="0"/>
        <v>52.04598131111291</v>
      </c>
      <c r="AA40" s="5"/>
      <c r="AB40" s="10">
        <f t="shared" si="1"/>
        <v>48.56762283644074</v>
      </c>
      <c r="AC40" s="5"/>
      <c r="AD40" s="5"/>
      <c r="AE40" s="5"/>
      <c r="AF40" s="10">
        <f t="shared" si="2"/>
        <v>15168.41955428693</v>
      </c>
      <c r="AG40" s="5"/>
      <c r="AH40" s="10">
        <f t="shared" si="3"/>
        <v>14331.862732606325</v>
      </c>
      <c r="AI40" s="5"/>
      <c r="AJ40" s="10">
        <f t="shared" si="4"/>
        <v>14561.94377129819</v>
      </c>
      <c r="AN40" s="11">
        <f t="shared" si="5"/>
        <v>17425.065605072723</v>
      </c>
      <c r="AP40" s="11">
        <f t="shared" si="6"/>
        <v>16595.110810083217</v>
      </c>
      <c r="AR40" s="11">
        <f t="shared" si="7"/>
        <v>16721.060015637624</v>
      </c>
      <c r="AT40" s="11">
        <f t="shared" si="14"/>
        <v>16913.745476931188</v>
      </c>
      <c r="AV40"/>
      <c r="AX40" s="11">
        <f t="shared" si="8"/>
        <v>2256.6460507857923</v>
      </c>
      <c r="AY40" s="11"/>
      <c r="AZ40" s="11">
        <f t="shared" si="9"/>
        <v>2263.248077476893</v>
      </c>
      <c r="BA40" s="11"/>
      <c r="BB40" s="11">
        <f t="shared" si="10"/>
        <v>2159.1162443394346</v>
      </c>
    </row>
    <row r="41" spans="2:54" ht="12.75">
      <c r="B41" s="6" t="s">
        <v>10</v>
      </c>
      <c r="D41" s="6" t="s">
        <v>31</v>
      </c>
      <c r="E41" s="5"/>
      <c r="F41" s="10"/>
      <c r="G41" s="5"/>
      <c r="H41" s="10">
        <f t="shared" si="11"/>
        <v>703.6863971070031</v>
      </c>
      <c r="I41" s="5"/>
      <c r="J41" s="10">
        <f t="shared" si="12"/>
        <v>456.0604323341921</v>
      </c>
      <c r="K41" s="5"/>
      <c r="L41" s="10">
        <f t="shared" si="13"/>
        <v>254.96560528224094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0">
        <f t="shared" si="0"/>
        <v>272.1175348378506</v>
      </c>
      <c r="Y41" s="5"/>
      <c r="Z41" s="10">
        <f t="shared" si="0"/>
        <v>162.64369159722787</v>
      </c>
      <c r="AA41" s="5"/>
      <c r="AB41" s="10">
        <f t="shared" si="1"/>
        <v>173.45579584443115</v>
      </c>
      <c r="AC41" s="5"/>
      <c r="AD41" s="5"/>
      <c r="AE41" s="5"/>
      <c r="AF41" s="10">
        <f t="shared" si="2"/>
        <v>0</v>
      </c>
      <c r="AG41" s="5"/>
      <c r="AH41" s="10">
        <f t="shared" si="3"/>
        <v>0</v>
      </c>
      <c r="AI41" s="5"/>
      <c r="AJ41" s="10">
        <f t="shared" si="4"/>
        <v>0</v>
      </c>
      <c r="AN41" s="11">
        <f t="shared" si="5"/>
        <v>975.8039319448537</v>
      </c>
      <c r="AP41" s="11">
        <f t="shared" si="6"/>
        <v>618.70412393142</v>
      </c>
      <c r="AR41" s="11">
        <f t="shared" si="7"/>
        <v>428.4214011266721</v>
      </c>
      <c r="AT41" s="11">
        <f t="shared" si="14"/>
        <v>674.309819000982</v>
      </c>
      <c r="AV41"/>
      <c r="AX41" s="11">
        <f t="shared" si="8"/>
        <v>975.8039319448537</v>
      </c>
      <c r="AY41" s="11"/>
      <c r="AZ41" s="11">
        <f t="shared" si="9"/>
        <v>618.70412393142</v>
      </c>
      <c r="BA41" s="11"/>
      <c r="BB41" s="11">
        <f t="shared" si="10"/>
        <v>428.4214011266721</v>
      </c>
    </row>
    <row r="42" spans="2:54" ht="12.75">
      <c r="B42" s="6" t="s">
        <v>11</v>
      </c>
      <c r="D42" s="6" t="s">
        <v>31</v>
      </c>
      <c r="E42" s="5"/>
      <c r="F42" s="10"/>
      <c r="G42" s="5">
        <v>100</v>
      </c>
      <c r="H42" s="10">
        <f t="shared" si="11"/>
        <v>30.786279873431383</v>
      </c>
      <c r="I42" s="5">
        <v>100</v>
      </c>
      <c r="J42" s="10">
        <f t="shared" si="12"/>
        <v>24.87602358186502</v>
      </c>
      <c r="K42" s="5"/>
      <c r="L42" s="10">
        <f t="shared" si="13"/>
        <v>26.91303611312543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0">
        <f t="shared" si="0"/>
        <v>0.7160987758890804</v>
      </c>
      <c r="Y42" s="5"/>
      <c r="Z42" s="10">
        <f t="shared" si="0"/>
        <v>0.6505747663889114</v>
      </c>
      <c r="AA42" s="5"/>
      <c r="AB42" s="10">
        <f t="shared" si="1"/>
        <v>0.6938231833777248</v>
      </c>
      <c r="AC42" s="5"/>
      <c r="AD42" s="5"/>
      <c r="AE42" s="5"/>
      <c r="AF42" s="10">
        <f t="shared" si="2"/>
        <v>0</v>
      </c>
      <c r="AG42" s="5"/>
      <c r="AH42" s="10">
        <f t="shared" si="3"/>
        <v>0</v>
      </c>
      <c r="AI42" s="5"/>
      <c r="AJ42" s="10">
        <f t="shared" si="4"/>
        <v>0</v>
      </c>
      <c r="AM42" s="6">
        <f>H42*G42/100/AN42*100</f>
        <v>97.72684220496306</v>
      </c>
      <c r="AN42" s="11">
        <f t="shared" si="5"/>
        <v>31.502378649320463</v>
      </c>
      <c r="AO42" s="6">
        <f>J42*I42/100/AP42*100</f>
        <v>97.45138479670005</v>
      </c>
      <c r="AP42" s="11">
        <f t="shared" si="6"/>
        <v>25.52659834825393</v>
      </c>
      <c r="AR42" s="11">
        <f t="shared" si="7"/>
        <v>27.606859296503153</v>
      </c>
      <c r="AS42" s="6">
        <f>SUM((AR42*AQ42/100),(AP42*AO42/100),(AN42*AM42/100))/AT42/3*100</f>
        <v>65.76682631443606</v>
      </c>
      <c r="AT42" s="11">
        <f t="shared" si="14"/>
        <v>28.21194543135918</v>
      </c>
      <c r="AV42"/>
      <c r="AW42" s="6">
        <f>H42*G42/100/AX42*100</f>
        <v>97.72684220496306</v>
      </c>
      <c r="AX42" s="11">
        <f t="shared" si="8"/>
        <v>31.502378649320463</v>
      </c>
      <c r="AY42" s="11">
        <f>J42*I42/100/AZ42*100</f>
        <v>97.45138479670005</v>
      </c>
      <c r="AZ42" s="11">
        <f t="shared" si="9"/>
        <v>25.52659834825393</v>
      </c>
      <c r="BA42" s="11">
        <f>L42*K42/100/BB42*100</f>
        <v>0</v>
      </c>
      <c r="BB42" s="11">
        <f t="shared" si="10"/>
        <v>27.606859296503153</v>
      </c>
    </row>
    <row r="43" spans="2:54" ht="12.75">
      <c r="B43" s="6" t="s">
        <v>12</v>
      </c>
      <c r="D43" s="6" t="s">
        <v>31</v>
      </c>
      <c r="E43" s="5"/>
      <c r="F43" s="10"/>
      <c r="G43" s="5"/>
      <c r="H43" s="10">
        <f t="shared" si="11"/>
        <v>689.0262638339406</v>
      </c>
      <c r="I43" s="5"/>
      <c r="J43" s="10">
        <f t="shared" si="12"/>
        <v>691.0006550518061</v>
      </c>
      <c r="K43" s="5"/>
      <c r="L43" s="10">
        <f t="shared" si="13"/>
        <v>623.2492573565888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0">
        <f t="shared" si="0"/>
        <v>53.707408191681026</v>
      </c>
      <c r="Y43" s="5"/>
      <c r="Z43" s="10">
        <f t="shared" si="0"/>
        <v>29.926439253889928</v>
      </c>
      <c r="AA43" s="5"/>
      <c r="AB43" s="10">
        <f t="shared" si="1"/>
        <v>79.78966608843832</v>
      </c>
      <c r="AC43" s="5"/>
      <c r="AD43" s="5"/>
      <c r="AE43" s="5"/>
      <c r="AF43" s="10">
        <f t="shared" si="2"/>
        <v>0</v>
      </c>
      <c r="AG43" s="5"/>
      <c r="AH43" s="10">
        <f t="shared" si="3"/>
        <v>0</v>
      </c>
      <c r="AI43" s="5"/>
      <c r="AJ43" s="10">
        <f t="shared" si="4"/>
        <v>0</v>
      </c>
      <c r="AN43" s="11">
        <f t="shared" si="5"/>
        <v>742.7336720256216</v>
      </c>
      <c r="AP43" s="11">
        <f t="shared" si="6"/>
        <v>720.9270943056961</v>
      </c>
      <c r="AR43" s="11">
        <f t="shared" si="7"/>
        <v>703.0389234450272</v>
      </c>
      <c r="AT43" s="11">
        <f t="shared" si="14"/>
        <v>722.2332299254482</v>
      </c>
      <c r="AV43"/>
      <c r="AX43" s="11">
        <f t="shared" si="8"/>
        <v>742.7336720256216</v>
      </c>
      <c r="AY43" s="11"/>
      <c r="AZ43" s="11">
        <f t="shared" si="9"/>
        <v>720.9270943056961</v>
      </c>
      <c r="BA43" s="11"/>
      <c r="BB43" s="11">
        <f t="shared" si="10"/>
        <v>703.0389234450272</v>
      </c>
    </row>
    <row r="44" spans="2:54" ht="12.75">
      <c r="B44" s="6" t="s">
        <v>13</v>
      </c>
      <c r="D44" s="6" t="s">
        <v>31</v>
      </c>
      <c r="E44" s="5"/>
      <c r="F44" s="10"/>
      <c r="G44" s="5">
        <v>100</v>
      </c>
      <c r="H44" s="10">
        <f t="shared" si="11"/>
        <v>1466.0133273062565</v>
      </c>
      <c r="I44" s="5">
        <v>100</v>
      </c>
      <c r="J44" s="10">
        <f t="shared" si="12"/>
        <v>1382.0013101036122</v>
      </c>
      <c r="K44" s="5">
        <v>100</v>
      </c>
      <c r="L44" s="10">
        <f t="shared" si="13"/>
        <v>1416.4755849013384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0">
        <f t="shared" si="0"/>
        <v>358.0493879445403</v>
      </c>
      <c r="Y44" s="5"/>
      <c r="Z44" s="10">
        <f t="shared" si="0"/>
        <v>325.28738319445574</v>
      </c>
      <c r="AA44" s="5"/>
      <c r="AB44" s="10">
        <f t="shared" si="1"/>
        <v>346.9115916888623</v>
      </c>
      <c r="AC44" s="5"/>
      <c r="AD44" s="5"/>
      <c r="AE44" s="5"/>
      <c r="AF44" s="10">
        <f t="shared" si="2"/>
        <v>0</v>
      </c>
      <c r="AG44" s="5"/>
      <c r="AH44" s="10">
        <f t="shared" si="3"/>
        <v>0</v>
      </c>
      <c r="AI44" s="5"/>
      <c r="AJ44" s="10">
        <f t="shared" si="4"/>
        <v>0</v>
      </c>
      <c r="AM44" s="6">
        <f>H44*G44/100/AN44*100</f>
        <v>80.37077426390402</v>
      </c>
      <c r="AN44" s="11">
        <f t="shared" si="5"/>
        <v>1824.0627152507968</v>
      </c>
      <c r="AO44" s="6">
        <f>J44*I44/100/AP44*100</f>
        <v>80.94713656387665</v>
      </c>
      <c r="AP44" s="11">
        <f t="shared" si="6"/>
        <v>1707.288693298068</v>
      </c>
      <c r="AQ44" s="6">
        <f>L44*K44/100/AR44*100</f>
        <v>80.32697547683925</v>
      </c>
      <c r="AR44" s="11">
        <f t="shared" si="7"/>
        <v>1763.3871765902006</v>
      </c>
      <c r="AS44" s="6">
        <f>SUM((AR44*AQ44/100),(AP44*AO44/100),(AN44*AM44/100))/AT44/3*100</f>
        <v>80.54203533826025</v>
      </c>
      <c r="AT44" s="11">
        <f t="shared" si="14"/>
        <v>1764.9128617130218</v>
      </c>
      <c r="AV44"/>
      <c r="AW44" s="6">
        <f>H44*G44/100/AX44*100</f>
        <v>80.37077426390402</v>
      </c>
      <c r="AX44" s="11">
        <f t="shared" si="8"/>
        <v>1824.0627152507968</v>
      </c>
      <c r="AY44" s="11">
        <f>J44*I44/100/AZ44*100</f>
        <v>80.94713656387665</v>
      </c>
      <c r="AZ44" s="11">
        <f t="shared" si="9"/>
        <v>1707.288693298068</v>
      </c>
      <c r="BA44" s="11">
        <f>L44*K44/100/BB44*100</f>
        <v>80.32697547683925</v>
      </c>
      <c r="BB44" s="11">
        <f t="shared" si="10"/>
        <v>1763.3871765902006</v>
      </c>
    </row>
    <row r="45" spans="2:54" ht="12.75">
      <c r="B45" s="6" t="s">
        <v>14</v>
      </c>
      <c r="D45" s="6" t="s">
        <v>31</v>
      </c>
      <c r="E45" s="5"/>
      <c r="F45" s="10"/>
      <c r="G45" s="5">
        <v>100</v>
      </c>
      <c r="H45" s="10">
        <f t="shared" si="11"/>
        <v>733.0066636531283</v>
      </c>
      <c r="I45" s="5">
        <v>100</v>
      </c>
      <c r="J45" s="10">
        <f t="shared" si="12"/>
        <v>691.0006550518061</v>
      </c>
      <c r="K45" s="5">
        <v>100</v>
      </c>
      <c r="L45" s="10">
        <f t="shared" si="13"/>
        <v>708.2377924506692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0">
        <f t="shared" si="0"/>
        <v>179.02469397227014</v>
      </c>
      <c r="Y45" s="5"/>
      <c r="Z45" s="10">
        <f t="shared" si="0"/>
        <v>162.64369159722787</v>
      </c>
      <c r="AA45" s="5"/>
      <c r="AB45" s="10">
        <f t="shared" si="1"/>
        <v>173.45579584443115</v>
      </c>
      <c r="AC45" s="5"/>
      <c r="AD45" s="5"/>
      <c r="AE45" s="5"/>
      <c r="AF45" s="10">
        <f t="shared" si="2"/>
        <v>0</v>
      </c>
      <c r="AG45" s="5"/>
      <c r="AH45" s="10">
        <f t="shared" si="3"/>
        <v>0</v>
      </c>
      <c r="AI45" s="5"/>
      <c r="AJ45" s="10">
        <f t="shared" si="4"/>
        <v>0</v>
      </c>
      <c r="AM45" s="6">
        <f>H45*G45/100/AN45*100</f>
        <v>80.37077426390402</v>
      </c>
      <c r="AN45" s="11">
        <f t="shared" si="5"/>
        <v>912.0313576253984</v>
      </c>
      <c r="AO45" s="6">
        <f>J45*I45/100/AP45*100</f>
        <v>80.94713656387665</v>
      </c>
      <c r="AP45" s="11">
        <f t="shared" si="6"/>
        <v>853.644346649034</v>
      </c>
      <c r="AQ45" s="6">
        <f>L45*K45/100/AR45*100</f>
        <v>80.32697547683925</v>
      </c>
      <c r="AR45" s="11">
        <f t="shared" si="7"/>
        <v>881.6935882951003</v>
      </c>
      <c r="AS45" s="6">
        <f>SUM((AR45*AQ45/100),(AP45*AO45/100),(AN45*AM45/100))/AT45/3*100</f>
        <v>80.54203533826025</v>
      </c>
      <c r="AT45" s="11">
        <f t="shared" si="14"/>
        <v>882.4564308565109</v>
      </c>
      <c r="AV45"/>
      <c r="AW45" s="6">
        <f>H45*G45/100/AX45*100</f>
        <v>80.37077426390402</v>
      </c>
      <c r="AX45" s="11">
        <f t="shared" si="8"/>
        <v>912.0313576253984</v>
      </c>
      <c r="AY45" s="11">
        <f>J45*I45/100/AZ45*100</f>
        <v>80.94713656387665</v>
      </c>
      <c r="AZ45" s="11">
        <f t="shared" si="9"/>
        <v>853.644346649034</v>
      </c>
      <c r="BA45" s="11">
        <f>L45*K45/100/BB45*100</f>
        <v>80.32697547683925</v>
      </c>
      <c r="BB45" s="11">
        <f t="shared" si="10"/>
        <v>881.6935882951003</v>
      </c>
    </row>
    <row r="46" spans="2:54" ht="12.75">
      <c r="B46" s="6" t="s">
        <v>15</v>
      </c>
      <c r="D46" s="6" t="s">
        <v>31</v>
      </c>
      <c r="E46" s="5"/>
      <c r="F46" s="10"/>
      <c r="G46" s="5"/>
      <c r="H46" s="10">
        <f t="shared" si="11"/>
        <v>2228.3402575055093</v>
      </c>
      <c r="I46" s="5"/>
      <c r="J46" s="10">
        <f t="shared" si="12"/>
        <v>2791.6426464092965</v>
      </c>
      <c r="K46" s="5"/>
      <c r="L46" s="10">
        <f t="shared" si="13"/>
        <v>2308.8552033891815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0">
        <f t="shared" si="0"/>
        <v>1432.1975517781611</v>
      </c>
      <c r="Y46" s="5"/>
      <c r="Z46" s="10">
        <f t="shared" si="0"/>
        <v>1301.149532777823</v>
      </c>
      <c r="AA46" s="5"/>
      <c r="AB46" s="10">
        <f t="shared" si="1"/>
        <v>1387.6463667554492</v>
      </c>
      <c r="AC46" s="5"/>
      <c r="AD46" s="5"/>
      <c r="AE46" s="5"/>
      <c r="AF46" s="10">
        <f t="shared" si="2"/>
        <v>0</v>
      </c>
      <c r="AG46" s="5"/>
      <c r="AH46" s="10">
        <f t="shared" si="3"/>
        <v>0</v>
      </c>
      <c r="AI46" s="5"/>
      <c r="AJ46" s="10">
        <f t="shared" si="4"/>
        <v>0</v>
      </c>
      <c r="AN46" s="11">
        <f t="shared" si="5"/>
        <v>3660.5378092836704</v>
      </c>
      <c r="AP46" s="11">
        <f t="shared" si="6"/>
        <v>4092.7921791871195</v>
      </c>
      <c r="AQ46" s="11"/>
      <c r="AR46" s="11">
        <f t="shared" si="7"/>
        <v>3696.501570144631</v>
      </c>
      <c r="AT46" s="11">
        <f t="shared" si="14"/>
        <v>3816.6105195384735</v>
      </c>
      <c r="AV46"/>
      <c r="AX46" s="11">
        <f t="shared" si="8"/>
        <v>3660.5378092836704</v>
      </c>
      <c r="AY46" s="11"/>
      <c r="AZ46" s="11">
        <f t="shared" si="9"/>
        <v>4092.7921791871195</v>
      </c>
      <c r="BA46" s="11"/>
      <c r="BB46" s="11">
        <f t="shared" si="10"/>
        <v>3696.501570144631</v>
      </c>
    </row>
    <row r="47" spans="2:54" ht="12.75">
      <c r="B47" s="6" t="s">
        <v>33</v>
      </c>
      <c r="D47" s="6" t="s">
        <v>31</v>
      </c>
      <c r="E47" s="5"/>
      <c r="F47" s="10"/>
      <c r="G47" s="5"/>
      <c r="H47" s="10">
        <f>H39+H41</f>
        <v>746.2007835988845</v>
      </c>
      <c r="I47" s="5"/>
      <c r="J47" s="10">
        <f>J39+J41</f>
        <v>469.88044543522824</v>
      </c>
      <c r="K47" s="5"/>
      <c r="L47" s="10">
        <f>L39+L41</f>
        <v>271.963312301057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0">
        <f>X39+X41</f>
        <v>272.83363361373966</v>
      </c>
      <c r="Y47" s="5"/>
      <c r="Z47" s="10">
        <f>Z39+Z41</f>
        <v>163.29426636361677</v>
      </c>
      <c r="AA47" s="5"/>
      <c r="AB47" s="10">
        <f>AB39+AB41</f>
        <v>174.14961902780888</v>
      </c>
      <c r="AC47" s="5"/>
      <c r="AD47" s="5"/>
      <c r="AE47" s="5"/>
      <c r="AF47" s="10">
        <f>AF39+AF41</f>
        <v>857.3279753862515</v>
      </c>
      <c r="AG47" s="5"/>
      <c r="AH47" s="10">
        <f>AH39+AH41</f>
        <v>809.7058556540101</v>
      </c>
      <c r="AI47" s="5"/>
      <c r="AJ47" s="10">
        <f>AJ39+AJ41</f>
        <v>828.3581893616926</v>
      </c>
      <c r="AN47" s="10">
        <f>AN39+AN41</f>
        <v>1876.3623925988759</v>
      </c>
      <c r="AP47" s="10">
        <f>AP39+AP41</f>
        <v>1442.880567452855</v>
      </c>
      <c r="AR47" s="10">
        <f>AR39+AR41</f>
        <v>1274.4711206905586</v>
      </c>
      <c r="AT47" s="11">
        <f t="shared" si="14"/>
        <v>1531.2380269140965</v>
      </c>
      <c r="AV47"/>
      <c r="AX47" s="11">
        <f t="shared" si="8"/>
        <v>1019.0344172126242</v>
      </c>
      <c r="AY47" s="11"/>
      <c r="AZ47" s="11">
        <f t="shared" si="9"/>
        <v>633.174711798845</v>
      </c>
      <c r="BA47" s="11"/>
      <c r="BB47" s="11">
        <f t="shared" si="10"/>
        <v>446.1129313288659</v>
      </c>
    </row>
    <row r="48" spans="2:54" ht="12.75">
      <c r="B48" s="6" t="s">
        <v>34</v>
      </c>
      <c r="D48" s="6" t="s">
        <v>31</v>
      </c>
      <c r="E48" s="5"/>
      <c r="F48" s="10"/>
      <c r="G48" s="5"/>
      <c r="H48" s="10">
        <f>H36+H38+H40</f>
        <v>2663.7462157154687</v>
      </c>
      <c r="I48" s="5"/>
      <c r="J48" s="10">
        <f>J36+J38+J40</f>
        <v>2625.8024891968635</v>
      </c>
      <c r="K48" s="5"/>
      <c r="L48" s="10">
        <f>L36+L38+L40</f>
        <v>2501.495882935763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0">
        <f>X36+X38+X40</f>
        <v>54.42350696757012</v>
      </c>
      <c r="Y48" s="5"/>
      <c r="Z48" s="10">
        <f>Z36+Z38+Z40</f>
        <v>62.45517757333549</v>
      </c>
      <c r="AA48" s="5"/>
      <c r="AB48" s="10">
        <f>AB36+AB38+AB40</f>
        <v>60.709528545550924</v>
      </c>
      <c r="AC48" s="5"/>
      <c r="AD48" s="5"/>
      <c r="AE48" s="5"/>
      <c r="AF48" s="10">
        <f>AF36+AF38+AF40</f>
        <v>17721.400473318623</v>
      </c>
      <c r="AG48" s="5"/>
      <c r="AH48" s="10">
        <f>AH36+AH38+AH40</f>
        <v>16743.70841698188</v>
      </c>
      <c r="AI48" s="5"/>
      <c r="AJ48" s="10">
        <f>AJ36+AJ38+AJ40</f>
        <v>17028.657458800655</v>
      </c>
      <c r="AN48" s="10">
        <f>AN36+AN38+AN40</f>
        <v>20439.570196001663</v>
      </c>
      <c r="AP48" s="10">
        <f>AP36+AP38+AP40</f>
        <v>19431.96608375208</v>
      </c>
      <c r="AR48" s="10">
        <f>AR36+AR38+AR40</f>
        <v>19590.86287028197</v>
      </c>
      <c r="AT48" s="11">
        <f t="shared" si="14"/>
        <v>19820.799716678568</v>
      </c>
      <c r="AV48"/>
      <c r="AX48" s="11">
        <f t="shared" si="8"/>
        <v>2718.169722683039</v>
      </c>
      <c r="AY48" s="11"/>
      <c r="AZ48" s="11">
        <f t="shared" si="9"/>
        <v>2688.2576667701987</v>
      </c>
      <c r="BA48" s="11"/>
      <c r="BB48" s="11">
        <f t="shared" si="10"/>
        <v>2562.2054114813136</v>
      </c>
    </row>
    <row r="49" spans="5:36" ht="12.7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5:36" ht="12.7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56" ht="12.75">
      <c r="B51" s="9" t="s">
        <v>18</v>
      </c>
      <c r="C51" s="9"/>
      <c r="E51" s="5"/>
      <c r="F51" s="17" t="s">
        <v>1</v>
      </c>
      <c r="G51" s="17"/>
      <c r="H51" s="17" t="s">
        <v>3</v>
      </c>
      <c r="I51" s="17"/>
      <c r="J51" s="17" t="s">
        <v>16</v>
      </c>
      <c r="K51" s="17"/>
      <c r="L51" s="17" t="s">
        <v>17</v>
      </c>
      <c r="M51" s="17"/>
      <c r="N51" s="17" t="s">
        <v>1</v>
      </c>
      <c r="O51" s="17"/>
      <c r="P51" s="17" t="s">
        <v>3</v>
      </c>
      <c r="Q51" s="17"/>
      <c r="R51" s="17" t="s">
        <v>16</v>
      </c>
      <c r="S51" s="17"/>
      <c r="T51" s="17" t="s">
        <v>17</v>
      </c>
      <c r="U51" s="17"/>
      <c r="V51" s="17" t="s">
        <v>1</v>
      </c>
      <c r="W51" s="17"/>
      <c r="X51" s="17" t="s">
        <v>3</v>
      </c>
      <c r="Y51" s="17"/>
      <c r="Z51" s="17" t="s">
        <v>16</v>
      </c>
      <c r="AA51" s="17"/>
      <c r="AB51" s="17" t="s">
        <v>17</v>
      </c>
      <c r="AC51" s="17"/>
      <c r="AD51" s="17" t="s">
        <v>1</v>
      </c>
      <c r="AE51" s="17"/>
      <c r="AF51" s="17" t="s">
        <v>3</v>
      </c>
      <c r="AG51" s="17"/>
      <c r="AH51" s="17" t="s">
        <v>16</v>
      </c>
      <c r="AI51" s="17"/>
      <c r="AJ51" s="17" t="s">
        <v>17</v>
      </c>
      <c r="AK51" s="17"/>
      <c r="AL51" s="17" t="s">
        <v>1</v>
      </c>
      <c r="AM51" s="17"/>
      <c r="AN51" s="17" t="s">
        <v>3</v>
      </c>
      <c r="AO51" s="17"/>
      <c r="AP51" s="17" t="s">
        <v>16</v>
      </c>
      <c r="AQ51" s="17"/>
      <c r="AR51" s="17" t="s">
        <v>17</v>
      </c>
      <c r="AS51" s="17"/>
      <c r="AT51" s="17" t="s">
        <v>32</v>
      </c>
      <c r="AV51" s="17" t="s">
        <v>1</v>
      </c>
      <c r="AW51" s="17"/>
      <c r="AX51" s="17" t="s">
        <v>3</v>
      </c>
      <c r="AY51" s="17"/>
      <c r="AZ51" s="17" t="s">
        <v>16</v>
      </c>
      <c r="BA51" s="17"/>
      <c r="BB51" s="17" t="s">
        <v>17</v>
      </c>
      <c r="BC51" s="17"/>
      <c r="BD51" s="17"/>
    </row>
    <row r="52" spans="5:36" ht="12.7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46" ht="12.75">
      <c r="B53" s="6" t="s">
        <v>125</v>
      </c>
      <c r="E53" s="5"/>
      <c r="F53" s="17" t="s">
        <v>127</v>
      </c>
      <c r="G53" s="17"/>
      <c r="H53" s="17" t="s">
        <v>127</v>
      </c>
      <c r="I53" s="17"/>
      <c r="J53" s="17" t="s">
        <v>127</v>
      </c>
      <c r="K53" s="17"/>
      <c r="L53" s="17" t="s">
        <v>127</v>
      </c>
      <c r="M53" s="17"/>
      <c r="N53" s="17" t="s">
        <v>129</v>
      </c>
      <c r="O53" s="17"/>
      <c r="P53" s="17" t="s">
        <v>129</v>
      </c>
      <c r="Q53" s="17"/>
      <c r="R53" s="17" t="s">
        <v>129</v>
      </c>
      <c r="S53" s="17"/>
      <c r="T53" s="17" t="s">
        <v>129</v>
      </c>
      <c r="U53" s="17"/>
      <c r="V53" s="17" t="s">
        <v>131</v>
      </c>
      <c r="W53" s="17"/>
      <c r="X53" s="17" t="s">
        <v>131</v>
      </c>
      <c r="Y53" s="17"/>
      <c r="Z53" s="17" t="s">
        <v>131</v>
      </c>
      <c r="AA53" s="17"/>
      <c r="AB53" s="17" t="s">
        <v>131</v>
      </c>
      <c r="AC53" s="17"/>
      <c r="AD53" s="17" t="s">
        <v>133</v>
      </c>
      <c r="AE53" s="17"/>
      <c r="AF53" s="17" t="s">
        <v>133</v>
      </c>
      <c r="AG53" s="17"/>
      <c r="AH53" s="17" t="s">
        <v>133</v>
      </c>
      <c r="AI53" s="17"/>
      <c r="AJ53" s="17" t="s">
        <v>133</v>
      </c>
      <c r="AK53" s="17"/>
      <c r="AL53" s="17" t="s">
        <v>135</v>
      </c>
      <c r="AM53" s="17"/>
      <c r="AN53" s="17" t="s">
        <v>135</v>
      </c>
      <c r="AO53" s="17"/>
      <c r="AP53" s="17" t="s">
        <v>135</v>
      </c>
      <c r="AQ53" s="17"/>
      <c r="AR53" s="17" t="s">
        <v>135</v>
      </c>
      <c r="AS53" s="17"/>
      <c r="AT53" s="17" t="s">
        <v>135</v>
      </c>
    </row>
    <row r="54" spans="2:46" ht="12.75">
      <c r="B54" s="6" t="s">
        <v>126</v>
      </c>
      <c r="E54" s="5"/>
      <c r="F54" s="6" t="s">
        <v>128</v>
      </c>
      <c r="H54" s="6" t="s">
        <v>128</v>
      </c>
      <c r="J54" s="6" t="s">
        <v>128</v>
      </c>
      <c r="L54" s="6" t="s">
        <v>128</v>
      </c>
      <c r="N54" s="6" t="s">
        <v>130</v>
      </c>
      <c r="P54" s="6" t="s">
        <v>130</v>
      </c>
      <c r="R54" s="6" t="s">
        <v>130</v>
      </c>
      <c r="T54" s="6" t="s">
        <v>130</v>
      </c>
      <c r="V54" s="6" t="s">
        <v>132</v>
      </c>
      <c r="X54" s="6" t="s">
        <v>132</v>
      </c>
      <c r="Z54" s="6" t="s">
        <v>132</v>
      </c>
      <c r="AB54" s="6" t="s">
        <v>132</v>
      </c>
      <c r="AD54" s="6" t="s">
        <v>134</v>
      </c>
      <c r="AF54" s="6" t="s">
        <v>134</v>
      </c>
      <c r="AH54" s="6" t="s">
        <v>134</v>
      </c>
      <c r="AJ54" s="6" t="s">
        <v>134</v>
      </c>
      <c r="AL54" s="6" t="s">
        <v>42</v>
      </c>
      <c r="AN54" s="6" t="s">
        <v>42</v>
      </c>
      <c r="AP54" s="6" t="s">
        <v>42</v>
      </c>
      <c r="AR54" s="6" t="s">
        <v>42</v>
      </c>
      <c r="AT54" s="6" t="s">
        <v>42</v>
      </c>
    </row>
    <row r="55" spans="2:54" ht="12.75">
      <c r="B55" s="6" t="s">
        <v>136</v>
      </c>
      <c r="E55" s="5"/>
      <c r="N55" s="6" t="s">
        <v>137</v>
      </c>
      <c r="P55" s="6" t="s">
        <v>137</v>
      </c>
      <c r="R55" s="6" t="s">
        <v>137</v>
      </c>
      <c r="T55" s="6" t="s">
        <v>137</v>
      </c>
      <c r="AD55" s="6" t="s">
        <v>134</v>
      </c>
      <c r="AF55" s="6" t="s">
        <v>134</v>
      </c>
      <c r="AH55" s="6" t="s">
        <v>134</v>
      </c>
      <c r="AJ55" s="6" t="s">
        <v>134</v>
      </c>
      <c r="AL55" s="6" t="s">
        <v>42</v>
      </c>
      <c r="AN55" s="6" t="s">
        <v>42</v>
      </c>
      <c r="AP55" s="6" t="s">
        <v>42</v>
      </c>
      <c r="AR55" s="6" t="s">
        <v>42</v>
      </c>
      <c r="AT55" s="6" t="s">
        <v>42</v>
      </c>
      <c r="AV55" s="6" t="s">
        <v>138</v>
      </c>
      <c r="AX55" s="6" t="s">
        <v>138</v>
      </c>
      <c r="AZ55" s="6" t="s">
        <v>138</v>
      </c>
      <c r="BB55" s="6" t="s">
        <v>138</v>
      </c>
    </row>
    <row r="56" spans="2:38" ht="12.75">
      <c r="B56" s="6" t="s">
        <v>124</v>
      </c>
      <c r="F56" s="6" t="s">
        <v>36</v>
      </c>
      <c r="N56" s="6" t="s">
        <v>37</v>
      </c>
      <c r="V56" s="6" t="s">
        <v>41</v>
      </c>
      <c r="AD56" s="6" t="s">
        <v>38</v>
      </c>
      <c r="AL56" s="6" t="s">
        <v>42</v>
      </c>
    </row>
    <row r="57" spans="1:36" ht="12.75">
      <c r="A57" s="6" t="s">
        <v>18</v>
      </c>
      <c r="B57" s="6" t="s">
        <v>2</v>
      </c>
      <c r="D57" s="6" t="s">
        <v>35</v>
      </c>
      <c r="E57" s="5"/>
      <c r="F57" s="5">
        <v>8838</v>
      </c>
      <c r="G57" s="5"/>
      <c r="H57" s="5">
        <v>8838</v>
      </c>
      <c r="I57" s="5"/>
      <c r="J57" s="5">
        <v>8844</v>
      </c>
      <c r="K57" s="5"/>
      <c r="L57" s="5"/>
      <c r="M57" s="5"/>
      <c r="N57" s="5">
        <v>1369</v>
      </c>
      <c r="O57" s="5"/>
      <c r="P57" s="5">
        <v>1367</v>
      </c>
      <c r="Q57" s="5"/>
      <c r="R57" s="5">
        <v>1397</v>
      </c>
      <c r="S57" s="5"/>
      <c r="T57" s="5"/>
      <c r="U57" s="5"/>
      <c r="V57" s="5">
        <v>2178</v>
      </c>
      <c r="W57" s="5"/>
      <c r="X57" s="5">
        <v>2172</v>
      </c>
      <c r="Y57" s="5"/>
      <c r="Z57" s="5">
        <v>2166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42" ht="12.75">
      <c r="B58" s="6" t="s">
        <v>40</v>
      </c>
      <c r="D58" s="6" t="s">
        <v>35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L58" s="6">
        <v>515</v>
      </c>
      <c r="AN58" s="6">
        <v>404</v>
      </c>
      <c r="AP58" s="6">
        <v>405</v>
      </c>
    </row>
    <row r="59" spans="1:36" ht="12.75">
      <c r="A59" s="6" t="s">
        <v>18</v>
      </c>
      <c r="B59" s="6" t="s">
        <v>19</v>
      </c>
      <c r="D59" s="6" t="s">
        <v>35</v>
      </c>
      <c r="E59" s="5"/>
      <c r="F59" s="5">
        <v>16.8</v>
      </c>
      <c r="G59" s="5"/>
      <c r="H59" s="5">
        <v>12.4</v>
      </c>
      <c r="I59" s="5"/>
      <c r="J59" s="5">
        <v>12.4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212</v>
      </c>
      <c r="W59" s="5"/>
      <c r="X59" s="5">
        <v>211</v>
      </c>
      <c r="Y59" s="5"/>
      <c r="Z59" s="5">
        <v>238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1" spans="2:46" ht="12.75">
      <c r="B61" s="6" t="s">
        <v>43</v>
      </c>
      <c r="F61" s="6">
        <f>'emiss 2'!$G$50</f>
        <v>17742</v>
      </c>
      <c r="H61" s="6">
        <f>'emiss 2'!$I$50</f>
        <v>17038</v>
      </c>
      <c r="J61" s="6">
        <f>'emiss 2'!$K$50</f>
        <v>16863</v>
      </c>
      <c r="N61" s="6">
        <f>'emiss 2'!$G$50</f>
        <v>17742</v>
      </c>
      <c r="P61" s="6">
        <f>'emiss 2'!$I$50</f>
        <v>17038</v>
      </c>
      <c r="R61" s="6">
        <f>'emiss 2'!$K$50</f>
        <v>16863</v>
      </c>
      <c r="V61" s="6">
        <f>'emiss 2'!$G$50</f>
        <v>17742</v>
      </c>
      <c r="X61" s="6">
        <f>'emiss 2'!$I$50</f>
        <v>17038</v>
      </c>
      <c r="Z61" s="6">
        <f>'emiss 2'!$K$50</f>
        <v>16863</v>
      </c>
      <c r="AD61" s="6">
        <f>'emiss 2'!$G$50</f>
        <v>17742</v>
      </c>
      <c r="AF61" s="6">
        <f>'emiss 2'!$I$50</f>
        <v>17038</v>
      </c>
      <c r="AH61" s="6">
        <f>'emiss 2'!$K$50</f>
        <v>16863</v>
      </c>
      <c r="AL61" s="6">
        <f>'emiss 2'!$G$50</f>
        <v>17742</v>
      </c>
      <c r="AN61" s="6">
        <f>'emiss 2'!$I$50</f>
        <v>17038</v>
      </c>
      <c r="AP61" s="6">
        <f>'emiss 2'!$K$50</f>
        <v>16863</v>
      </c>
      <c r="AT61" s="6">
        <f>AVERAGE(AL61,AN61,AP61)</f>
        <v>17214.333333333332</v>
      </c>
    </row>
    <row r="62" spans="2:46" ht="12.75">
      <c r="B62" s="6" t="s">
        <v>27</v>
      </c>
      <c r="F62" s="6">
        <f>'emiss 2'!$G$51</f>
        <v>7.3</v>
      </c>
      <c r="H62" s="6">
        <f>'emiss 2'!$I$51</f>
        <v>6.7</v>
      </c>
      <c r="J62" s="6">
        <f>'emiss 2'!$K$51</f>
        <v>7.3</v>
      </c>
      <c r="N62" s="6">
        <f>'emiss 2'!$G$51</f>
        <v>7.3</v>
      </c>
      <c r="P62" s="6">
        <f>'emiss 2'!$I$51</f>
        <v>6.7</v>
      </c>
      <c r="R62" s="6">
        <f>'emiss 2'!$K$51</f>
        <v>7.3</v>
      </c>
      <c r="V62" s="6">
        <f>'emiss 2'!$G$51</f>
        <v>7.3</v>
      </c>
      <c r="X62" s="6">
        <f>'emiss 2'!$I$51</f>
        <v>6.7</v>
      </c>
      <c r="Z62" s="6">
        <f>'emiss 2'!$K$51</f>
        <v>7.3</v>
      </c>
      <c r="AD62" s="6">
        <f>'emiss 2'!$G$51</f>
        <v>7.3</v>
      </c>
      <c r="AF62" s="6">
        <f>'emiss 2'!$I$51</f>
        <v>6.7</v>
      </c>
      <c r="AH62" s="6">
        <f>'emiss 2'!$K$51</f>
        <v>7.3</v>
      </c>
      <c r="AL62" s="6">
        <f>'emiss 2'!$G$51</f>
        <v>7.3</v>
      </c>
      <c r="AN62" s="6">
        <f>'emiss 2'!$I$51</f>
        <v>6.7</v>
      </c>
      <c r="AP62" s="6">
        <f>'emiss 2'!$K$51</f>
        <v>7.3</v>
      </c>
      <c r="AT62" s="6">
        <f>AVERAGE(AL62,AN62,AP62)</f>
        <v>7.1000000000000005</v>
      </c>
    </row>
    <row r="64" spans="2:46" ht="12.75">
      <c r="B64" s="18" t="s">
        <v>140</v>
      </c>
      <c r="C64" s="18"/>
      <c r="D64" s="18" t="s">
        <v>139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L64" s="24">
        <f>AL61/9000*60*(21-AL62)/21</f>
        <v>77.16361904761905</v>
      </c>
      <c r="AM64" s="5"/>
      <c r="AN64" s="24">
        <f>AN61/9000*60*(21-AN62)/21</f>
        <v>77.34711111111112</v>
      </c>
      <c r="AO64" s="5"/>
      <c r="AP64" s="24">
        <f>AP61/9000*60*(21-AP62)/21</f>
        <v>73.34066666666666</v>
      </c>
      <c r="AQ64" s="5"/>
      <c r="AR64" s="24"/>
      <c r="AT64" s="24">
        <f>AT61/9000*60*(21-AT62)/21</f>
        <v>75.96166137566136</v>
      </c>
    </row>
    <row r="66" ht="12.75">
      <c r="B66" s="6" t="s">
        <v>44</v>
      </c>
    </row>
    <row r="67" spans="2:46" ht="12.75">
      <c r="B67" s="6" t="s">
        <v>40</v>
      </c>
      <c r="D67" s="6" t="s">
        <v>45</v>
      </c>
      <c r="AL67" s="11">
        <f>AL58*454/AL61/0.0283/60*14/(21-AL62)*1000</f>
        <v>7931.042727706579</v>
      </c>
      <c r="AN67" s="11">
        <f>AN58*454/AN61/0.0283/60*14/(21-AN62)*1000</f>
        <v>6206.873815631958</v>
      </c>
      <c r="AP67" s="11">
        <f>AP58*454/AP61/0.0283/60*14/(21-AP62)*1000</f>
        <v>6562.144941946539</v>
      </c>
      <c r="AT67" s="11">
        <f>AVERAGE(AL67,AN67,AP67)</f>
        <v>6900.020495095026</v>
      </c>
    </row>
    <row r="68" spans="2:52" ht="12.75">
      <c r="B68" s="6" t="s">
        <v>19</v>
      </c>
      <c r="D68" s="6" t="s">
        <v>31</v>
      </c>
      <c r="F68" s="6">
        <f>F59*454*1000000/F61/0.0283/60*14/(21-F62)</f>
        <v>258721.39383586516</v>
      </c>
      <c r="H68" s="6">
        <f>H59*454*1000000/H61/0.0283/60*14/(21-H62)</f>
        <v>190508.00820256502</v>
      </c>
      <c r="J68" s="6">
        <f>J59*454*1000000/J61/0.0283/60*14/(21-J62)</f>
        <v>200915.0550126841</v>
      </c>
      <c r="V68" s="6">
        <f>V59*454*1000000/V61/0.0283/60*14/(21-V62)</f>
        <v>3264817.5888811555</v>
      </c>
      <c r="X68" s="6">
        <f>X59*454*1000000/X61/0.0283/60*14/(21-X62)</f>
        <v>3241708.849253324</v>
      </c>
      <c r="Z68" s="6">
        <f>Z59*454*1000000/Z61/0.0283/60*14/(21-Z62)</f>
        <v>3856272.830082163</v>
      </c>
      <c r="AL68" s="6">
        <f>F68+N68+V68+AD68</f>
        <v>3523538.9827170204</v>
      </c>
      <c r="AN68" s="6">
        <f>H68+P68+X68+AF68</f>
        <v>3432216.8574558888</v>
      </c>
      <c r="AP68" s="6">
        <f>J68+R68+Z68+AH68</f>
        <v>4057187.8850948475</v>
      </c>
      <c r="AT68" s="6">
        <f>AVERAGE(AL68,AN68,AP68)</f>
        <v>3670981.241755919</v>
      </c>
      <c r="AV68" s="6">
        <f>V68+F68</f>
        <v>3523538.9827170204</v>
      </c>
      <c r="AX68" s="6">
        <f>X68+H68</f>
        <v>3432216.8574558888</v>
      </c>
      <c r="AZ68" s="6">
        <f>Z68+J68</f>
        <v>4057187.8850948475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C2">
      <selection activeCell="E17" sqref="E17:G17"/>
    </sheetView>
  </sheetViews>
  <sheetFormatPr defaultColWidth="9.140625" defaultRowHeight="12.75"/>
  <cols>
    <col min="1" max="2" width="13.00390625" style="0" hidden="1" customWidth="1"/>
    <col min="3" max="3" width="41.00390625" style="0" customWidth="1"/>
  </cols>
  <sheetData>
    <row r="1" ht="12.75">
      <c r="C1" s="7" t="s">
        <v>100</v>
      </c>
    </row>
    <row r="3" spans="3:8" ht="12.75">
      <c r="C3" s="9" t="s">
        <v>0</v>
      </c>
      <c r="E3" s="16" t="s">
        <v>1</v>
      </c>
      <c r="F3" s="16" t="s">
        <v>3</v>
      </c>
      <c r="G3" s="16" t="s">
        <v>16</v>
      </c>
      <c r="H3" s="16" t="s">
        <v>17</v>
      </c>
    </row>
    <row r="5" spans="1:31" s="6" customFormat="1" ht="12.75">
      <c r="A5" s="6" t="s">
        <v>0</v>
      </c>
      <c r="B5" s="6" t="s">
        <v>94</v>
      </c>
      <c r="C5" s="6" t="s">
        <v>98</v>
      </c>
      <c r="D5" s="6" t="s">
        <v>95</v>
      </c>
      <c r="E5" s="5">
        <v>1700</v>
      </c>
      <c r="F5" s="5">
        <v>1702</v>
      </c>
      <c r="G5" s="5">
        <v>1696</v>
      </c>
      <c r="H5" s="5">
        <v>1700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2.75">
      <c r="A6" s="6" t="s">
        <v>0</v>
      </c>
      <c r="B6" s="6" t="s">
        <v>96</v>
      </c>
      <c r="C6" s="6" t="s">
        <v>99</v>
      </c>
      <c r="D6" s="6" t="s">
        <v>95</v>
      </c>
      <c r="E6" s="5">
        <v>1800</v>
      </c>
      <c r="F6" s="5">
        <v>1800</v>
      </c>
      <c r="G6" s="5">
        <v>1798</v>
      </c>
      <c r="H6" s="5">
        <v>1801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2" s="6" customFormat="1" ht="12.75">
      <c r="A7" s="6" t="s">
        <v>0</v>
      </c>
      <c r="B7" s="6" t="s">
        <v>96</v>
      </c>
      <c r="C7" s="6" t="s">
        <v>145</v>
      </c>
      <c r="D7" s="6" t="s">
        <v>95</v>
      </c>
      <c r="E7" s="5">
        <v>142</v>
      </c>
      <c r="F7" s="5">
        <v>142</v>
      </c>
      <c r="G7" s="5">
        <v>143</v>
      </c>
      <c r="H7" s="5">
        <v>148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3" s="6" customFormat="1" ht="12.75">
      <c r="A8" s="6" t="s">
        <v>0</v>
      </c>
      <c r="B8" s="6" t="s">
        <v>96</v>
      </c>
      <c r="C8" s="6" t="s">
        <v>146</v>
      </c>
      <c r="D8" s="6" t="s">
        <v>97</v>
      </c>
      <c r="E8" s="5">
        <v>0.83</v>
      </c>
      <c r="F8" s="5">
        <v>0.87</v>
      </c>
      <c r="G8" s="5">
        <v>0.84</v>
      </c>
      <c r="H8" s="5">
        <v>0.9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2" s="6" customFormat="1" ht="12.75">
      <c r="A9" s="6" t="s">
        <v>0</v>
      </c>
      <c r="B9" s="6" t="s">
        <v>96</v>
      </c>
      <c r="C9" s="6" t="s">
        <v>147</v>
      </c>
      <c r="E9" s="5">
        <v>7.5</v>
      </c>
      <c r="F9" s="5">
        <v>6.5</v>
      </c>
      <c r="G9" s="5">
        <v>6.8</v>
      </c>
      <c r="H9" s="5">
        <v>6.5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3:22" s="6" customFormat="1" ht="12.75">
      <c r="C10" s="6" t="s">
        <v>148</v>
      </c>
      <c r="D10" s="6" t="s">
        <v>97</v>
      </c>
      <c r="E10" s="5">
        <v>14</v>
      </c>
      <c r="F10" s="5">
        <v>14</v>
      </c>
      <c r="G10" s="5">
        <v>14</v>
      </c>
      <c r="H10" s="5">
        <v>14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3:22" s="6" customFormat="1" ht="12.75">
      <c r="C11" s="6" t="s">
        <v>149</v>
      </c>
      <c r="D11" s="6" t="s">
        <v>151</v>
      </c>
      <c r="E11" s="5">
        <v>290</v>
      </c>
      <c r="F11" s="5">
        <v>286</v>
      </c>
      <c r="G11" s="5">
        <v>277</v>
      </c>
      <c r="H11" s="5">
        <v>290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3:22" s="6" customFormat="1" ht="12.75">
      <c r="C12" s="6" t="s">
        <v>150</v>
      </c>
      <c r="E12" s="5">
        <v>5.5</v>
      </c>
      <c r="F12" s="5">
        <v>4.9</v>
      </c>
      <c r="G12" s="5">
        <v>5.4</v>
      </c>
      <c r="H12" s="5">
        <v>5.1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3:22" s="6" customFormat="1" ht="12.75">
      <c r="C13" s="6" t="s">
        <v>152</v>
      </c>
      <c r="D13" s="6" t="s">
        <v>97</v>
      </c>
      <c r="E13" s="5">
        <v>22</v>
      </c>
      <c r="F13" s="5">
        <v>22</v>
      </c>
      <c r="G13" s="5">
        <v>22</v>
      </c>
      <c r="H13" s="5">
        <v>22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3:22" s="6" customFormat="1" ht="12.75">
      <c r="C14" s="6" t="s">
        <v>153</v>
      </c>
      <c r="D14" s="6" t="s">
        <v>151</v>
      </c>
      <c r="E14" s="5">
        <v>274</v>
      </c>
      <c r="F14" s="5">
        <v>267</v>
      </c>
      <c r="G14" s="5">
        <v>265</v>
      </c>
      <c r="H14" s="5">
        <v>262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3:22" s="6" customFormat="1" ht="12.75">
      <c r="C15" s="6" t="s">
        <v>154</v>
      </c>
      <c r="E15" s="5">
        <v>7.6</v>
      </c>
      <c r="F15" s="5">
        <v>7.6</v>
      </c>
      <c r="G15" s="5">
        <v>7.5</v>
      </c>
      <c r="H15" s="5">
        <v>7.2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5:22" s="6" customFormat="1" ht="12.75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3:22" s="6" customFormat="1" ht="12.75">
      <c r="C17" s="9" t="s">
        <v>18</v>
      </c>
      <c r="E17" s="16" t="s">
        <v>1</v>
      </c>
      <c r="F17" s="16" t="s">
        <v>3</v>
      </c>
      <c r="G17" s="16" t="s">
        <v>16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5:22" s="6" customFormat="1" ht="12.75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31" s="6" customFormat="1" ht="12.75">
      <c r="A19" s="6" t="s">
        <v>18</v>
      </c>
      <c r="B19" s="6" t="s">
        <v>94</v>
      </c>
      <c r="C19" s="6" t="s">
        <v>98</v>
      </c>
      <c r="D19" s="6" t="s">
        <v>95</v>
      </c>
      <c r="E19" s="5">
        <v>1590</v>
      </c>
      <c r="F19" s="5">
        <v>1591</v>
      </c>
      <c r="G19" s="5">
        <v>1583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2.75">
      <c r="A20" s="6" t="s">
        <v>18</v>
      </c>
      <c r="B20" s="6" t="s">
        <v>96</v>
      </c>
      <c r="C20" s="6" t="s">
        <v>99</v>
      </c>
      <c r="D20" s="6" t="s">
        <v>95</v>
      </c>
      <c r="E20" s="5">
        <v>1800</v>
      </c>
      <c r="F20" s="5">
        <v>1800</v>
      </c>
      <c r="G20" s="5">
        <v>1800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22" s="6" customFormat="1" ht="12.75">
      <c r="A21" s="6" t="s">
        <v>18</v>
      </c>
      <c r="B21" s="6" t="s">
        <v>96</v>
      </c>
      <c r="C21" s="6" t="s">
        <v>145</v>
      </c>
      <c r="D21" s="6" t="s">
        <v>95</v>
      </c>
      <c r="E21" s="5">
        <v>146</v>
      </c>
      <c r="F21" s="5">
        <v>148</v>
      </c>
      <c r="G21" s="5">
        <v>149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3" s="6" customFormat="1" ht="12.75">
      <c r="A22" s="6" t="s">
        <v>18</v>
      </c>
      <c r="B22" s="6" t="s">
        <v>96</v>
      </c>
      <c r="C22" s="6" t="s">
        <v>146</v>
      </c>
      <c r="D22" s="6" t="s">
        <v>97</v>
      </c>
      <c r="E22" s="5">
        <v>0.96</v>
      </c>
      <c r="F22" s="5">
        <v>0.93</v>
      </c>
      <c r="G22" s="5">
        <v>0.91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2" s="6" customFormat="1" ht="12.75">
      <c r="A23" s="6" t="s">
        <v>18</v>
      </c>
      <c r="B23" s="6" t="s">
        <v>96</v>
      </c>
      <c r="C23" s="6" t="s">
        <v>147</v>
      </c>
      <c r="E23" s="5">
        <v>7.7</v>
      </c>
      <c r="F23" s="5">
        <v>7.2</v>
      </c>
      <c r="G23" s="5">
        <v>6.5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3:7" ht="12.75">
      <c r="C24" s="6" t="s">
        <v>148</v>
      </c>
      <c r="D24" s="6" t="s">
        <v>97</v>
      </c>
      <c r="E24">
        <v>14</v>
      </c>
      <c r="F24">
        <v>14</v>
      </c>
      <c r="G24">
        <v>14</v>
      </c>
    </row>
    <row r="25" spans="3:7" ht="12.75">
      <c r="C25" s="6" t="s">
        <v>149</v>
      </c>
      <c r="D25" s="6" t="s">
        <v>151</v>
      </c>
      <c r="E25">
        <v>271</v>
      </c>
      <c r="F25">
        <v>270</v>
      </c>
      <c r="G25">
        <v>267</v>
      </c>
    </row>
    <row r="26" spans="3:7" ht="12.75">
      <c r="C26" s="6" t="s">
        <v>150</v>
      </c>
      <c r="D26" s="6"/>
      <c r="E26">
        <v>5.9</v>
      </c>
      <c r="F26">
        <v>5.5</v>
      </c>
      <c r="G26">
        <v>5.3</v>
      </c>
    </row>
    <row r="27" spans="3:7" ht="12.75">
      <c r="C27" s="6" t="s">
        <v>152</v>
      </c>
      <c r="D27" s="6" t="s">
        <v>97</v>
      </c>
      <c r="E27">
        <v>22</v>
      </c>
      <c r="F27">
        <v>22</v>
      </c>
      <c r="G27">
        <v>22</v>
      </c>
    </row>
    <row r="28" spans="3:7" ht="12.75">
      <c r="C28" s="6" t="s">
        <v>153</v>
      </c>
      <c r="D28" s="6" t="s">
        <v>151</v>
      </c>
      <c r="E28">
        <v>255</v>
      </c>
      <c r="F28">
        <v>258</v>
      </c>
      <c r="G28">
        <v>258</v>
      </c>
    </row>
    <row r="29" spans="3:7" ht="12.75">
      <c r="C29" s="6" t="s">
        <v>154</v>
      </c>
      <c r="D29" s="6"/>
      <c r="E29">
        <v>7.5</v>
      </c>
      <c r="F29">
        <v>7.5</v>
      </c>
      <c r="G29">
        <v>7.4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5">
      <selection activeCell="J42" sqref="J4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1.28125" style="0" customWidth="1"/>
    <col min="4" max="4" width="4.00390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16" customWidth="1"/>
    <col min="11" max="11" width="9.28125" style="0" customWidth="1"/>
    <col min="13" max="13" width="9.28125" style="0" customWidth="1"/>
    <col min="14" max="14" width="2.851562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18" ht="12.75">
      <c r="A1" s="8" t="s">
        <v>171</v>
      </c>
      <c r="B1" s="38"/>
      <c r="C1" s="38"/>
      <c r="D1" s="38"/>
      <c r="E1" s="39"/>
      <c r="F1" s="40"/>
      <c r="G1" s="39"/>
      <c r="H1" s="40"/>
      <c r="I1" s="41"/>
      <c r="J1" s="39"/>
      <c r="K1" s="39"/>
      <c r="L1" s="39"/>
      <c r="M1" s="39"/>
      <c r="N1" s="39"/>
      <c r="O1" s="39"/>
      <c r="P1" s="39"/>
      <c r="Q1" s="39"/>
      <c r="R1" s="39"/>
    </row>
    <row r="2" spans="1:18" ht="12.75">
      <c r="A2" s="38" t="s">
        <v>243</v>
      </c>
      <c r="B2" s="38"/>
      <c r="C2" s="38"/>
      <c r="D2" s="38"/>
      <c r="E2" s="39"/>
      <c r="F2" s="40"/>
      <c r="G2" s="39"/>
      <c r="H2" s="40"/>
      <c r="I2" s="41"/>
      <c r="J2" s="39"/>
      <c r="K2" s="39"/>
      <c r="L2" s="39"/>
      <c r="M2" s="39"/>
      <c r="N2" s="39"/>
      <c r="O2" s="39"/>
      <c r="P2" s="39"/>
      <c r="Q2" s="39"/>
      <c r="R2" s="39"/>
    </row>
    <row r="3" spans="1:18" ht="12.75">
      <c r="A3" s="38" t="s">
        <v>175</v>
      </c>
      <c r="B3" s="38"/>
      <c r="C3" s="42" t="s">
        <v>217</v>
      </c>
      <c r="D3" s="42"/>
      <c r="E3" s="39"/>
      <c r="F3" s="40"/>
      <c r="G3" s="39"/>
      <c r="H3" s="40"/>
      <c r="I3" s="41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38" t="s">
        <v>176</v>
      </c>
      <c r="B4" s="38"/>
      <c r="C4" s="42" t="s">
        <v>161</v>
      </c>
      <c r="D4" s="42"/>
      <c r="E4" s="43"/>
      <c r="F4" s="44"/>
      <c r="G4" s="43"/>
      <c r="H4" s="44"/>
      <c r="I4" s="41"/>
      <c r="J4" s="43"/>
      <c r="K4" s="43"/>
      <c r="L4" s="43"/>
      <c r="M4" s="43"/>
      <c r="N4" s="43"/>
      <c r="O4" s="43"/>
      <c r="P4" s="43"/>
      <c r="Q4" s="43"/>
      <c r="R4" s="43"/>
    </row>
    <row r="5" spans="1:18" ht="12.75">
      <c r="A5" s="38" t="s">
        <v>177</v>
      </c>
      <c r="B5" s="38"/>
      <c r="C5" s="21" t="s">
        <v>219</v>
      </c>
      <c r="D5" s="21"/>
      <c r="E5" s="21"/>
      <c r="F5" s="21"/>
      <c r="G5" s="21"/>
      <c r="H5" s="21"/>
      <c r="I5" s="45"/>
      <c r="J5" s="21"/>
      <c r="K5" s="39"/>
      <c r="L5" s="21"/>
      <c r="M5" s="39"/>
      <c r="N5" s="39"/>
      <c r="O5" s="39"/>
      <c r="P5" s="39"/>
      <c r="Q5" s="39"/>
      <c r="R5" s="39"/>
    </row>
    <row r="6" spans="1:18" ht="12.75">
      <c r="A6" s="38"/>
      <c r="B6" s="38"/>
      <c r="C6" s="46"/>
      <c r="D6" s="46"/>
      <c r="E6" s="41"/>
      <c r="F6" s="40"/>
      <c r="G6" s="41"/>
      <c r="H6" s="40"/>
      <c r="I6" s="41"/>
      <c r="J6" s="41"/>
      <c r="K6" s="39"/>
      <c r="L6" s="41"/>
      <c r="M6" s="39"/>
      <c r="N6" s="39"/>
      <c r="O6" s="41"/>
      <c r="P6" s="39"/>
      <c r="Q6" s="41"/>
      <c r="R6" s="39"/>
    </row>
    <row r="7" spans="1:18" ht="12.75">
      <c r="A7" s="38"/>
      <c r="B7" s="38"/>
      <c r="C7" s="46" t="s">
        <v>178</v>
      </c>
      <c r="D7" s="46"/>
      <c r="E7" s="47" t="s">
        <v>179</v>
      </c>
      <c r="F7" s="47"/>
      <c r="G7" s="47"/>
      <c r="H7" s="47"/>
      <c r="I7" s="48"/>
      <c r="J7" s="47" t="s">
        <v>180</v>
      </c>
      <c r="K7" s="47"/>
      <c r="L7" s="47"/>
      <c r="M7" s="47"/>
      <c r="N7" s="48"/>
      <c r="O7" s="47" t="s">
        <v>181</v>
      </c>
      <c r="P7" s="47"/>
      <c r="Q7" s="47"/>
      <c r="R7" s="47"/>
    </row>
    <row r="8" spans="1:18" ht="12.75">
      <c r="A8" s="38"/>
      <c r="B8" s="38"/>
      <c r="C8" s="46" t="s">
        <v>182</v>
      </c>
      <c r="D8" s="38"/>
      <c r="E8" s="41" t="s">
        <v>42</v>
      </c>
      <c r="F8" s="44" t="s">
        <v>183</v>
      </c>
      <c r="G8" s="41" t="s">
        <v>42</v>
      </c>
      <c r="H8" s="44" t="s">
        <v>183</v>
      </c>
      <c r="I8" s="41"/>
      <c r="J8" s="41" t="s">
        <v>42</v>
      </c>
      <c r="K8" s="41" t="s">
        <v>184</v>
      </c>
      <c r="L8" s="41" t="s">
        <v>42</v>
      </c>
      <c r="M8" s="41" t="s">
        <v>184</v>
      </c>
      <c r="N8" s="39"/>
      <c r="O8" s="41" t="s">
        <v>42</v>
      </c>
      <c r="P8" s="41" t="s">
        <v>184</v>
      </c>
      <c r="Q8" s="41" t="s">
        <v>42</v>
      </c>
      <c r="R8" s="41" t="s">
        <v>184</v>
      </c>
    </row>
    <row r="9" spans="1:18" ht="12.75">
      <c r="A9" s="38"/>
      <c r="B9" s="38"/>
      <c r="C9" s="46"/>
      <c r="D9" s="38"/>
      <c r="E9" s="41" t="s">
        <v>241</v>
      </c>
      <c r="F9" s="44" t="s">
        <v>241</v>
      </c>
      <c r="G9" s="41" t="s">
        <v>185</v>
      </c>
      <c r="H9" s="44" t="s">
        <v>185</v>
      </c>
      <c r="I9" s="41"/>
      <c r="J9" s="41" t="s">
        <v>241</v>
      </c>
      <c r="K9" s="44" t="s">
        <v>241</v>
      </c>
      <c r="L9" s="41" t="s">
        <v>185</v>
      </c>
      <c r="M9" s="44" t="s">
        <v>185</v>
      </c>
      <c r="N9" s="39"/>
      <c r="O9" s="41" t="s">
        <v>241</v>
      </c>
      <c r="P9" s="44" t="s">
        <v>241</v>
      </c>
      <c r="Q9" s="41" t="s">
        <v>185</v>
      </c>
      <c r="R9" s="44" t="s">
        <v>185</v>
      </c>
    </row>
    <row r="10" spans="1:18" ht="12.75">
      <c r="A10" s="38" t="s">
        <v>220</v>
      </c>
      <c r="B10" s="38"/>
      <c r="C10" s="38"/>
      <c r="D10" s="38"/>
      <c r="E10" s="39"/>
      <c r="F10" s="40"/>
      <c r="G10" s="39"/>
      <c r="H10" s="40"/>
      <c r="I10" s="41"/>
      <c r="J10" s="39"/>
      <c r="K10" s="39"/>
      <c r="L10" s="39"/>
      <c r="M10" s="39"/>
      <c r="N10" s="39"/>
      <c r="O10" s="49"/>
      <c r="P10" s="39"/>
      <c r="Q10" s="39"/>
      <c r="R10" s="39"/>
    </row>
    <row r="11" spans="1:18" ht="12.75">
      <c r="A11" s="38"/>
      <c r="B11" s="38" t="s">
        <v>186</v>
      </c>
      <c r="C11" s="46">
        <v>1</v>
      </c>
      <c r="E11">
        <v>0.0059</v>
      </c>
      <c r="F11" s="40">
        <f aca="true" t="shared" si="0" ref="F11:H35">IF(E11="","",E11*$C11)</f>
        <v>0.0059</v>
      </c>
      <c r="G11" s="40">
        <f aca="true" t="shared" si="1" ref="G11:G35">IF(E11=0,"",IF(D11="nd",E11/2,E11))</f>
        <v>0.0059</v>
      </c>
      <c r="H11" s="40">
        <f t="shared" si="0"/>
        <v>0.0059</v>
      </c>
      <c r="I11"/>
      <c r="J11">
        <v>0.0113</v>
      </c>
      <c r="K11" s="40">
        <f aca="true" t="shared" si="2" ref="K11:M35">IF(J11="","",J11*$C11)</f>
        <v>0.0113</v>
      </c>
      <c r="L11" s="40">
        <f aca="true" t="shared" si="3" ref="L11:L35">IF(J11=0,"",IF(I11="nd",J11/2,J11))</f>
        <v>0.0113</v>
      </c>
      <c r="M11" s="40">
        <f t="shared" si="2"/>
        <v>0.0113</v>
      </c>
      <c r="N11" t="s">
        <v>25</v>
      </c>
      <c r="O11">
        <v>0.0121</v>
      </c>
      <c r="P11" s="40">
        <f aca="true" t="shared" si="4" ref="P11:R35">IF(O11="","",O11*$C11)</f>
        <v>0.0121</v>
      </c>
      <c r="Q11" s="40">
        <f aca="true" t="shared" si="5" ref="Q11:Q35">IF(O11=0,"",IF(N11="nd",O11/2,O11))</f>
        <v>0.00605</v>
      </c>
      <c r="R11" s="40">
        <f t="shared" si="4"/>
        <v>0.00605</v>
      </c>
    </row>
    <row r="12" spans="1:18" ht="12.75">
      <c r="A12" s="38"/>
      <c r="B12" s="38" t="s">
        <v>187</v>
      </c>
      <c r="C12" s="46">
        <v>0</v>
      </c>
      <c r="E12">
        <v>0.078</v>
      </c>
      <c r="F12" s="40">
        <f t="shared" si="0"/>
        <v>0</v>
      </c>
      <c r="G12" s="40">
        <f t="shared" si="1"/>
        <v>0.078</v>
      </c>
      <c r="H12" s="40">
        <f t="shared" si="0"/>
        <v>0</v>
      </c>
      <c r="I12"/>
      <c r="J12">
        <v>0.06</v>
      </c>
      <c r="K12" s="40">
        <f t="shared" si="2"/>
        <v>0</v>
      </c>
      <c r="L12" s="40">
        <f t="shared" si="3"/>
        <v>0.06</v>
      </c>
      <c r="M12" s="40">
        <f t="shared" si="2"/>
        <v>0</v>
      </c>
      <c r="N12" t="s">
        <v>25</v>
      </c>
      <c r="O12">
        <v>0.041</v>
      </c>
      <c r="P12" s="40">
        <f t="shared" si="4"/>
        <v>0</v>
      </c>
      <c r="Q12" s="40">
        <f t="shared" si="5"/>
        <v>0.0205</v>
      </c>
      <c r="R12" s="40">
        <f t="shared" si="4"/>
        <v>0</v>
      </c>
    </row>
    <row r="13" spans="1:18" ht="12.75">
      <c r="A13" s="38"/>
      <c r="B13" s="38" t="s">
        <v>188</v>
      </c>
      <c r="C13" s="46">
        <v>0.5</v>
      </c>
      <c r="E13">
        <v>0.0085</v>
      </c>
      <c r="F13" s="40">
        <f t="shared" si="0"/>
        <v>0.00425</v>
      </c>
      <c r="G13" s="40">
        <f t="shared" si="1"/>
        <v>0.0085</v>
      </c>
      <c r="H13" s="40">
        <f t="shared" si="0"/>
        <v>0.00425</v>
      </c>
      <c r="I13"/>
      <c r="J13">
        <v>0.02</v>
      </c>
      <c r="K13" s="40">
        <f t="shared" si="2"/>
        <v>0.01</v>
      </c>
      <c r="L13" s="40">
        <f t="shared" si="3"/>
        <v>0.02</v>
      </c>
      <c r="M13" s="40">
        <f t="shared" si="2"/>
        <v>0.01</v>
      </c>
      <c r="O13">
        <v>0.0113</v>
      </c>
      <c r="P13" s="40">
        <f t="shared" si="4"/>
        <v>0.00565</v>
      </c>
      <c r="Q13" s="40">
        <f t="shared" si="5"/>
        <v>0.0113</v>
      </c>
      <c r="R13" s="40">
        <f t="shared" si="4"/>
        <v>0.00565</v>
      </c>
    </row>
    <row r="14" spans="1:18" ht="12.75">
      <c r="A14" s="38"/>
      <c r="B14" s="38" t="s">
        <v>189</v>
      </c>
      <c r="C14" s="46">
        <v>0</v>
      </c>
      <c r="E14">
        <v>0.081</v>
      </c>
      <c r="F14" s="40">
        <f t="shared" si="0"/>
        <v>0</v>
      </c>
      <c r="G14" s="40">
        <f t="shared" si="1"/>
        <v>0.081</v>
      </c>
      <c r="H14" s="40">
        <f t="shared" si="0"/>
        <v>0</v>
      </c>
      <c r="I14"/>
      <c r="J14">
        <v>0.146</v>
      </c>
      <c r="K14" s="40">
        <f t="shared" si="2"/>
        <v>0</v>
      </c>
      <c r="L14" s="40">
        <f t="shared" si="3"/>
        <v>0.146</v>
      </c>
      <c r="M14" s="40">
        <f t="shared" si="2"/>
        <v>0</v>
      </c>
      <c r="O14">
        <v>0.0243</v>
      </c>
      <c r="P14" s="40">
        <f t="shared" si="4"/>
        <v>0</v>
      </c>
      <c r="Q14" s="40">
        <f t="shared" si="5"/>
        <v>0.0243</v>
      </c>
      <c r="R14" s="40">
        <f t="shared" si="4"/>
        <v>0</v>
      </c>
    </row>
    <row r="15" spans="1:18" ht="12.75">
      <c r="A15" s="38"/>
      <c r="B15" s="38" t="s">
        <v>190</v>
      </c>
      <c r="C15" s="46">
        <v>0.1</v>
      </c>
      <c r="E15">
        <v>0.0051</v>
      </c>
      <c r="F15" s="40">
        <f t="shared" si="0"/>
        <v>0.00051</v>
      </c>
      <c r="G15" s="40">
        <f t="shared" si="1"/>
        <v>0.0051</v>
      </c>
      <c r="H15" s="40">
        <f t="shared" si="0"/>
        <v>0.00051</v>
      </c>
      <c r="I15"/>
      <c r="J15">
        <v>0.0144</v>
      </c>
      <c r="K15" s="40">
        <f t="shared" si="2"/>
        <v>0.00144</v>
      </c>
      <c r="L15" s="40">
        <f t="shared" si="3"/>
        <v>0.0144</v>
      </c>
      <c r="M15" s="40">
        <f t="shared" si="2"/>
        <v>0.00144</v>
      </c>
      <c r="O15">
        <v>0.0068</v>
      </c>
      <c r="P15" s="40">
        <f t="shared" si="4"/>
        <v>0.00068</v>
      </c>
      <c r="Q15" s="40">
        <f t="shared" si="5"/>
        <v>0.0068</v>
      </c>
      <c r="R15" s="40">
        <f t="shared" si="4"/>
        <v>0.00068</v>
      </c>
    </row>
    <row r="16" spans="1:18" ht="12.75">
      <c r="A16" s="38"/>
      <c r="B16" s="38" t="s">
        <v>191</v>
      </c>
      <c r="C16" s="46">
        <v>0.1</v>
      </c>
      <c r="E16">
        <v>0.0088</v>
      </c>
      <c r="F16" s="40">
        <f t="shared" si="0"/>
        <v>0.0008800000000000001</v>
      </c>
      <c r="G16" s="40">
        <f t="shared" si="1"/>
        <v>0.0088</v>
      </c>
      <c r="H16" s="40">
        <f t="shared" si="0"/>
        <v>0.0008800000000000001</v>
      </c>
      <c r="I16"/>
      <c r="J16">
        <v>0.0201</v>
      </c>
      <c r="K16" s="40">
        <f t="shared" si="2"/>
        <v>0.00201</v>
      </c>
      <c r="L16" s="40">
        <f t="shared" si="3"/>
        <v>0.0201</v>
      </c>
      <c r="M16" s="40">
        <f t="shared" si="2"/>
        <v>0.00201</v>
      </c>
      <c r="O16">
        <v>0.0073</v>
      </c>
      <c r="P16" s="40">
        <f t="shared" si="4"/>
        <v>0.0007300000000000001</v>
      </c>
      <c r="Q16" s="40">
        <f t="shared" si="5"/>
        <v>0.0073</v>
      </c>
      <c r="R16" s="40">
        <f t="shared" si="4"/>
        <v>0.0007300000000000001</v>
      </c>
    </row>
    <row r="17" spans="1:18" ht="12.75">
      <c r="A17" s="38"/>
      <c r="B17" s="38" t="s">
        <v>192</v>
      </c>
      <c r="C17" s="46">
        <v>0.1</v>
      </c>
      <c r="E17">
        <v>0.0116</v>
      </c>
      <c r="F17" s="40">
        <f t="shared" si="0"/>
        <v>0.00116</v>
      </c>
      <c r="G17" s="40">
        <f t="shared" si="1"/>
        <v>0.0116</v>
      </c>
      <c r="H17" s="40">
        <f t="shared" si="0"/>
        <v>0.00116</v>
      </c>
      <c r="I17"/>
      <c r="J17">
        <v>0.033</v>
      </c>
      <c r="K17" s="40">
        <f t="shared" si="2"/>
        <v>0.0033000000000000004</v>
      </c>
      <c r="L17" s="40">
        <f t="shared" si="3"/>
        <v>0.033</v>
      </c>
      <c r="M17" s="40">
        <f t="shared" si="2"/>
        <v>0.0033000000000000004</v>
      </c>
      <c r="O17">
        <v>0.0083</v>
      </c>
      <c r="P17" s="40">
        <f t="shared" si="4"/>
        <v>0.00083</v>
      </c>
      <c r="Q17" s="40">
        <f t="shared" si="5"/>
        <v>0.0083</v>
      </c>
      <c r="R17" s="40">
        <f t="shared" si="4"/>
        <v>0.00083</v>
      </c>
    </row>
    <row r="18" spans="1:18" ht="12.75">
      <c r="A18" s="38"/>
      <c r="B18" s="38" t="s">
        <v>193</v>
      </c>
      <c r="C18" s="46">
        <v>0</v>
      </c>
      <c r="E18">
        <v>0.097</v>
      </c>
      <c r="F18" s="40">
        <f t="shared" si="0"/>
        <v>0</v>
      </c>
      <c r="G18" s="40">
        <f t="shared" si="1"/>
        <v>0.097</v>
      </c>
      <c r="H18" s="40">
        <f t="shared" si="0"/>
        <v>0</v>
      </c>
      <c r="I18"/>
      <c r="J18">
        <v>0.272</v>
      </c>
      <c r="K18" s="40">
        <f t="shared" si="2"/>
        <v>0</v>
      </c>
      <c r="L18" s="40">
        <f t="shared" si="3"/>
        <v>0.272</v>
      </c>
      <c r="M18" s="40">
        <f t="shared" si="2"/>
        <v>0</v>
      </c>
      <c r="O18">
        <v>0.0406</v>
      </c>
      <c r="P18" s="40">
        <f t="shared" si="4"/>
        <v>0</v>
      </c>
      <c r="Q18" s="40">
        <f t="shared" si="5"/>
        <v>0.0406</v>
      </c>
      <c r="R18" s="40">
        <f t="shared" si="4"/>
        <v>0</v>
      </c>
    </row>
    <row r="19" spans="1:18" ht="12.75">
      <c r="A19" s="38"/>
      <c r="B19" s="38" t="s">
        <v>194</v>
      </c>
      <c r="C19" s="46">
        <v>0.01</v>
      </c>
      <c r="E19">
        <v>0.07</v>
      </c>
      <c r="F19" s="40">
        <f t="shared" si="0"/>
        <v>0.0007000000000000001</v>
      </c>
      <c r="G19" s="40">
        <f t="shared" si="1"/>
        <v>0.07</v>
      </c>
      <c r="H19" s="40">
        <f t="shared" si="0"/>
        <v>0.0007000000000000001</v>
      </c>
      <c r="I19"/>
      <c r="J19">
        <v>0.233</v>
      </c>
      <c r="K19" s="40">
        <f t="shared" si="2"/>
        <v>0.00233</v>
      </c>
      <c r="L19" s="40">
        <f t="shared" si="3"/>
        <v>0.233</v>
      </c>
      <c r="M19" s="40">
        <f t="shared" si="2"/>
        <v>0.00233</v>
      </c>
      <c r="O19">
        <v>0.0335</v>
      </c>
      <c r="P19" s="40">
        <f t="shared" si="4"/>
        <v>0.000335</v>
      </c>
      <c r="Q19" s="40">
        <f t="shared" si="5"/>
        <v>0.0335</v>
      </c>
      <c r="R19" s="40">
        <f t="shared" si="4"/>
        <v>0.000335</v>
      </c>
    </row>
    <row r="20" spans="1:18" ht="12.75">
      <c r="A20" s="38"/>
      <c r="B20" s="38" t="s">
        <v>195</v>
      </c>
      <c r="C20" s="46">
        <v>0</v>
      </c>
      <c r="E20">
        <v>0.129</v>
      </c>
      <c r="F20" s="40">
        <f t="shared" si="0"/>
        <v>0</v>
      </c>
      <c r="G20" s="40">
        <f t="shared" si="1"/>
        <v>0.129</v>
      </c>
      <c r="H20" s="40">
        <f t="shared" si="0"/>
        <v>0</v>
      </c>
      <c r="I20"/>
      <c r="J20">
        <v>0.481</v>
      </c>
      <c r="K20" s="40">
        <f t="shared" si="2"/>
        <v>0</v>
      </c>
      <c r="L20" s="40">
        <f t="shared" si="3"/>
        <v>0.481</v>
      </c>
      <c r="M20" s="40">
        <f t="shared" si="2"/>
        <v>0</v>
      </c>
      <c r="O20">
        <v>0.061</v>
      </c>
      <c r="P20" s="40">
        <f t="shared" si="4"/>
        <v>0</v>
      </c>
      <c r="Q20" s="40">
        <f t="shared" si="5"/>
        <v>0.061</v>
      </c>
      <c r="R20" s="40">
        <f t="shared" si="4"/>
        <v>0</v>
      </c>
    </row>
    <row r="21" spans="1:18" ht="12.75">
      <c r="A21" s="38"/>
      <c r="B21" s="38" t="s">
        <v>196</v>
      </c>
      <c r="C21" s="46">
        <v>0.001</v>
      </c>
      <c r="E21">
        <v>0.247</v>
      </c>
      <c r="F21" s="40">
        <f t="shared" si="0"/>
        <v>0.000247</v>
      </c>
      <c r="G21" s="40">
        <f t="shared" si="1"/>
        <v>0.247</v>
      </c>
      <c r="H21" s="40">
        <f t="shared" si="0"/>
        <v>0.000247</v>
      </c>
      <c r="I21"/>
      <c r="J21">
        <v>0.87</v>
      </c>
      <c r="K21" s="40">
        <f t="shared" si="2"/>
        <v>0.00087</v>
      </c>
      <c r="L21" s="40">
        <f t="shared" si="3"/>
        <v>0.87</v>
      </c>
      <c r="M21" s="40">
        <f t="shared" si="2"/>
        <v>0.00087</v>
      </c>
      <c r="O21">
        <v>0.093</v>
      </c>
      <c r="P21" s="40">
        <f t="shared" si="4"/>
        <v>9.3E-05</v>
      </c>
      <c r="Q21" s="40">
        <f t="shared" si="5"/>
        <v>0.093</v>
      </c>
      <c r="R21" s="40">
        <f t="shared" si="4"/>
        <v>9.3E-05</v>
      </c>
    </row>
    <row r="22" spans="1:18" ht="12.75">
      <c r="A22" s="38"/>
      <c r="B22" s="38" t="s">
        <v>197</v>
      </c>
      <c r="C22" s="46">
        <v>0.1</v>
      </c>
      <c r="E22">
        <v>0.0234</v>
      </c>
      <c r="F22" s="40">
        <f t="shared" si="0"/>
        <v>0.00234</v>
      </c>
      <c r="G22" s="40">
        <f t="shared" si="1"/>
        <v>0.0234</v>
      </c>
      <c r="H22" s="40">
        <f t="shared" si="0"/>
        <v>0.00234</v>
      </c>
      <c r="I22"/>
      <c r="J22">
        <v>0.033</v>
      </c>
      <c r="K22" s="40">
        <f t="shared" si="2"/>
        <v>0.0033000000000000004</v>
      </c>
      <c r="L22" s="40">
        <f t="shared" si="3"/>
        <v>0.033</v>
      </c>
      <c r="M22" s="40">
        <f t="shared" si="2"/>
        <v>0.0033000000000000004</v>
      </c>
      <c r="O22">
        <v>0.022</v>
      </c>
      <c r="P22" s="40">
        <f t="shared" si="4"/>
        <v>0.0022</v>
      </c>
      <c r="Q22" s="40">
        <f t="shared" si="5"/>
        <v>0.022</v>
      </c>
      <c r="R22" s="40">
        <f t="shared" si="4"/>
        <v>0.0022</v>
      </c>
    </row>
    <row r="23" spans="1:18" ht="12.75">
      <c r="A23" s="38"/>
      <c r="B23" s="38" t="s">
        <v>198</v>
      </c>
      <c r="C23" s="46">
        <v>0</v>
      </c>
      <c r="E23">
        <v>0.71</v>
      </c>
      <c r="F23" s="40">
        <f t="shared" si="0"/>
        <v>0</v>
      </c>
      <c r="G23" s="40">
        <f t="shared" si="1"/>
        <v>0.71</v>
      </c>
      <c r="H23" s="40">
        <f t="shared" si="0"/>
        <v>0</v>
      </c>
      <c r="I23"/>
      <c r="J23">
        <v>0.87</v>
      </c>
      <c r="K23" s="40">
        <f t="shared" si="2"/>
        <v>0</v>
      </c>
      <c r="L23" s="40">
        <f t="shared" si="3"/>
        <v>0.87</v>
      </c>
      <c r="M23" s="40">
        <f t="shared" si="2"/>
        <v>0</v>
      </c>
      <c r="O23">
        <v>0.265</v>
      </c>
      <c r="P23" s="40">
        <f t="shared" si="4"/>
        <v>0</v>
      </c>
      <c r="Q23" s="40">
        <f t="shared" si="5"/>
        <v>0.265</v>
      </c>
      <c r="R23" s="40">
        <f t="shared" si="4"/>
        <v>0</v>
      </c>
    </row>
    <row r="24" spans="1:18" ht="12.75">
      <c r="A24" s="38"/>
      <c r="B24" s="38" t="s">
        <v>199</v>
      </c>
      <c r="C24" s="46">
        <v>0.05</v>
      </c>
      <c r="E24">
        <v>0.04</v>
      </c>
      <c r="F24" s="40">
        <f t="shared" si="0"/>
        <v>0.002</v>
      </c>
      <c r="G24" s="40">
        <f t="shared" si="1"/>
        <v>0.04</v>
      </c>
      <c r="H24" s="40">
        <f t="shared" si="0"/>
        <v>0.002</v>
      </c>
      <c r="I24"/>
      <c r="J24">
        <v>0.07</v>
      </c>
      <c r="K24" s="40">
        <f t="shared" si="2"/>
        <v>0.0035000000000000005</v>
      </c>
      <c r="L24" s="40">
        <f t="shared" si="3"/>
        <v>0.07</v>
      </c>
      <c r="M24" s="40">
        <f t="shared" si="2"/>
        <v>0.0035000000000000005</v>
      </c>
      <c r="O24">
        <v>0.0123</v>
      </c>
      <c r="P24" s="40">
        <f t="shared" si="4"/>
        <v>0.0006150000000000001</v>
      </c>
      <c r="Q24" s="40">
        <f t="shared" si="5"/>
        <v>0.0123</v>
      </c>
      <c r="R24" s="40">
        <f t="shared" si="4"/>
        <v>0.0006150000000000001</v>
      </c>
    </row>
    <row r="25" spans="1:18" ht="12.75">
      <c r="A25" s="38"/>
      <c r="B25" s="38" t="s">
        <v>200</v>
      </c>
      <c r="C25" s="46">
        <v>0.5</v>
      </c>
      <c r="E25">
        <v>0.031</v>
      </c>
      <c r="F25" s="40">
        <f t="shared" si="0"/>
        <v>0.0155</v>
      </c>
      <c r="G25" s="40">
        <f t="shared" si="1"/>
        <v>0.031</v>
      </c>
      <c r="H25" s="40">
        <f t="shared" si="0"/>
        <v>0.0155</v>
      </c>
      <c r="I25"/>
      <c r="J25">
        <v>0.056</v>
      </c>
      <c r="K25" s="40">
        <f t="shared" si="2"/>
        <v>0.028</v>
      </c>
      <c r="L25" s="40">
        <f t="shared" si="3"/>
        <v>0.056</v>
      </c>
      <c r="M25" s="40">
        <f t="shared" si="2"/>
        <v>0.028</v>
      </c>
      <c r="O25">
        <v>0.0116</v>
      </c>
      <c r="P25" s="40">
        <f t="shared" si="4"/>
        <v>0.0058</v>
      </c>
      <c r="Q25" s="40">
        <f t="shared" si="5"/>
        <v>0.0116</v>
      </c>
      <c r="R25" s="40">
        <f t="shared" si="4"/>
        <v>0.0058</v>
      </c>
    </row>
    <row r="26" spans="1:18" ht="12.75">
      <c r="A26" s="38"/>
      <c r="B26" s="38" t="s">
        <v>201</v>
      </c>
      <c r="C26" s="46">
        <v>0</v>
      </c>
      <c r="E26">
        <v>0.41</v>
      </c>
      <c r="F26" s="40">
        <f t="shared" si="0"/>
        <v>0</v>
      </c>
      <c r="G26" s="40">
        <f t="shared" si="1"/>
        <v>0.41</v>
      </c>
      <c r="H26" s="40">
        <f t="shared" si="0"/>
        <v>0</v>
      </c>
      <c r="I26"/>
      <c r="J26">
        <v>0.64</v>
      </c>
      <c r="K26" s="40">
        <f t="shared" si="2"/>
        <v>0</v>
      </c>
      <c r="L26" s="40">
        <f t="shared" si="3"/>
        <v>0.64</v>
      </c>
      <c r="M26" s="40">
        <f t="shared" si="2"/>
        <v>0</v>
      </c>
      <c r="O26">
        <v>0.132</v>
      </c>
      <c r="P26" s="40">
        <f t="shared" si="4"/>
        <v>0</v>
      </c>
      <c r="Q26" s="40">
        <f t="shared" si="5"/>
        <v>0.132</v>
      </c>
      <c r="R26" s="40">
        <f t="shared" si="4"/>
        <v>0</v>
      </c>
    </row>
    <row r="27" spans="1:18" ht="12.75">
      <c r="A27" s="38"/>
      <c r="B27" s="38" t="s">
        <v>202</v>
      </c>
      <c r="C27" s="46">
        <v>0.1</v>
      </c>
      <c r="E27">
        <v>0.053</v>
      </c>
      <c r="F27" s="40">
        <f t="shared" si="0"/>
        <v>0.0053</v>
      </c>
      <c r="G27" s="40">
        <f t="shared" si="1"/>
        <v>0.053</v>
      </c>
      <c r="H27" s="40">
        <f t="shared" si="0"/>
        <v>0.0053</v>
      </c>
      <c r="I27"/>
      <c r="J27">
        <v>0.107</v>
      </c>
      <c r="K27" s="40">
        <f t="shared" si="2"/>
        <v>0.010700000000000001</v>
      </c>
      <c r="L27" s="40">
        <f t="shared" si="3"/>
        <v>0.107</v>
      </c>
      <c r="M27" s="40">
        <f t="shared" si="2"/>
        <v>0.010700000000000001</v>
      </c>
      <c r="O27">
        <v>0.0176</v>
      </c>
      <c r="P27" s="40">
        <f t="shared" si="4"/>
        <v>0.0017600000000000003</v>
      </c>
      <c r="Q27" s="40">
        <f t="shared" si="5"/>
        <v>0.0176</v>
      </c>
      <c r="R27" s="40">
        <f t="shared" si="4"/>
        <v>0.0017600000000000003</v>
      </c>
    </row>
    <row r="28" spans="1:18" ht="12.75">
      <c r="A28" s="38"/>
      <c r="B28" s="38" t="s">
        <v>203</v>
      </c>
      <c r="C28" s="46">
        <v>0.1</v>
      </c>
      <c r="E28">
        <v>0.034</v>
      </c>
      <c r="F28" s="40">
        <f t="shared" si="0"/>
        <v>0.0034000000000000002</v>
      </c>
      <c r="G28" s="40">
        <f t="shared" si="1"/>
        <v>0.034</v>
      </c>
      <c r="H28" s="40">
        <f t="shared" si="0"/>
        <v>0.0034000000000000002</v>
      </c>
      <c r="I28"/>
      <c r="J28">
        <v>0.066</v>
      </c>
      <c r="K28" s="40">
        <f t="shared" si="2"/>
        <v>0.006600000000000001</v>
      </c>
      <c r="L28" s="40">
        <f t="shared" si="3"/>
        <v>0.066</v>
      </c>
      <c r="M28" s="40">
        <f t="shared" si="2"/>
        <v>0.006600000000000001</v>
      </c>
      <c r="O28">
        <v>0.0135</v>
      </c>
      <c r="P28" s="40">
        <f t="shared" si="4"/>
        <v>0.00135</v>
      </c>
      <c r="Q28" s="40">
        <f t="shared" si="5"/>
        <v>0.0135</v>
      </c>
      <c r="R28" s="40">
        <f t="shared" si="4"/>
        <v>0.00135</v>
      </c>
    </row>
    <row r="29" spans="1:18" ht="12.75">
      <c r="A29" s="38"/>
      <c r="B29" s="38" t="s">
        <v>204</v>
      </c>
      <c r="C29" s="46">
        <v>0.1</v>
      </c>
      <c r="E29">
        <v>0.0199</v>
      </c>
      <c r="F29" s="40">
        <f t="shared" si="0"/>
        <v>0.00199</v>
      </c>
      <c r="G29" s="40">
        <f t="shared" si="1"/>
        <v>0.0199</v>
      </c>
      <c r="H29" s="40">
        <f t="shared" si="0"/>
        <v>0.00199</v>
      </c>
      <c r="I29"/>
      <c r="J29">
        <v>0.058</v>
      </c>
      <c r="K29" s="40">
        <f t="shared" si="2"/>
        <v>0.0058000000000000005</v>
      </c>
      <c r="L29" s="40">
        <f t="shared" si="3"/>
        <v>0.058</v>
      </c>
      <c r="M29" s="40">
        <f t="shared" si="2"/>
        <v>0.0058000000000000005</v>
      </c>
      <c r="O29">
        <v>0.0092</v>
      </c>
      <c r="P29" s="40">
        <f t="shared" si="4"/>
        <v>0.00092</v>
      </c>
      <c r="Q29" s="40">
        <f t="shared" si="5"/>
        <v>0.0092</v>
      </c>
      <c r="R29" s="40">
        <f t="shared" si="4"/>
        <v>0.00092</v>
      </c>
    </row>
    <row r="30" spans="1:18" ht="12.75">
      <c r="A30" s="38"/>
      <c r="B30" s="38" t="s">
        <v>205</v>
      </c>
      <c r="C30" s="46">
        <v>0.1</v>
      </c>
      <c r="E30">
        <v>0.0021</v>
      </c>
      <c r="F30" s="40">
        <f t="shared" si="0"/>
        <v>0.00021</v>
      </c>
      <c r="G30" s="40">
        <f t="shared" si="1"/>
        <v>0.0021</v>
      </c>
      <c r="H30" s="40">
        <f t="shared" si="0"/>
        <v>0.00021</v>
      </c>
      <c r="I30"/>
      <c r="J30">
        <v>0.0101</v>
      </c>
      <c r="K30" s="40">
        <f t="shared" si="2"/>
        <v>0.00101</v>
      </c>
      <c r="L30" s="40">
        <f t="shared" si="3"/>
        <v>0.0101</v>
      </c>
      <c r="M30" s="40">
        <f t="shared" si="2"/>
        <v>0.00101</v>
      </c>
      <c r="N30" t="s">
        <v>25</v>
      </c>
      <c r="O30">
        <v>0.0063</v>
      </c>
      <c r="P30" s="40">
        <f t="shared" si="4"/>
        <v>0.00063</v>
      </c>
      <c r="Q30" s="40">
        <f t="shared" si="5"/>
        <v>0.00315</v>
      </c>
      <c r="R30" s="40">
        <f t="shared" si="4"/>
        <v>0.000315</v>
      </c>
    </row>
    <row r="31" spans="1:18" ht="12.75">
      <c r="A31" s="38"/>
      <c r="B31" s="38" t="s">
        <v>206</v>
      </c>
      <c r="C31" s="46">
        <v>0</v>
      </c>
      <c r="E31">
        <v>0.25</v>
      </c>
      <c r="F31" s="40">
        <f t="shared" si="0"/>
        <v>0</v>
      </c>
      <c r="G31" s="40">
        <f t="shared" si="1"/>
        <v>0.25</v>
      </c>
      <c r="H31" s="40">
        <f t="shared" si="0"/>
        <v>0</v>
      </c>
      <c r="I31"/>
      <c r="J31">
        <v>0.51</v>
      </c>
      <c r="K31" s="40">
        <f t="shared" si="2"/>
        <v>0</v>
      </c>
      <c r="L31" s="40">
        <f t="shared" si="3"/>
        <v>0.51</v>
      </c>
      <c r="M31" s="40">
        <f t="shared" si="2"/>
        <v>0</v>
      </c>
      <c r="O31">
        <v>0.072</v>
      </c>
      <c r="P31" s="40">
        <f t="shared" si="4"/>
        <v>0</v>
      </c>
      <c r="Q31" s="40">
        <f t="shared" si="5"/>
        <v>0.072</v>
      </c>
      <c r="R31" s="40">
        <f t="shared" si="4"/>
        <v>0</v>
      </c>
    </row>
    <row r="32" spans="1:18" ht="12.75">
      <c r="A32" s="38"/>
      <c r="B32" s="38" t="s">
        <v>207</v>
      </c>
      <c r="C32" s="46">
        <v>0.01</v>
      </c>
      <c r="E32">
        <v>0.09</v>
      </c>
      <c r="F32" s="40">
        <f t="shared" si="0"/>
        <v>0.0009</v>
      </c>
      <c r="G32" s="40">
        <f t="shared" si="1"/>
        <v>0.09</v>
      </c>
      <c r="H32" s="40">
        <f t="shared" si="0"/>
        <v>0.0009</v>
      </c>
      <c r="I32"/>
      <c r="J32">
        <v>0.252</v>
      </c>
      <c r="K32" s="40">
        <f t="shared" si="2"/>
        <v>0.00252</v>
      </c>
      <c r="L32" s="40">
        <f t="shared" si="3"/>
        <v>0.252</v>
      </c>
      <c r="M32" s="40">
        <f t="shared" si="2"/>
        <v>0.00252</v>
      </c>
      <c r="O32">
        <v>0.033</v>
      </c>
      <c r="P32" s="40">
        <f t="shared" si="4"/>
        <v>0.00033</v>
      </c>
      <c r="Q32" s="40">
        <f t="shared" si="5"/>
        <v>0.033</v>
      </c>
      <c r="R32" s="40">
        <f t="shared" si="4"/>
        <v>0.00033</v>
      </c>
    </row>
    <row r="33" spans="1:18" ht="12.75">
      <c r="A33" s="38"/>
      <c r="B33" s="38" t="s">
        <v>208</v>
      </c>
      <c r="C33" s="46">
        <v>0.01</v>
      </c>
      <c r="E33">
        <v>0.0091</v>
      </c>
      <c r="F33" s="40">
        <f t="shared" si="0"/>
        <v>9.1E-05</v>
      </c>
      <c r="G33" s="40">
        <f t="shared" si="1"/>
        <v>0.0091</v>
      </c>
      <c r="H33" s="40">
        <f t="shared" si="0"/>
        <v>9.1E-05</v>
      </c>
      <c r="I33"/>
      <c r="J33">
        <v>0.0284</v>
      </c>
      <c r="K33" s="40">
        <f t="shared" si="2"/>
        <v>0.000284</v>
      </c>
      <c r="L33" s="40">
        <f t="shared" si="3"/>
        <v>0.0284</v>
      </c>
      <c r="M33" s="40">
        <f t="shared" si="2"/>
        <v>0.000284</v>
      </c>
      <c r="N33" t="s">
        <v>25</v>
      </c>
      <c r="O33">
        <v>0.0084</v>
      </c>
      <c r="P33" s="40">
        <f t="shared" si="4"/>
        <v>8.4E-05</v>
      </c>
      <c r="Q33" s="40">
        <f t="shared" si="5"/>
        <v>0.0042</v>
      </c>
      <c r="R33" s="40">
        <f t="shared" si="4"/>
        <v>4.2E-05</v>
      </c>
    </row>
    <row r="34" spans="1:18" ht="12.75">
      <c r="A34" s="38"/>
      <c r="B34" s="38" t="s">
        <v>209</v>
      </c>
      <c r="C34" s="46">
        <v>0</v>
      </c>
      <c r="E34">
        <v>0.126</v>
      </c>
      <c r="F34" s="40">
        <f t="shared" si="0"/>
        <v>0</v>
      </c>
      <c r="G34" s="40">
        <f t="shared" si="1"/>
        <v>0.126</v>
      </c>
      <c r="H34" s="40">
        <f t="shared" si="0"/>
        <v>0</v>
      </c>
      <c r="I34"/>
      <c r="J34">
        <v>0.37</v>
      </c>
      <c r="K34" s="40">
        <f t="shared" si="2"/>
        <v>0</v>
      </c>
      <c r="L34" s="40">
        <f t="shared" si="3"/>
        <v>0.37</v>
      </c>
      <c r="M34" s="40">
        <f t="shared" si="2"/>
        <v>0</v>
      </c>
      <c r="O34">
        <v>0.037</v>
      </c>
      <c r="P34" s="40">
        <f t="shared" si="4"/>
        <v>0</v>
      </c>
      <c r="Q34" s="40">
        <f t="shared" si="5"/>
        <v>0.037</v>
      </c>
      <c r="R34" s="40">
        <f t="shared" si="4"/>
        <v>0</v>
      </c>
    </row>
    <row r="35" spans="1:18" ht="12.75">
      <c r="A35" s="38"/>
      <c r="B35" s="38" t="s">
        <v>210</v>
      </c>
      <c r="C35" s="46">
        <v>0.001</v>
      </c>
      <c r="E35">
        <v>0.038</v>
      </c>
      <c r="F35" s="40">
        <f t="shared" si="0"/>
        <v>3.8E-05</v>
      </c>
      <c r="G35" s="40">
        <f t="shared" si="1"/>
        <v>0.038</v>
      </c>
      <c r="H35" s="40">
        <f t="shared" si="0"/>
        <v>3.8E-05</v>
      </c>
      <c r="I35"/>
      <c r="J35">
        <v>0.105</v>
      </c>
      <c r="K35" s="40">
        <f t="shared" si="2"/>
        <v>0.000105</v>
      </c>
      <c r="L35" s="40">
        <f t="shared" si="3"/>
        <v>0.105</v>
      </c>
      <c r="M35" s="40">
        <f t="shared" si="2"/>
        <v>0.000105</v>
      </c>
      <c r="O35">
        <v>0.0086</v>
      </c>
      <c r="P35" s="40">
        <f t="shared" si="4"/>
        <v>8.6E-06</v>
      </c>
      <c r="Q35" s="40">
        <f t="shared" si="5"/>
        <v>0.0086</v>
      </c>
      <c r="R35" s="40">
        <f t="shared" si="4"/>
        <v>8.6E-06</v>
      </c>
    </row>
    <row r="36" spans="1:18" ht="12.75">
      <c r="A36" s="38"/>
      <c r="B36" s="38"/>
      <c r="C36" s="38"/>
      <c r="D36" s="38"/>
      <c r="E36" s="50"/>
      <c r="F36" s="40"/>
      <c r="G36" s="50"/>
      <c r="H36" s="40"/>
      <c r="I36" s="52"/>
      <c r="J36" s="21"/>
      <c r="K36" s="49"/>
      <c r="L36" s="49"/>
      <c r="M36" s="49"/>
      <c r="N36" s="50"/>
      <c r="O36" s="21"/>
      <c r="P36" s="39"/>
      <c r="Q36" s="50"/>
      <c r="R36" s="39"/>
    </row>
    <row r="37" spans="1:18" ht="12.75">
      <c r="A37" s="38"/>
      <c r="B37" s="38" t="s">
        <v>211</v>
      </c>
      <c r="C37" s="38"/>
      <c r="D37" s="38"/>
      <c r="E37" s="50"/>
      <c r="F37">
        <v>212.762</v>
      </c>
      <c r="G37">
        <v>212.762</v>
      </c>
      <c r="H37">
        <v>212.762</v>
      </c>
      <c r="I37"/>
      <c r="K37">
        <v>209.008</v>
      </c>
      <c r="L37">
        <v>209.008</v>
      </c>
      <c r="M37">
        <v>209.008</v>
      </c>
      <c r="P37">
        <v>201.032</v>
      </c>
      <c r="Q37">
        <v>201.032</v>
      </c>
      <c r="R37">
        <v>201.032</v>
      </c>
    </row>
    <row r="38" spans="1:18" ht="12.75">
      <c r="A38" s="38"/>
      <c r="B38" s="38" t="s">
        <v>212</v>
      </c>
      <c r="C38" s="38"/>
      <c r="D38" s="38"/>
      <c r="E38" s="50"/>
      <c r="F38">
        <v>7.9</v>
      </c>
      <c r="G38">
        <v>7.9</v>
      </c>
      <c r="H38">
        <v>7.9</v>
      </c>
      <c r="I38"/>
      <c r="K38">
        <v>7.9</v>
      </c>
      <c r="L38">
        <v>7.9</v>
      </c>
      <c r="M38">
        <v>7.9</v>
      </c>
      <c r="P38">
        <v>7.6</v>
      </c>
      <c r="Q38">
        <v>7.6</v>
      </c>
      <c r="R38">
        <v>7.6</v>
      </c>
    </row>
    <row r="39" spans="1:18" ht="12.75">
      <c r="A39" s="38"/>
      <c r="B39" s="38"/>
      <c r="C39" s="38"/>
      <c r="D39" s="38"/>
      <c r="E39" s="50"/>
      <c r="F39" s="21"/>
      <c r="G39" s="50"/>
      <c r="H39" s="21"/>
      <c r="I39" s="45"/>
      <c r="J39" s="50"/>
      <c r="K39" s="53"/>
      <c r="L39" s="49"/>
      <c r="M39" s="53"/>
      <c r="N39" s="50"/>
      <c r="O39" s="50"/>
      <c r="P39" s="50"/>
      <c r="Q39" s="50"/>
      <c r="R39" s="50"/>
    </row>
    <row r="40" spans="1:18" ht="12.75">
      <c r="A40" s="38"/>
      <c r="B40" s="38" t="s">
        <v>213</v>
      </c>
      <c r="C40" s="40"/>
      <c r="D40" s="40"/>
      <c r="E40" s="49"/>
      <c r="F40" s="54">
        <f>SUM(F11:F35)</f>
        <v>0.045416000000000005</v>
      </c>
      <c r="G40" s="49">
        <f>SUM(G35,G34,G31,G26,G23,G21,G20,G18,G14,G12)</f>
        <v>2.166</v>
      </c>
      <c r="H40" s="54">
        <f>SUM(H11:H35)</f>
        <v>0.045416000000000005</v>
      </c>
      <c r="I40" s="44"/>
      <c r="J40" s="49"/>
      <c r="K40" s="54">
        <f>SUM(K11:K35)</f>
        <v>0.09306899999999999</v>
      </c>
      <c r="L40" s="49">
        <f>SUM(L35,L34,L31,L26,L23,L21,L20,L18,L14,L12)</f>
        <v>4.324</v>
      </c>
      <c r="M40" s="54">
        <f>SUM(M11:M35)</f>
        <v>0.09306899999999999</v>
      </c>
      <c r="N40" s="40"/>
      <c r="O40" s="50"/>
      <c r="P40" s="54">
        <f>SUM(P11:P35)</f>
        <v>0.03411559999999999</v>
      </c>
      <c r="Q40" s="54">
        <f>SUM(Q35,Q34,Q31,Q26,Q23,Q21,Q20,Q18,Q14,Q12)</f>
        <v>0.7539999999999998</v>
      </c>
      <c r="R40" s="54">
        <f>SUM(R11:R35)</f>
        <v>0.0277086</v>
      </c>
    </row>
    <row r="41" spans="1:18" ht="12.75">
      <c r="A41" s="38"/>
      <c r="B41" s="38" t="s">
        <v>214</v>
      </c>
      <c r="C41" s="40"/>
      <c r="D41" s="51">
        <f>(F41-H41)*2/F41*100</f>
        <v>0</v>
      </c>
      <c r="E41" s="50"/>
      <c r="F41" s="54">
        <f>(F40/F37/0.0283*(21-7)/(21-F38))</f>
        <v>0.008060929476351947</v>
      </c>
      <c r="G41" s="54">
        <f>(G40/G37/0.0283*(21-7)/(21-G38))</f>
        <v>0.38444542112423624</v>
      </c>
      <c r="H41" s="54">
        <f>(H40/H37/0.0283*(21-7)/(21-H38))</f>
        <v>0.008060929476351947</v>
      </c>
      <c r="I41" s="51">
        <f>(K41-M41)*2/K41*100</f>
        <v>0</v>
      </c>
      <c r="J41" s="50"/>
      <c r="K41" s="54">
        <f>K40/K37/0.0283*(21-7)/(21-K38)</f>
        <v>0.01681560288478222</v>
      </c>
      <c r="L41" s="54">
        <f>(L40/L37/0.0283*(21-7)/(21-L38))</f>
        <v>0.7812554865078416</v>
      </c>
      <c r="M41" s="54">
        <f>M40/M37/0.0283*(21-7)/(21-M38)</f>
        <v>0.01681560288478222</v>
      </c>
      <c r="N41" s="51">
        <f>(P41-R41)*2/P41*100</f>
        <v>37.560529493838565</v>
      </c>
      <c r="O41" s="50"/>
      <c r="P41" s="54">
        <f>P40/P37/0.0283*(21-7)/(21-P38)</f>
        <v>0.006265051166212812</v>
      </c>
      <c r="Q41" s="54">
        <f>(Q40/Q37/0.0283*(21-7)/(21-Q38))</f>
        <v>0.13846593872962695</v>
      </c>
      <c r="R41" s="54">
        <f>R40/R37/0.0283*(21-7)/(21-R38)</f>
        <v>0.005088457970668092</v>
      </c>
    </row>
    <row r="42" spans="1:18" ht="12.75">
      <c r="A42" s="38"/>
      <c r="B42" s="38"/>
      <c r="C42" s="38"/>
      <c r="D42" s="38"/>
      <c r="E42" s="54"/>
      <c r="F42" s="40"/>
      <c r="G42" s="54"/>
      <c r="H42" s="40"/>
      <c r="I42" s="55"/>
      <c r="J42" s="54"/>
      <c r="K42" s="54"/>
      <c r="L42" s="54"/>
      <c r="M42" s="54"/>
      <c r="N42" s="54"/>
      <c r="O42" s="54"/>
      <c r="P42" s="39"/>
      <c r="Q42" s="54"/>
      <c r="R42" s="39"/>
    </row>
    <row r="43" spans="1:18" ht="12.75">
      <c r="A43" s="50"/>
      <c r="B43" s="38" t="s">
        <v>215</v>
      </c>
      <c r="C43" s="40">
        <f>AVERAGE(H41,M41,R41)</f>
        <v>0.009988330110600753</v>
      </c>
      <c r="D43" s="50"/>
      <c r="E43" s="50"/>
      <c r="F43" s="40"/>
      <c r="G43" s="50"/>
      <c r="H43" s="40"/>
      <c r="I43" s="52"/>
      <c r="J43" s="50"/>
      <c r="K43" s="50"/>
      <c r="L43" s="50"/>
      <c r="M43" s="50"/>
      <c r="N43" s="50"/>
      <c r="O43" s="50"/>
      <c r="P43" s="39"/>
      <c r="Q43" s="50"/>
      <c r="R43" s="39"/>
    </row>
    <row r="44" spans="1:18" ht="12.75">
      <c r="A44" s="38"/>
      <c r="B44" s="38" t="s">
        <v>216</v>
      </c>
      <c r="C44" s="40">
        <f>AVERAGE(G41,L41,Q41)</f>
        <v>0.4347222821205683</v>
      </c>
      <c r="D44" s="38"/>
      <c r="E44" s="39"/>
      <c r="F44" s="40"/>
      <c r="G44" s="39"/>
      <c r="H44" s="40"/>
      <c r="I44" s="41"/>
      <c r="J44" s="39"/>
      <c r="K44" s="39"/>
      <c r="L44" s="39"/>
      <c r="M44" s="39"/>
      <c r="N44" s="39"/>
      <c r="O44" s="39"/>
      <c r="P44" s="39"/>
      <c r="Q44" s="39"/>
      <c r="R44" s="39"/>
    </row>
  </sheetData>
  <printOptions headings="1" horizontalCentered="1"/>
  <pageMargins left="0.25" right="0.25" top="0.5" bottom="0.5" header="0.5" footer="0.5"/>
  <pageSetup horizontalDpi="1200" verticalDpi="12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2004-02-23T22:22:51Z</cp:lastPrinted>
  <dcterms:created xsi:type="dcterms:W3CDTF">2002-05-23T17:51:48Z</dcterms:created>
  <dcterms:modified xsi:type="dcterms:W3CDTF">2004-02-23T22:23:55Z</dcterms:modified>
  <cp:category/>
  <cp:version/>
  <cp:contentType/>
  <cp:contentStatus/>
</cp:coreProperties>
</file>