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594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<sst xmlns="http://schemas.openxmlformats.org/spreadsheetml/2006/main" count="1053" uniqueCount="240">
  <si>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</si>
  <si>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</si>
  <si>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</si>
  <si>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</si>
  <si>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</si>
  <si>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</si>
  <si>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</si>
  <si>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</si>
  <si>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</si>
  <si>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</si>
  <si>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</si>
  <si>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</si>
  <si>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</si>
  <si>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</si>
  <si>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</si>
  <si>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</si>
  <si>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</si>
  <si>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</si>
  <si>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</si>
  <si>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</si>
  <si>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</si>
  <si>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</si>
  <si>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</si>
  <si>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</si>
  <si>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</si>
  <si>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</si>
  <si>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</si>
  <si>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</si>
  <si>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lb/hr</t>
  </si>
  <si>
    <t>Run 1</t>
  </si>
  <si>
    <t>Run 2</t>
  </si>
  <si>
    <t>Run 3</t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</si>
  <si>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</si>
  <si>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</si>
  <si>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</si>
  <si>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</si>
  <si>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</si>
  <si>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</si>
  <si>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</si>
  <si>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</si>
  <si>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HW</t>
  </si>
  <si>
    <t>Combustor Characteristics</t>
  </si>
  <si>
    <t>Process Information</t>
  </si>
  <si>
    <t>Supplemental Fuel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</si>
  <si>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</si>
  <si>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</si>
  <si>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</si>
  <si>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</si>
  <si>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</si>
  <si>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</si>
  <si>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</si>
  <si>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</si>
  <si>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</si>
  <si>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</si>
  <si>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</si>
  <si>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</si>
  <si>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Total Chlorine</t>
  </si>
  <si>
    <t>Sampling Train</t>
  </si>
  <si>
    <t>Trial burn</t>
  </si>
  <si>
    <t>*</t>
  </si>
  <si>
    <t>HWC Burn Status (Date if Terminated)</t>
  </si>
  <si>
    <t>Feed Rate</t>
  </si>
  <si>
    <t>Total</t>
  </si>
  <si>
    <t>Hazardous Wastes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</si>
  <si>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</si>
  <si>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</si>
  <si>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</si>
  <si>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</si>
  <si>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</si>
  <si>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</si>
  <si>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</si>
  <si>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</si>
  <si>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</si>
  <si>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</si>
  <si>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</si>
  <si>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</si>
  <si>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</si>
  <si>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</si>
  <si>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</si>
  <si>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</si>
  <si>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</si>
  <si>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</si>
  <si>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</si>
  <si>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</si>
  <si>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</si>
  <si>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</si>
  <si>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</si>
  <si>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</si>
  <si>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</si>
  <si>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</si>
  <si>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 xml:space="preserve"> 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</si>
  <si>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</si>
  <si>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</si>
  <si>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</si>
  <si>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</si>
  <si>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</si>
  <si>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</si>
  <si>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Detected in sample volume (ng)</t>
  </si>
  <si>
    <t>nd</t>
  </si>
  <si>
    <t>Arsenic</t>
  </si>
  <si>
    <t>Antimony</t>
  </si>
  <si>
    <t>Barium</t>
  </si>
  <si>
    <t>Beryllium</t>
  </si>
  <si>
    <t>Cadmium</t>
  </si>
  <si>
    <t>Chromium</t>
  </si>
  <si>
    <t>Copper</t>
  </si>
  <si>
    <t>Lead</t>
  </si>
  <si>
    <t>Mercury</t>
  </si>
  <si>
    <t>Nickel</t>
  </si>
  <si>
    <t>Selenium</t>
  </si>
  <si>
    <t>Silver</t>
  </si>
  <si>
    <t>Thallium</t>
  </si>
  <si>
    <t>Zinc</t>
  </si>
  <si>
    <t>Trial Burn</t>
  </si>
  <si>
    <t>Metals</t>
  </si>
  <si>
    <t>Density</t>
  </si>
  <si>
    <t>g/cc</t>
  </si>
  <si>
    <t>in. w.c.</t>
  </si>
  <si>
    <t>Virginia</t>
  </si>
  <si>
    <t>Solite Corp</t>
  </si>
  <si>
    <t>Solite/Entropy/Blue Ridge</t>
  </si>
  <si>
    <t>Entropy</t>
  </si>
  <si>
    <t>Cobalt</t>
  </si>
  <si>
    <t>LBM</t>
  </si>
  <si>
    <t>g/hr</t>
  </si>
  <si>
    <t>Max baghouse inlet temperature</t>
  </si>
  <si>
    <t>Min. baghouse pressure drop</t>
  </si>
  <si>
    <t>Trial Burn, organics DRE, HCl/Cl2 emissions limits</t>
  </si>
  <si>
    <t>POHC DRE</t>
  </si>
  <si>
    <t>POHC Feedrate</t>
  </si>
  <si>
    <t>Emission Rate</t>
  </si>
  <si>
    <t>Perchloroethylene</t>
  </si>
  <si>
    <t>1,2,4 Trichlorobenzene</t>
  </si>
  <si>
    <t>D/F</t>
  </si>
  <si>
    <t>Kiln maximum negative pressure</t>
  </si>
  <si>
    <t>VAD042755082</t>
  </si>
  <si>
    <t>Arvonia</t>
  </si>
  <si>
    <t>476C10</t>
  </si>
  <si>
    <t>WQ/FF</t>
  </si>
  <si>
    <t>Water quench, fabric filter</t>
  </si>
  <si>
    <t>476C11</t>
  </si>
  <si>
    <t>HC (RA)</t>
  </si>
  <si>
    <t>Trial Burn Report, Solite Corporation, A. F. Old Facility, Arvonia, Virginia, March 2000; Entropy Stationary Sampling Report, Reference No. 1702, Solite Corp Arvonia, VA, November and December 1999</t>
  </si>
  <si>
    <t>CoC, high temperature metals and chlorine testing</t>
  </si>
  <si>
    <t>Other TCDD</t>
  </si>
  <si>
    <t>Other PCDD</t>
  </si>
  <si>
    <t>Other HxCDD</t>
  </si>
  <si>
    <t>Other HpCDD</t>
  </si>
  <si>
    <t>Other TCDF</t>
  </si>
  <si>
    <t>Other PCDF</t>
  </si>
  <si>
    <t>Other HxCDF</t>
  </si>
  <si>
    <t>Other HpCDF</t>
  </si>
  <si>
    <t>Tier III for As, Be, Cd, Cr, Pb; Tier I for Hg, Sb, Ba, Ag, Tl</t>
  </si>
  <si>
    <t>CoC</t>
  </si>
  <si>
    <t>Raw Matl</t>
  </si>
  <si>
    <t>CO (RA)</t>
  </si>
  <si>
    <t>CO (MHRA)</t>
  </si>
  <si>
    <t>Max comb zone temperature</t>
  </si>
  <si>
    <t>Min mid kiln temp</t>
  </si>
  <si>
    <t>HC/CO, PM, HCl/Cl2, POHC DRE, PCCD/F</t>
  </si>
  <si>
    <t>Metals, HCl/Cl2, PM, HC/CO</t>
  </si>
  <si>
    <t>Solite Corp, Arvonia, VA, Lightweight Aggregate Kiln # 6</t>
  </si>
  <si>
    <t>Kiln # 6</t>
  </si>
  <si>
    <t>Max baghouse inlet temp</t>
  </si>
  <si>
    <t>Max kiln exit temp</t>
  </si>
  <si>
    <t>HC (MHRA)</t>
  </si>
  <si>
    <t>R1</t>
  </si>
  <si>
    <t>R2</t>
  </si>
  <si>
    <t>R3</t>
  </si>
  <si>
    <t>Cond Avg</t>
  </si>
  <si>
    <t>?</t>
  </si>
  <si>
    <t>Report Name/Date</t>
  </si>
  <si>
    <t>Report Preparation</t>
  </si>
  <si>
    <t>Testing Firm</t>
  </si>
  <si>
    <t>Testing Dates</t>
  </si>
  <si>
    <t>Condition Descr</t>
  </si>
  <si>
    <t>Content</t>
  </si>
  <si>
    <t>476C1</t>
  </si>
  <si>
    <t>Report Prepare</t>
  </si>
  <si>
    <t>Cond Descr</t>
  </si>
  <si>
    <t/>
  </si>
  <si>
    <t>Chromium (Hex)</t>
  </si>
  <si>
    <t>Cr Hex</t>
  </si>
  <si>
    <t>Halogens</t>
  </si>
  <si>
    <t>Raw Material</t>
  </si>
  <si>
    <t>Waste</t>
  </si>
  <si>
    <t>Feedrate</t>
  </si>
  <si>
    <t>Heating value</t>
  </si>
  <si>
    <t>Gas flowrate</t>
  </si>
  <si>
    <t>Feedrate MTECs</t>
  </si>
  <si>
    <t>Condition Description</t>
  </si>
  <si>
    <t>Combustor Type</t>
  </si>
  <si>
    <t>Combustor Class</t>
  </si>
  <si>
    <t>Stack Gas Emissions 1</t>
  </si>
  <si>
    <t>Stack Gas Emissions 2</t>
  </si>
  <si>
    <t>Feedstream 1</t>
  </si>
  <si>
    <t>Feedstream 2</t>
  </si>
  <si>
    <t>47610</t>
  </si>
  <si>
    <t>Combustion Temperature</t>
  </si>
  <si>
    <t>F</t>
  </si>
  <si>
    <t>in H2O</t>
  </si>
  <si>
    <t>FF Temperature</t>
  </si>
  <si>
    <t>FF Pressure Drop</t>
  </si>
  <si>
    <t>Phase I ID No.</t>
  </si>
  <si>
    <t>Stationary Source Sampling Report Reference No. 11438, Solite Corporation, Arvonia, Virginia, Prepared by Entropy, February 1993; COC Forms attached, dated January 28, 1994</t>
  </si>
  <si>
    <t>E1</t>
  </si>
  <si>
    <t>E2</t>
  </si>
  <si>
    <t>E3</t>
  </si>
  <si>
    <t>December 1-2, 1999</t>
  </si>
  <si>
    <t>Cond Dates</t>
  </si>
  <si>
    <t>Number of Sister Facilities</t>
  </si>
  <si>
    <t>APCS Detailed Acronym</t>
  </si>
  <si>
    <t>APCS General Class</t>
  </si>
  <si>
    <t>WQ, FF</t>
  </si>
  <si>
    <t>Liq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</si>
  <si>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</si>
  <si>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</si>
  <si>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</si>
  <si>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</si>
  <si>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</si>
  <si>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</si>
  <si>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</si>
  <si>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</si>
  <si>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</si>
  <si>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Lightweight Aggregate Kiln (LWAK)</t>
  </si>
  <si>
    <t>Feedstream Number</t>
  </si>
  <si>
    <t>Feed Class</t>
  </si>
  <si>
    <t>F1</t>
  </si>
  <si>
    <t>F2</t>
  </si>
  <si>
    <t>Liq HW</t>
  </si>
  <si>
    <t>F3</t>
  </si>
  <si>
    <t>F4</t>
  </si>
  <si>
    <t>Thermal Feedrate</t>
  </si>
  <si>
    <t>Feed Class 2</t>
  </si>
  <si>
    <t>RM</t>
  </si>
  <si>
    <t>Estimated Firing Rate</t>
  </si>
  <si>
    <t>The raw material was excavated from the Solite Arvonia quarry</t>
  </si>
  <si>
    <t>Full ND</t>
  </si>
  <si>
    <t>N</t>
  </si>
  <si>
    <t>lb/min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</si>
</sst>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0.0E+00"/>
    <numFmt numFmtId="192" formatCode="0E+00"/>
    <numFmt numFmtId="193" formatCode="dd\-mmm\-yy"/>
    <numFmt numFmtId="194" formatCode="0.00000%"/>
    <numFmt numFmtId="195" formatCode="0.000%"/>
    <numFmt numFmtId="196" formatCode="0.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mm/dd/yy"/>
  </numFmts>
  <fonts count="1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166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8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11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11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1" fontId="0" fillId="0" borderId="0" xfId="0" applyNumberFormat="1" applyAlignment="1">
      <alignment/>
    </xf>
    <xf numFmtId="17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17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0" borderId="0" xfId="15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B1" sqref="B1"/>
    </sheetView>
  </sheetViews>
  <sheetFormatPr defaultColWidth="9.140625" defaultRowHeight="12.75"/>
  <sheetData>
    <row r="1" ht="12.75">
      <c r="A1" t="s">
        <v>215</v>
      </c>
    </row>
    <row r="2" ht="12.75">
      <c r="A2" t="s">
        <v>216</v>
      </c>
    </row>
    <row r="3" ht="12.75">
      <c r="A3" t="s">
        <v>217</v>
      </c>
    </row>
    <row r="4" ht="12.75">
      <c r="A4" t="s">
        <v>218</v>
      </c>
    </row>
    <row r="5" ht="12.75">
      <c r="A5" t="s">
        <v>219</v>
      </c>
    </row>
    <row r="6" ht="12.75">
      <c r="A6" t="s">
        <v>220</v>
      </c>
    </row>
    <row r="7" ht="12.75">
      <c r="A7" t="s">
        <v>221</v>
      </c>
    </row>
    <row r="8" ht="12.75">
      <c r="A8" t="s">
        <v>222</v>
      </c>
    </row>
    <row r="9" ht="12.75">
      <c r="A9" t="s">
        <v>223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D22" sqref="D22"/>
    </sheetView>
  </sheetViews>
  <sheetFormatPr defaultColWidth="9.140625" defaultRowHeight="12.75"/>
  <cols>
    <col min="1" max="1" width="1.7109375" style="66" customWidth="1"/>
    <col min="2" max="2" width="20.00390625" style="66" customWidth="1"/>
    <col min="3" max="3" width="9.421875" style="66" customWidth="1"/>
    <col min="4" max="4" width="6.140625" style="66" customWidth="1"/>
    <col min="5" max="5" width="9.421875" style="66" customWidth="1"/>
    <col min="6" max="6" width="9.8515625" style="66" customWidth="1"/>
    <col min="7" max="7" width="9.140625" style="66" customWidth="1"/>
    <col min="8" max="8" width="9.8515625" style="66" customWidth="1"/>
    <col min="9" max="9" width="3.421875" style="66" customWidth="1"/>
    <col min="10" max="10" width="9.140625" style="66" customWidth="1"/>
    <col min="11" max="11" width="9.28125" style="66" customWidth="1"/>
    <col min="12" max="12" width="9.140625" style="66" customWidth="1"/>
    <col min="13" max="13" width="9.28125" style="66" customWidth="1"/>
    <col min="14" max="14" width="3.7109375" style="66" customWidth="1"/>
    <col min="15" max="15" width="9.140625" style="66" customWidth="1"/>
    <col min="16" max="16" width="9.00390625" style="66" customWidth="1"/>
    <col min="17" max="17" width="9.140625" style="66" customWidth="1"/>
    <col min="18" max="18" width="9.00390625" style="66" customWidth="1"/>
    <col min="19" max="16384" width="9.140625" style="66" customWidth="1"/>
  </cols>
  <sheetData>
    <row r="1" spans="1:18" ht="12.75">
      <c r="A1" s="40" t="s">
        <v>64</v>
      </c>
      <c r="B1" s="22"/>
      <c r="C1" s="22"/>
      <c r="D1" s="22"/>
      <c r="E1" s="41"/>
      <c r="F1" s="42"/>
      <c r="G1" s="41"/>
      <c r="H1" s="42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>
      <c r="A2" s="22" t="s">
        <v>238</v>
      </c>
      <c r="B2" s="22"/>
      <c r="C2" s="22"/>
      <c r="D2" s="22"/>
      <c r="E2" s="41"/>
      <c r="F2" s="42"/>
      <c r="G2" s="41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>
      <c r="A3" s="22" t="s">
        <v>65</v>
      </c>
      <c r="B3" s="22"/>
      <c r="C3" s="8" t="s">
        <v>161</v>
      </c>
      <c r="D3" s="8"/>
      <c r="E3" s="41"/>
      <c r="F3" s="42"/>
      <c r="G3" s="41"/>
      <c r="H3" s="42"/>
      <c r="I3" s="41"/>
      <c r="J3" s="43"/>
      <c r="K3" s="41"/>
      <c r="L3" s="41"/>
      <c r="M3" s="41"/>
      <c r="N3" s="41"/>
      <c r="O3" s="41"/>
      <c r="P3" s="41"/>
      <c r="Q3" s="41"/>
      <c r="R3" s="41"/>
    </row>
    <row r="4" spans="1:18" ht="12.75">
      <c r="A4" s="22" t="s">
        <v>66</v>
      </c>
      <c r="B4" s="22"/>
      <c r="C4" s="8" t="s">
        <v>137</v>
      </c>
      <c r="D4" s="8" t="s">
        <v>113</v>
      </c>
      <c r="E4" s="44"/>
      <c r="F4" s="45"/>
      <c r="G4" s="44"/>
      <c r="H4" s="45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2.75">
      <c r="A5" s="22" t="s">
        <v>67</v>
      </c>
      <c r="B5" s="22"/>
      <c r="C5" s="72">
        <v>36495</v>
      </c>
      <c r="D5" s="22"/>
      <c r="E5" s="22"/>
      <c r="F5" s="22"/>
      <c r="G5" s="22"/>
      <c r="H5" s="22"/>
      <c r="I5" s="22"/>
      <c r="J5" s="22"/>
      <c r="K5" s="41"/>
      <c r="L5" s="22"/>
      <c r="M5" s="41"/>
      <c r="N5" s="41"/>
      <c r="O5" s="41"/>
      <c r="P5" s="41"/>
      <c r="Q5" s="41"/>
      <c r="R5" s="41"/>
    </row>
    <row r="6" spans="1:18" ht="14.25" customHeight="1">
      <c r="A6" s="22"/>
      <c r="B6" s="22"/>
      <c r="C6" s="23"/>
      <c r="D6" s="23"/>
      <c r="E6" s="27"/>
      <c r="F6" s="42"/>
      <c r="G6" s="27"/>
      <c r="H6" s="42"/>
      <c r="I6" s="41"/>
      <c r="J6" s="27"/>
      <c r="K6" s="41"/>
      <c r="L6" s="27"/>
      <c r="M6" s="41"/>
      <c r="N6" s="41"/>
      <c r="O6" s="27"/>
      <c r="P6" s="41"/>
      <c r="Q6" s="27"/>
      <c r="R6" s="41"/>
    </row>
    <row r="7" spans="1:18" ht="12.75">
      <c r="A7" s="22"/>
      <c r="B7" s="22"/>
      <c r="C7" s="23" t="s">
        <v>68</v>
      </c>
      <c r="D7" s="23"/>
      <c r="E7" s="73" t="s">
        <v>29</v>
      </c>
      <c r="F7" s="73"/>
      <c r="G7" s="73"/>
      <c r="H7" s="73"/>
      <c r="I7" s="74"/>
      <c r="J7" s="73" t="s">
        <v>30</v>
      </c>
      <c r="K7" s="73"/>
      <c r="L7" s="73"/>
      <c r="M7" s="73"/>
      <c r="N7" s="74"/>
      <c r="O7" s="73" t="s">
        <v>31</v>
      </c>
      <c r="P7" s="73"/>
      <c r="Q7" s="73"/>
      <c r="R7" s="73"/>
    </row>
    <row r="8" spans="1:18" ht="12.75">
      <c r="A8" s="22"/>
      <c r="B8" s="22"/>
      <c r="C8" s="23" t="s">
        <v>69</v>
      </c>
      <c r="D8" s="22"/>
      <c r="E8" s="27" t="s">
        <v>62</v>
      </c>
      <c r="F8" s="45" t="s">
        <v>70</v>
      </c>
      <c r="G8" s="27" t="s">
        <v>62</v>
      </c>
      <c r="H8" s="45" t="s">
        <v>70</v>
      </c>
      <c r="I8" s="41"/>
      <c r="J8" s="27" t="s">
        <v>62</v>
      </c>
      <c r="K8" s="27" t="s">
        <v>71</v>
      </c>
      <c r="L8" s="27" t="s">
        <v>62</v>
      </c>
      <c r="M8" s="27" t="s">
        <v>71</v>
      </c>
      <c r="N8" s="41"/>
      <c r="O8" s="27" t="s">
        <v>62</v>
      </c>
      <c r="P8" s="27" t="s">
        <v>71</v>
      </c>
      <c r="Q8" s="27" t="s">
        <v>62</v>
      </c>
      <c r="R8" s="27" t="s">
        <v>71</v>
      </c>
    </row>
    <row r="9" spans="1:18" ht="12.75">
      <c r="A9" s="22"/>
      <c r="B9" s="22"/>
      <c r="C9" s="23"/>
      <c r="D9" s="22"/>
      <c r="E9" s="27" t="s">
        <v>237</v>
      </c>
      <c r="F9" s="27" t="s">
        <v>237</v>
      </c>
      <c r="G9" s="27" t="s">
        <v>72</v>
      </c>
      <c r="H9" s="45" t="s">
        <v>72</v>
      </c>
      <c r="I9" s="41"/>
      <c r="J9" s="27" t="s">
        <v>237</v>
      </c>
      <c r="K9" s="27" t="s">
        <v>237</v>
      </c>
      <c r="L9" s="27" t="s">
        <v>72</v>
      </c>
      <c r="M9" s="45" t="s">
        <v>72</v>
      </c>
      <c r="N9" s="41"/>
      <c r="O9" s="27" t="s">
        <v>237</v>
      </c>
      <c r="P9" s="27" t="s">
        <v>237</v>
      </c>
      <c r="Q9" s="27" t="s">
        <v>72</v>
      </c>
      <c r="R9" s="45" t="s">
        <v>72</v>
      </c>
    </row>
    <row r="10" spans="1:18" ht="12.75">
      <c r="A10" s="22" t="s">
        <v>97</v>
      </c>
      <c r="B10" s="22"/>
      <c r="C10" s="22"/>
      <c r="D10" s="22"/>
      <c r="E10" s="41"/>
      <c r="F10" s="42"/>
      <c r="G10" s="41"/>
      <c r="H10" s="42"/>
      <c r="I10" s="41"/>
      <c r="J10" s="41"/>
      <c r="K10" s="41"/>
      <c r="L10" s="41"/>
      <c r="M10" s="41"/>
      <c r="N10" s="41"/>
      <c r="O10" s="24"/>
      <c r="P10" s="41"/>
      <c r="Q10" s="41"/>
      <c r="R10" s="41"/>
    </row>
    <row r="11" spans="1:18" ht="12.75">
      <c r="A11" s="22"/>
      <c r="B11" s="22" t="s">
        <v>73</v>
      </c>
      <c r="C11" s="23">
        <v>1</v>
      </c>
      <c r="D11" s="23"/>
      <c r="E11" s="66">
        <v>0.032</v>
      </c>
      <c r="F11" s="47">
        <f aca="true" t="shared" si="0" ref="F11:F35">IF(E11="","",E11*$C11)</f>
        <v>0.032</v>
      </c>
      <c r="G11" s="47">
        <f aca="true" t="shared" si="1" ref="G11:G35">IF(E11=0,"",IF(D11="nd",E11/2,E11))</f>
        <v>0.032</v>
      </c>
      <c r="H11" s="47">
        <f aca="true" t="shared" si="2" ref="H11:H35">IF(G11="","",G11*$C11)</f>
        <v>0.032</v>
      </c>
      <c r="I11" s="47"/>
      <c r="J11" s="66">
        <v>0.0478</v>
      </c>
      <c r="K11" s="47">
        <f aca="true" t="shared" si="3" ref="K11:K35">IF(J11="","",J11*$C11)</f>
        <v>0.0478</v>
      </c>
      <c r="L11" s="47">
        <f aca="true" t="shared" si="4" ref="L11:L35">IF(J11=0,"",IF(I11="nd",J11/2,J11))</f>
        <v>0.0478</v>
      </c>
      <c r="M11" s="47">
        <f aca="true" t="shared" si="5" ref="M11:M35">IF(L11="","",L11*$C11)</f>
        <v>0.0478</v>
      </c>
      <c r="N11" s="47"/>
      <c r="O11" s="66">
        <v>0.0408</v>
      </c>
      <c r="P11" s="47">
        <f aca="true" t="shared" si="6" ref="P11:P35">IF(O11="","",O11*$C11)</f>
        <v>0.0408</v>
      </c>
      <c r="Q11" s="47">
        <f aca="true" t="shared" si="7" ref="Q11:Q35">IF(O11=0,"",IF(N11="nd",O11/2,O11))</f>
        <v>0.0408</v>
      </c>
      <c r="R11" s="47">
        <f aca="true" t="shared" si="8" ref="R11:R35">IF(Q11="","",Q11*$C11)</f>
        <v>0.0408</v>
      </c>
    </row>
    <row r="12" spans="1:18" ht="12.75">
      <c r="A12" s="22"/>
      <c r="B12" s="22" t="s">
        <v>144</v>
      </c>
      <c r="C12" s="23">
        <v>0</v>
      </c>
      <c r="D12" s="23"/>
      <c r="E12" s="66">
        <v>0.348</v>
      </c>
      <c r="F12" s="47">
        <f t="shared" si="0"/>
        <v>0</v>
      </c>
      <c r="G12" s="47">
        <f>IF(E12=0,"",IF(D12="nd",E12/2,E12))</f>
        <v>0.348</v>
      </c>
      <c r="H12" s="47">
        <f t="shared" si="2"/>
        <v>0</v>
      </c>
      <c r="I12" s="47"/>
      <c r="J12" s="66">
        <v>0.4722</v>
      </c>
      <c r="K12" s="47">
        <f t="shared" si="3"/>
        <v>0</v>
      </c>
      <c r="L12" s="47">
        <f>IF(J12=0,"",IF(I12="nd",J12/2,J12))</f>
        <v>0.4722</v>
      </c>
      <c r="M12" s="47">
        <f t="shared" si="5"/>
        <v>0</v>
      </c>
      <c r="N12" s="47"/>
      <c r="O12" s="66">
        <v>0.3392</v>
      </c>
      <c r="P12" s="47">
        <f t="shared" si="6"/>
        <v>0</v>
      </c>
      <c r="Q12" s="47">
        <f>IF(O12=0,"",IF(N12="nd",O12/2,O12))</f>
        <v>0.3392</v>
      </c>
      <c r="R12" s="47">
        <f t="shared" si="8"/>
        <v>0</v>
      </c>
    </row>
    <row r="13" spans="1:18" ht="12.75">
      <c r="A13" s="22"/>
      <c r="B13" s="22" t="s">
        <v>74</v>
      </c>
      <c r="C13" s="23">
        <v>0.5</v>
      </c>
      <c r="D13" s="23"/>
      <c r="E13" s="66">
        <v>0.093</v>
      </c>
      <c r="F13" s="47">
        <f t="shared" si="0"/>
        <v>0.0465</v>
      </c>
      <c r="G13" s="47">
        <f t="shared" si="1"/>
        <v>0.093</v>
      </c>
      <c r="H13" s="47">
        <f t="shared" si="2"/>
        <v>0.0465</v>
      </c>
      <c r="I13" s="47"/>
      <c r="J13" s="66">
        <v>0.1137</v>
      </c>
      <c r="K13" s="47">
        <f t="shared" si="3"/>
        <v>0.05685</v>
      </c>
      <c r="L13" s="47">
        <f t="shared" si="4"/>
        <v>0.1137</v>
      </c>
      <c r="M13" s="47">
        <f t="shared" si="5"/>
        <v>0.05685</v>
      </c>
      <c r="N13" s="47"/>
      <c r="O13" s="66">
        <v>0.0837</v>
      </c>
      <c r="P13" s="47">
        <f t="shared" si="6"/>
        <v>0.04185</v>
      </c>
      <c r="Q13" s="47">
        <f t="shared" si="7"/>
        <v>0.0837</v>
      </c>
      <c r="R13" s="47">
        <f t="shared" si="8"/>
        <v>0.04185</v>
      </c>
    </row>
    <row r="14" spans="1:18" ht="12.75">
      <c r="A14" s="22"/>
      <c r="B14" s="22" t="s">
        <v>145</v>
      </c>
      <c r="C14" s="23">
        <v>0</v>
      </c>
      <c r="D14" s="23"/>
      <c r="E14" s="66">
        <v>0.807</v>
      </c>
      <c r="F14" s="47">
        <f t="shared" si="0"/>
        <v>0</v>
      </c>
      <c r="G14" s="47">
        <f>IF(E14=0,"",IF(D14="nd",E14/2,E14))</f>
        <v>0.807</v>
      </c>
      <c r="H14" s="47">
        <f t="shared" si="2"/>
        <v>0</v>
      </c>
      <c r="I14" s="47"/>
      <c r="J14" s="66">
        <v>0.8063</v>
      </c>
      <c r="K14" s="47">
        <f t="shared" si="3"/>
        <v>0</v>
      </c>
      <c r="L14" s="47">
        <f>IF(J14=0,"",IF(I14="nd",J14/2,J14))</f>
        <v>0.8063</v>
      </c>
      <c r="M14" s="47">
        <f t="shared" si="5"/>
        <v>0</v>
      </c>
      <c r="N14" s="47"/>
      <c r="O14" s="66">
        <v>0.7363</v>
      </c>
      <c r="P14" s="47">
        <f t="shared" si="6"/>
        <v>0</v>
      </c>
      <c r="Q14" s="47">
        <f>IF(O14=0,"",IF(N14="nd",O14/2,O14))</f>
        <v>0.7363</v>
      </c>
      <c r="R14" s="47">
        <f t="shared" si="8"/>
        <v>0</v>
      </c>
    </row>
    <row r="15" spans="1:18" ht="12.75">
      <c r="A15" s="22"/>
      <c r="B15" s="22" t="s">
        <v>75</v>
      </c>
      <c r="C15" s="23">
        <v>0.1</v>
      </c>
      <c r="D15" s="23"/>
      <c r="E15" s="66">
        <v>0.05</v>
      </c>
      <c r="F15" s="47">
        <f t="shared" si="0"/>
        <v>0.005000000000000001</v>
      </c>
      <c r="G15" s="47">
        <f t="shared" si="1"/>
        <v>0.05</v>
      </c>
      <c r="H15" s="47">
        <f t="shared" si="2"/>
        <v>0.005000000000000001</v>
      </c>
      <c r="I15" s="47"/>
      <c r="J15" s="66">
        <v>0.0689</v>
      </c>
      <c r="K15" s="47">
        <f t="shared" si="3"/>
        <v>0.00689</v>
      </c>
      <c r="L15" s="47">
        <f t="shared" si="4"/>
        <v>0.0689</v>
      </c>
      <c r="M15" s="47">
        <f t="shared" si="5"/>
        <v>0.00689</v>
      </c>
      <c r="N15" s="47"/>
      <c r="O15" s="66">
        <v>0.05</v>
      </c>
      <c r="P15" s="47">
        <f t="shared" si="6"/>
        <v>0.005000000000000001</v>
      </c>
      <c r="Q15" s="47">
        <f t="shared" si="7"/>
        <v>0.05</v>
      </c>
      <c r="R15" s="47">
        <f t="shared" si="8"/>
        <v>0.005000000000000001</v>
      </c>
    </row>
    <row r="16" spans="1:18" ht="12.75">
      <c r="A16" s="22"/>
      <c r="B16" s="22" t="s">
        <v>76</v>
      </c>
      <c r="C16" s="23">
        <v>0.1</v>
      </c>
      <c r="D16" s="23"/>
      <c r="E16" s="66">
        <v>0.1455</v>
      </c>
      <c r="F16" s="47">
        <f t="shared" si="0"/>
        <v>0.01455</v>
      </c>
      <c r="G16" s="47">
        <f t="shared" si="1"/>
        <v>0.1455</v>
      </c>
      <c r="H16" s="47">
        <f t="shared" si="2"/>
        <v>0.01455</v>
      </c>
      <c r="I16" s="47"/>
      <c r="J16" s="66">
        <v>0.1548</v>
      </c>
      <c r="K16" s="47">
        <f t="shared" si="3"/>
        <v>0.01548</v>
      </c>
      <c r="L16" s="47">
        <f t="shared" si="4"/>
        <v>0.1548</v>
      </c>
      <c r="M16" s="47">
        <f t="shared" si="5"/>
        <v>0.01548</v>
      </c>
      <c r="N16" s="47"/>
      <c r="O16" s="66">
        <v>0.1196</v>
      </c>
      <c r="P16" s="47">
        <f t="shared" si="6"/>
        <v>0.01196</v>
      </c>
      <c r="Q16" s="47">
        <f t="shared" si="7"/>
        <v>0.1196</v>
      </c>
      <c r="R16" s="47">
        <f t="shared" si="8"/>
        <v>0.01196</v>
      </c>
    </row>
    <row r="17" spans="1:18" ht="12.75">
      <c r="A17" s="22"/>
      <c r="B17" s="22" t="s">
        <v>77</v>
      </c>
      <c r="C17" s="23">
        <v>0.1</v>
      </c>
      <c r="D17" s="23"/>
      <c r="E17" s="66">
        <v>0.0819</v>
      </c>
      <c r="F17" s="47">
        <f t="shared" si="0"/>
        <v>0.008190000000000001</v>
      </c>
      <c r="G17" s="47">
        <f t="shared" si="1"/>
        <v>0.0819</v>
      </c>
      <c r="H17" s="47">
        <f t="shared" si="2"/>
        <v>0.008190000000000001</v>
      </c>
      <c r="I17" s="47"/>
      <c r="J17" s="66">
        <v>0.0896</v>
      </c>
      <c r="K17" s="47">
        <f t="shared" si="3"/>
        <v>0.008960000000000001</v>
      </c>
      <c r="L17" s="47">
        <f t="shared" si="4"/>
        <v>0.0896</v>
      </c>
      <c r="M17" s="47">
        <f t="shared" si="5"/>
        <v>0.008960000000000001</v>
      </c>
      <c r="N17" s="47"/>
      <c r="O17" s="66">
        <v>0.0719</v>
      </c>
      <c r="P17" s="47">
        <f t="shared" si="6"/>
        <v>0.007190000000000001</v>
      </c>
      <c r="Q17" s="47">
        <f t="shared" si="7"/>
        <v>0.0719</v>
      </c>
      <c r="R17" s="47">
        <f t="shared" si="8"/>
        <v>0.007190000000000001</v>
      </c>
    </row>
    <row r="18" spans="1:18" ht="12.75">
      <c r="A18" s="22"/>
      <c r="B18" s="22" t="s">
        <v>146</v>
      </c>
      <c r="C18" s="23">
        <v>0</v>
      </c>
      <c r="D18" s="23"/>
      <c r="E18" s="66">
        <v>1.0205</v>
      </c>
      <c r="F18" s="47">
        <f t="shared" si="0"/>
        <v>0</v>
      </c>
      <c r="G18" s="47">
        <f>IF(E18=0,"",IF(D18="nd",E18/2,E18))</f>
        <v>1.0205</v>
      </c>
      <c r="H18" s="47">
        <f t="shared" si="2"/>
        <v>0</v>
      </c>
      <c r="I18" s="47"/>
      <c r="J18" s="66">
        <v>1.2492</v>
      </c>
      <c r="K18" s="47">
        <f t="shared" si="3"/>
        <v>0</v>
      </c>
      <c r="L18" s="47">
        <f>IF(J18=0,"",IF(I18="nd",J18/2,J18))</f>
        <v>1.2492</v>
      </c>
      <c r="M18" s="47">
        <f t="shared" si="5"/>
        <v>0</v>
      </c>
      <c r="N18" s="47"/>
      <c r="O18" s="66">
        <v>0.9585</v>
      </c>
      <c r="P18" s="47">
        <f t="shared" si="6"/>
        <v>0</v>
      </c>
      <c r="Q18" s="47">
        <f>IF(O18=0,"",IF(N18="nd",O18/2,O18))</f>
        <v>0.9585</v>
      </c>
      <c r="R18" s="47">
        <f t="shared" si="8"/>
        <v>0</v>
      </c>
    </row>
    <row r="19" spans="1:18" ht="12.75">
      <c r="A19" s="22"/>
      <c r="B19" s="22" t="s">
        <v>78</v>
      </c>
      <c r="C19" s="23">
        <v>0.01</v>
      </c>
      <c r="D19" s="23"/>
      <c r="E19" s="66">
        <v>0.6685</v>
      </c>
      <c r="F19" s="47">
        <f t="shared" si="0"/>
        <v>0.006685</v>
      </c>
      <c r="G19" s="47">
        <f t="shared" si="1"/>
        <v>0.6685</v>
      </c>
      <c r="H19" s="47">
        <f t="shared" si="2"/>
        <v>0.006685</v>
      </c>
      <c r="I19" s="47"/>
      <c r="J19" s="66">
        <v>0.8462</v>
      </c>
      <c r="K19" s="47">
        <f t="shared" si="3"/>
        <v>0.008461999999999999</v>
      </c>
      <c r="L19" s="47">
        <f t="shared" si="4"/>
        <v>0.8462</v>
      </c>
      <c r="M19" s="47">
        <f t="shared" si="5"/>
        <v>0.008461999999999999</v>
      </c>
      <c r="N19" s="47"/>
      <c r="O19" s="66">
        <v>0.5221</v>
      </c>
      <c r="P19" s="47">
        <f t="shared" si="6"/>
        <v>0.005221</v>
      </c>
      <c r="Q19" s="47">
        <f t="shared" si="7"/>
        <v>0.5221</v>
      </c>
      <c r="R19" s="47">
        <f t="shared" si="8"/>
        <v>0.005221</v>
      </c>
    </row>
    <row r="20" spans="1:18" ht="12.75">
      <c r="A20" s="22"/>
      <c r="B20" s="22" t="s">
        <v>147</v>
      </c>
      <c r="C20" s="23">
        <v>0</v>
      </c>
      <c r="D20" s="23"/>
      <c r="E20" s="66">
        <v>0.6065</v>
      </c>
      <c r="F20" s="47">
        <f t="shared" si="0"/>
        <v>0</v>
      </c>
      <c r="G20" s="47">
        <f>IF(E20=0,"",IF(D20="nd",E20/2,E20))</f>
        <v>0.6065</v>
      </c>
      <c r="H20" s="47">
        <f t="shared" si="2"/>
        <v>0</v>
      </c>
      <c r="I20" s="47"/>
      <c r="J20" s="66">
        <v>0.6387</v>
      </c>
      <c r="K20" s="47">
        <f t="shared" si="3"/>
        <v>0</v>
      </c>
      <c r="L20" s="47">
        <f>IF(J20=0,"",IF(I20="nd",J20/2,J20))</f>
        <v>0.6387</v>
      </c>
      <c r="M20" s="47">
        <f t="shared" si="5"/>
        <v>0</v>
      </c>
      <c r="N20" s="47"/>
      <c r="O20" s="66">
        <v>0.4556</v>
      </c>
      <c r="P20" s="47">
        <f t="shared" si="6"/>
        <v>0</v>
      </c>
      <c r="Q20" s="47">
        <f>IF(O20=0,"",IF(N20="nd",O20/2,O20))</f>
        <v>0.4556</v>
      </c>
      <c r="R20" s="47">
        <f t="shared" si="8"/>
        <v>0</v>
      </c>
    </row>
    <row r="21" spans="1:18" ht="12.75">
      <c r="A21" s="22"/>
      <c r="B21" s="22" t="s">
        <v>79</v>
      </c>
      <c r="C21" s="23">
        <v>0.001</v>
      </c>
      <c r="D21" s="23"/>
      <c r="E21" s="66">
        <v>0.9762</v>
      </c>
      <c r="F21" s="47">
        <f t="shared" si="0"/>
        <v>0.0009762</v>
      </c>
      <c r="G21" s="47">
        <f t="shared" si="1"/>
        <v>0.9762</v>
      </c>
      <c r="H21" s="47">
        <f t="shared" si="2"/>
        <v>0.0009762</v>
      </c>
      <c r="I21" s="47"/>
      <c r="J21" s="66">
        <v>1.0553</v>
      </c>
      <c r="K21" s="47">
        <f t="shared" si="3"/>
        <v>0.0010553</v>
      </c>
      <c r="L21" s="47">
        <f t="shared" si="4"/>
        <v>1.0553</v>
      </c>
      <c r="M21" s="47">
        <f t="shared" si="5"/>
        <v>0.0010553</v>
      </c>
      <c r="N21" s="47"/>
      <c r="O21" s="66">
        <v>0.5151</v>
      </c>
      <c r="P21" s="47">
        <f t="shared" si="6"/>
        <v>0.0005151</v>
      </c>
      <c r="Q21" s="47">
        <f t="shared" si="7"/>
        <v>0.5151</v>
      </c>
      <c r="R21" s="47">
        <f t="shared" si="8"/>
        <v>0.0005151</v>
      </c>
    </row>
    <row r="22" spans="1:18" ht="12.75">
      <c r="A22" s="22"/>
      <c r="B22" s="22" t="s">
        <v>80</v>
      </c>
      <c r="C22" s="23">
        <v>0.1</v>
      </c>
      <c r="D22" s="23"/>
      <c r="E22" s="66">
        <v>0.5626</v>
      </c>
      <c r="F22" s="47">
        <f t="shared" si="0"/>
        <v>0.056260000000000004</v>
      </c>
      <c r="G22" s="47">
        <f t="shared" si="1"/>
        <v>0.5626</v>
      </c>
      <c r="H22" s="47">
        <f t="shared" si="2"/>
        <v>0.056260000000000004</v>
      </c>
      <c r="I22" s="47"/>
      <c r="J22" s="66">
        <v>0.9359</v>
      </c>
      <c r="K22" s="47">
        <f t="shared" si="3"/>
        <v>0.09359</v>
      </c>
      <c r="L22" s="47">
        <f t="shared" si="4"/>
        <v>0.9359</v>
      </c>
      <c r="M22" s="47">
        <f t="shared" si="5"/>
        <v>0.09359</v>
      </c>
      <c r="N22" s="47"/>
      <c r="O22" s="66">
        <v>0.6747</v>
      </c>
      <c r="P22" s="47">
        <f t="shared" si="6"/>
        <v>0.06747</v>
      </c>
      <c r="Q22" s="47">
        <f t="shared" si="7"/>
        <v>0.6747</v>
      </c>
      <c r="R22" s="47">
        <f t="shared" si="8"/>
        <v>0.06747</v>
      </c>
    </row>
    <row r="23" spans="1:18" ht="12.75">
      <c r="A23" s="22"/>
      <c r="B23" s="22" t="s">
        <v>148</v>
      </c>
      <c r="C23" s="23">
        <v>0</v>
      </c>
      <c r="D23" s="23"/>
      <c r="E23" s="66">
        <v>8.46</v>
      </c>
      <c r="F23" s="47">
        <f t="shared" si="0"/>
        <v>0</v>
      </c>
      <c r="G23" s="47">
        <f>IF(E23=0,"",IF(D23="nd",E23/2,E23))</f>
        <v>8.46</v>
      </c>
      <c r="H23" s="47">
        <f t="shared" si="2"/>
        <v>0</v>
      </c>
      <c r="I23" s="47"/>
      <c r="J23" s="66">
        <v>13.89</v>
      </c>
      <c r="K23" s="47">
        <f t="shared" si="3"/>
        <v>0</v>
      </c>
      <c r="L23" s="47">
        <f>IF(J23=0,"",IF(I23="nd",J23/2,J23))</f>
        <v>13.89</v>
      </c>
      <c r="M23" s="47">
        <f t="shared" si="5"/>
        <v>0</v>
      </c>
      <c r="N23" s="47"/>
      <c r="O23" s="66">
        <v>13.33</v>
      </c>
      <c r="P23" s="47">
        <f t="shared" si="6"/>
        <v>0</v>
      </c>
      <c r="Q23" s="47">
        <f>IF(O23=0,"",IF(N23="nd",O23/2,O23))</f>
        <v>13.33</v>
      </c>
      <c r="R23" s="47">
        <f t="shared" si="8"/>
        <v>0</v>
      </c>
    </row>
    <row r="24" spans="1:18" ht="12.75">
      <c r="A24" s="22"/>
      <c r="B24" s="22" t="s">
        <v>81</v>
      </c>
      <c r="C24" s="23">
        <v>0.05</v>
      </c>
      <c r="D24" s="23"/>
      <c r="E24" s="66">
        <v>0.664</v>
      </c>
      <c r="F24" s="47">
        <f t="shared" si="0"/>
        <v>0.0332</v>
      </c>
      <c r="G24" s="47">
        <f t="shared" si="1"/>
        <v>0.664</v>
      </c>
      <c r="H24" s="47">
        <f t="shared" si="2"/>
        <v>0.0332</v>
      </c>
      <c r="I24" s="47"/>
      <c r="J24" s="66">
        <v>0.767</v>
      </c>
      <c r="K24" s="47">
        <f t="shared" si="3"/>
        <v>0.03835</v>
      </c>
      <c r="L24" s="47">
        <f t="shared" si="4"/>
        <v>0.767</v>
      </c>
      <c r="M24" s="47">
        <f t="shared" si="5"/>
        <v>0.03835</v>
      </c>
      <c r="N24" s="47"/>
      <c r="O24" s="66">
        <v>0.736</v>
      </c>
      <c r="P24" s="47">
        <f t="shared" si="6"/>
        <v>0.0368</v>
      </c>
      <c r="Q24" s="47">
        <f t="shared" si="7"/>
        <v>0.736</v>
      </c>
      <c r="R24" s="47">
        <f t="shared" si="8"/>
        <v>0.0368</v>
      </c>
    </row>
    <row r="25" spans="1:18" ht="12.75">
      <c r="A25" s="22"/>
      <c r="B25" s="22" t="s">
        <v>82</v>
      </c>
      <c r="C25" s="23">
        <v>0.5</v>
      </c>
      <c r="D25" s="23"/>
      <c r="E25" s="66">
        <v>0.9822</v>
      </c>
      <c r="F25" s="47">
        <f t="shared" si="0"/>
        <v>0.4911</v>
      </c>
      <c r="G25" s="47">
        <f t="shared" si="1"/>
        <v>0.9822</v>
      </c>
      <c r="H25" s="47">
        <f t="shared" si="2"/>
        <v>0.4911</v>
      </c>
      <c r="I25" s="47"/>
      <c r="J25" s="66">
        <v>1.219</v>
      </c>
      <c r="K25" s="47">
        <f t="shared" si="3"/>
        <v>0.6095</v>
      </c>
      <c r="L25" s="47">
        <f t="shared" si="4"/>
        <v>1.219</v>
      </c>
      <c r="M25" s="47">
        <f t="shared" si="5"/>
        <v>0.6095</v>
      </c>
      <c r="N25" s="47"/>
      <c r="O25" s="66">
        <v>1.3219</v>
      </c>
      <c r="P25" s="47">
        <f t="shared" si="6"/>
        <v>0.66095</v>
      </c>
      <c r="Q25" s="47">
        <f t="shared" si="7"/>
        <v>1.3219</v>
      </c>
      <c r="R25" s="47">
        <f t="shared" si="8"/>
        <v>0.66095</v>
      </c>
    </row>
    <row r="26" spans="1:18" ht="12.75">
      <c r="A26" s="22"/>
      <c r="B26" s="22" t="s">
        <v>149</v>
      </c>
      <c r="C26" s="23">
        <v>0</v>
      </c>
      <c r="D26" s="23"/>
      <c r="E26" s="66">
        <v>5.5538</v>
      </c>
      <c r="F26" s="47">
        <f t="shared" si="0"/>
        <v>0</v>
      </c>
      <c r="G26" s="47">
        <f>IF(E26=0,"",IF(D26="nd",E26/2,E26))</f>
        <v>5.5538</v>
      </c>
      <c r="H26" s="47">
        <f t="shared" si="2"/>
        <v>0</v>
      </c>
      <c r="I26" s="47"/>
      <c r="J26" s="66">
        <v>7.513</v>
      </c>
      <c r="K26" s="47">
        <f t="shared" si="3"/>
        <v>0</v>
      </c>
      <c r="L26" s="47">
        <f>IF(J26=0,"",IF(I26="nd",J26/2,J26))</f>
        <v>7.513</v>
      </c>
      <c r="M26" s="47">
        <f t="shared" si="5"/>
        <v>0</v>
      </c>
      <c r="N26" s="47"/>
      <c r="O26" s="66">
        <v>7.242</v>
      </c>
      <c r="P26" s="47">
        <f t="shared" si="6"/>
        <v>0</v>
      </c>
      <c r="Q26" s="47">
        <f>IF(O26=0,"",IF(N26="nd",O26/2,O26))</f>
        <v>7.242</v>
      </c>
      <c r="R26" s="47">
        <f t="shared" si="8"/>
        <v>0</v>
      </c>
    </row>
    <row r="27" spans="1:18" ht="12.75">
      <c r="A27" s="22"/>
      <c r="B27" s="22" t="s">
        <v>83</v>
      </c>
      <c r="C27" s="23">
        <v>0.1</v>
      </c>
      <c r="D27" s="23"/>
      <c r="E27" s="66">
        <v>0.9493</v>
      </c>
      <c r="F27" s="47">
        <f t="shared" si="0"/>
        <v>0.09493000000000001</v>
      </c>
      <c r="G27" s="47">
        <f t="shared" si="1"/>
        <v>0.9493</v>
      </c>
      <c r="H27" s="47">
        <f t="shared" si="2"/>
        <v>0.09493000000000001</v>
      </c>
      <c r="I27" s="47"/>
      <c r="J27" s="66">
        <v>0.9858</v>
      </c>
      <c r="K27" s="47">
        <f t="shared" si="3"/>
        <v>0.09858</v>
      </c>
      <c r="L27" s="47">
        <f t="shared" si="4"/>
        <v>0.9858</v>
      </c>
      <c r="M27" s="47">
        <f t="shared" si="5"/>
        <v>0.09858</v>
      </c>
      <c r="N27" s="47"/>
      <c r="O27" s="66">
        <v>0.8258</v>
      </c>
      <c r="P27" s="47">
        <f t="shared" si="6"/>
        <v>0.08258</v>
      </c>
      <c r="Q27" s="47">
        <f t="shared" si="7"/>
        <v>0.8258</v>
      </c>
      <c r="R27" s="47">
        <f t="shared" si="8"/>
        <v>0.08258</v>
      </c>
    </row>
    <row r="28" spans="1:18" ht="12.75">
      <c r="A28" s="22"/>
      <c r="B28" s="22" t="s">
        <v>84</v>
      </c>
      <c r="C28" s="23">
        <v>0.1</v>
      </c>
      <c r="D28" s="23"/>
      <c r="E28" s="66">
        <v>0.4699</v>
      </c>
      <c r="F28" s="47">
        <f t="shared" si="0"/>
        <v>0.046990000000000004</v>
      </c>
      <c r="G28" s="47">
        <f t="shared" si="1"/>
        <v>0.4699</v>
      </c>
      <c r="H28" s="47">
        <f t="shared" si="2"/>
        <v>0.046990000000000004</v>
      </c>
      <c r="I28" s="47"/>
      <c r="J28" s="66">
        <v>0.4718</v>
      </c>
      <c r="K28" s="47">
        <f t="shared" si="3"/>
        <v>0.04718</v>
      </c>
      <c r="L28" s="47">
        <f t="shared" si="4"/>
        <v>0.4718</v>
      </c>
      <c r="M28" s="47">
        <f t="shared" si="5"/>
        <v>0.04718</v>
      </c>
      <c r="N28" s="47"/>
      <c r="O28" s="66">
        <v>0.4003</v>
      </c>
      <c r="P28" s="47">
        <f t="shared" si="6"/>
        <v>0.04003</v>
      </c>
      <c r="Q28" s="47">
        <f t="shared" si="7"/>
        <v>0.4003</v>
      </c>
      <c r="R28" s="47">
        <f t="shared" si="8"/>
        <v>0.04003</v>
      </c>
    </row>
    <row r="29" spans="1:18" ht="12.75">
      <c r="A29" s="22"/>
      <c r="B29" s="22" t="s">
        <v>85</v>
      </c>
      <c r="C29" s="23">
        <v>0.1</v>
      </c>
      <c r="D29" s="23"/>
      <c r="E29" s="66">
        <v>0.4579</v>
      </c>
      <c r="F29" s="47">
        <f t="shared" si="0"/>
        <v>0.04579</v>
      </c>
      <c r="G29" s="47">
        <f t="shared" si="1"/>
        <v>0.4579</v>
      </c>
      <c r="H29" s="47">
        <f t="shared" si="2"/>
        <v>0.04579</v>
      </c>
      <c r="I29" s="47"/>
      <c r="J29" s="66">
        <v>0.4049</v>
      </c>
      <c r="K29" s="47">
        <f t="shared" si="3"/>
        <v>0.04049</v>
      </c>
      <c r="L29" s="47">
        <f t="shared" si="4"/>
        <v>0.4049</v>
      </c>
      <c r="M29" s="47">
        <f t="shared" si="5"/>
        <v>0.04049</v>
      </c>
      <c r="N29" s="47"/>
      <c r="O29" s="66">
        <v>0.3561</v>
      </c>
      <c r="P29" s="47">
        <f t="shared" si="6"/>
        <v>0.03561</v>
      </c>
      <c r="Q29" s="47">
        <f t="shared" si="7"/>
        <v>0.3561</v>
      </c>
      <c r="R29" s="47">
        <f t="shared" si="8"/>
        <v>0.03561</v>
      </c>
    </row>
    <row r="30" spans="1:18" ht="12.75">
      <c r="A30" s="22"/>
      <c r="B30" s="22" t="s">
        <v>86</v>
      </c>
      <c r="C30" s="23">
        <v>0.1</v>
      </c>
      <c r="D30" s="23"/>
      <c r="E30" s="66">
        <v>0.0652</v>
      </c>
      <c r="F30" s="47">
        <f t="shared" si="0"/>
        <v>0.00652</v>
      </c>
      <c r="G30" s="47">
        <f t="shared" si="1"/>
        <v>0.0652</v>
      </c>
      <c r="H30" s="47">
        <f t="shared" si="2"/>
        <v>0.00652</v>
      </c>
      <c r="I30" s="47"/>
      <c r="J30" s="66">
        <v>0.0571</v>
      </c>
      <c r="K30" s="47">
        <f t="shared" si="3"/>
        <v>0.00571</v>
      </c>
      <c r="L30" s="47">
        <f t="shared" si="4"/>
        <v>0.0571</v>
      </c>
      <c r="M30" s="47">
        <f t="shared" si="5"/>
        <v>0.00571</v>
      </c>
      <c r="N30" s="47"/>
      <c r="O30" s="66">
        <v>0.0622</v>
      </c>
      <c r="P30" s="47">
        <f t="shared" si="6"/>
        <v>0.00622</v>
      </c>
      <c r="Q30" s="47">
        <f t="shared" si="7"/>
        <v>0.0622</v>
      </c>
      <c r="R30" s="47">
        <f t="shared" si="8"/>
        <v>0.00622</v>
      </c>
    </row>
    <row r="31" spans="1:18" ht="12.75">
      <c r="A31" s="22"/>
      <c r="B31" s="22" t="s">
        <v>150</v>
      </c>
      <c r="C31" s="23">
        <v>0</v>
      </c>
      <c r="D31" s="23"/>
      <c r="E31" s="66">
        <v>1.7166</v>
      </c>
      <c r="F31" s="47">
        <f t="shared" si="0"/>
        <v>0</v>
      </c>
      <c r="G31" s="47">
        <f>IF(E31=0,"",IF(D31="nd",E31/2,E31))</f>
        <v>1.7166</v>
      </c>
      <c r="H31" s="47">
        <f t="shared" si="2"/>
        <v>0</v>
      </c>
      <c r="I31" s="47"/>
      <c r="J31" s="66">
        <v>1.6372</v>
      </c>
      <c r="K31" s="47">
        <f t="shared" si="3"/>
        <v>0</v>
      </c>
      <c r="L31" s="47">
        <f>IF(J31=0,"",IF(I31="nd",J31/2,J31))</f>
        <v>1.6372</v>
      </c>
      <c r="M31" s="47">
        <f t="shared" si="5"/>
        <v>0</v>
      </c>
      <c r="N31" s="47"/>
      <c r="O31" s="66">
        <v>1.3924</v>
      </c>
      <c r="P31" s="47">
        <f t="shared" si="6"/>
        <v>0</v>
      </c>
      <c r="Q31" s="47">
        <f>IF(O31=0,"",IF(N31="nd",O31/2,O31))</f>
        <v>1.3924</v>
      </c>
      <c r="R31" s="47">
        <f t="shared" si="8"/>
        <v>0</v>
      </c>
    </row>
    <row r="32" spans="1:18" ht="12.75">
      <c r="A32" s="22"/>
      <c r="B32" s="22" t="s">
        <v>87</v>
      </c>
      <c r="C32" s="23">
        <v>0.01</v>
      </c>
      <c r="D32" s="23"/>
      <c r="E32" s="66">
        <v>0.7984</v>
      </c>
      <c r="F32" s="47">
        <f t="shared" si="0"/>
        <v>0.007984</v>
      </c>
      <c r="G32" s="47">
        <f t="shared" si="1"/>
        <v>0.7984</v>
      </c>
      <c r="H32" s="47">
        <f t="shared" si="2"/>
        <v>0.007984</v>
      </c>
      <c r="I32" s="47"/>
      <c r="J32" s="66">
        <v>0.8573</v>
      </c>
      <c r="K32" s="47">
        <f t="shared" si="3"/>
        <v>0.008572999999999999</v>
      </c>
      <c r="L32" s="47">
        <f t="shared" si="4"/>
        <v>0.8573</v>
      </c>
      <c r="M32" s="47">
        <f t="shared" si="5"/>
        <v>0.008572999999999999</v>
      </c>
      <c r="N32" s="47"/>
      <c r="O32" s="66">
        <v>0.518</v>
      </c>
      <c r="P32" s="47">
        <f t="shared" si="6"/>
        <v>0.005180000000000001</v>
      </c>
      <c r="Q32" s="47">
        <f t="shared" si="7"/>
        <v>0.518</v>
      </c>
      <c r="R32" s="47">
        <f t="shared" si="8"/>
        <v>0.005180000000000001</v>
      </c>
    </row>
    <row r="33" spans="1:18" ht="12.75">
      <c r="A33" s="22"/>
      <c r="B33" s="22" t="s">
        <v>88</v>
      </c>
      <c r="C33" s="23">
        <v>0.01</v>
      </c>
      <c r="D33" s="23"/>
      <c r="E33" s="66">
        <v>0.1909</v>
      </c>
      <c r="F33" s="47">
        <f t="shared" si="0"/>
        <v>0.0019089999999999999</v>
      </c>
      <c r="G33" s="47">
        <f t="shared" si="1"/>
        <v>0.1909</v>
      </c>
      <c r="H33" s="47">
        <f t="shared" si="2"/>
        <v>0.0019089999999999999</v>
      </c>
      <c r="I33" s="47"/>
      <c r="J33" s="66">
        <v>0.2154</v>
      </c>
      <c r="K33" s="47">
        <f t="shared" si="3"/>
        <v>0.002154</v>
      </c>
      <c r="L33" s="47">
        <f t="shared" si="4"/>
        <v>0.2154</v>
      </c>
      <c r="M33" s="47">
        <f t="shared" si="5"/>
        <v>0.002154</v>
      </c>
      <c r="N33" s="47"/>
      <c r="O33" s="66">
        <v>0.1561</v>
      </c>
      <c r="P33" s="47">
        <f t="shared" si="6"/>
        <v>0.0015609999999999999</v>
      </c>
      <c r="Q33" s="47">
        <f t="shared" si="7"/>
        <v>0.1561</v>
      </c>
      <c r="R33" s="47">
        <f t="shared" si="8"/>
        <v>0.0015609999999999999</v>
      </c>
    </row>
    <row r="34" spans="1:18" ht="12.75">
      <c r="A34" s="22" t="s">
        <v>90</v>
      </c>
      <c r="B34" s="22" t="s">
        <v>151</v>
      </c>
      <c r="C34" s="23">
        <v>0</v>
      </c>
      <c r="D34" s="23"/>
      <c r="E34" s="66">
        <v>0.4144</v>
      </c>
      <c r="F34" s="47">
        <f t="shared" si="0"/>
        <v>0</v>
      </c>
      <c r="G34" s="47">
        <f>IF(E34=0,"",IF(D34="nd",E34/2,E34))</f>
        <v>0.4144</v>
      </c>
      <c r="H34" s="47">
        <f t="shared" si="2"/>
        <v>0</v>
      </c>
      <c r="I34" s="47"/>
      <c r="J34" s="66">
        <v>0.4601</v>
      </c>
      <c r="K34" s="47">
        <f t="shared" si="3"/>
        <v>0</v>
      </c>
      <c r="L34" s="47">
        <f>IF(J34=0,"",IF(I34="nd",J34/2,J34))</f>
        <v>0.4601</v>
      </c>
      <c r="M34" s="47">
        <f t="shared" si="5"/>
        <v>0</v>
      </c>
      <c r="N34" s="47"/>
      <c r="O34" s="66">
        <v>0.3145</v>
      </c>
      <c r="P34" s="47">
        <f t="shared" si="6"/>
        <v>0</v>
      </c>
      <c r="Q34" s="47">
        <f>IF(O34=0,"",IF(N34="nd",O34/2,O34))</f>
        <v>0.3145</v>
      </c>
      <c r="R34" s="47">
        <f t="shared" si="8"/>
        <v>0</v>
      </c>
    </row>
    <row r="35" spans="1:18" ht="12.75">
      <c r="A35" s="22"/>
      <c r="B35" s="22" t="s">
        <v>89</v>
      </c>
      <c r="C35" s="23">
        <v>0.001</v>
      </c>
      <c r="D35" s="23"/>
      <c r="E35" s="66">
        <v>0.2818</v>
      </c>
      <c r="F35" s="47">
        <f t="shared" si="0"/>
        <v>0.0002818</v>
      </c>
      <c r="G35" s="47">
        <f t="shared" si="1"/>
        <v>0.2818</v>
      </c>
      <c r="H35" s="47">
        <f t="shared" si="2"/>
        <v>0.0002818</v>
      </c>
      <c r="I35" s="47"/>
      <c r="J35" s="66">
        <v>0.3687</v>
      </c>
      <c r="K35" s="47">
        <f t="shared" si="3"/>
        <v>0.0003687</v>
      </c>
      <c r="L35" s="47">
        <f t="shared" si="4"/>
        <v>0.3687</v>
      </c>
      <c r="M35" s="47">
        <f t="shared" si="5"/>
        <v>0.0003687</v>
      </c>
      <c r="N35" s="47"/>
      <c r="O35" s="66">
        <v>0.1914</v>
      </c>
      <c r="P35" s="47">
        <f t="shared" si="6"/>
        <v>0.0001914</v>
      </c>
      <c r="Q35" s="47">
        <f t="shared" si="7"/>
        <v>0.1914</v>
      </c>
      <c r="R35" s="47">
        <f t="shared" si="8"/>
        <v>0.0001914</v>
      </c>
    </row>
    <row r="36" spans="1:18" ht="12.75">
      <c r="A36" s="22"/>
      <c r="B36" s="22"/>
      <c r="C36" s="22"/>
      <c r="D36" s="22"/>
      <c r="E36" s="46"/>
      <c r="F36" s="42"/>
      <c r="G36" s="46"/>
      <c r="H36" s="42"/>
      <c r="I36" s="46"/>
      <c r="J36" s="22"/>
      <c r="K36" s="24"/>
      <c r="L36" s="24"/>
      <c r="M36" s="24"/>
      <c r="N36" s="46"/>
      <c r="O36" s="22"/>
      <c r="P36" s="41"/>
      <c r="Q36" s="46"/>
      <c r="R36" s="41"/>
    </row>
    <row r="37" spans="1:18" ht="12.75">
      <c r="A37" s="22"/>
      <c r="B37" s="22" t="s">
        <v>91</v>
      </c>
      <c r="C37" s="22"/>
      <c r="D37" s="22"/>
      <c r="E37" s="46"/>
      <c r="F37" s="46">
        <v>107.93</v>
      </c>
      <c r="G37" s="46">
        <v>107.93</v>
      </c>
      <c r="H37" s="46">
        <v>107.93</v>
      </c>
      <c r="I37" s="46"/>
      <c r="J37" s="46"/>
      <c r="K37" s="46">
        <v>116.04</v>
      </c>
      <c r="L37" s="46">
        <v>116.04</v>
      </c>
      <c r="M37" s="46">
        <v>116.04</v>
      </c>
      <c r="N37" s="46"/>
      <c r="O37" s="46"/>
      <c r="P37" s="46">
        <v>121.58</v>
      </c>
      <c r="Q37" s="46">
        <v>121.58</v>
      </c>
      <c r="R37" s="46">
        <v>121.58</v>
      </c>
    </row>
    <row r="38" spans="1:18" ht="12.75">
      <c r="A38" s="22"/>
      <c r="B38" s="22" t="s">
        <v>92</v>
      </c>
      <c r="C38" s="22"/>
      <c r="D38" s="22"/>
      <c r="E38" s="46"/>
      <c r="F38" s="46">
        <v>16.5</v>
      </c>
      <c r="G38" s="46">
        <v>16.5</v>
      </c>
      <c r="H38" s="46">
        <v>16.5</v>
      </c>
      <c r="I38" s="46"/>
      <c r="J38" s="46"/>
      <c r="K38" s="24">
        <v>16.3</v>
      </c>
      <c r="L38" s="24">
        <v>16.3</v>
      </c>
      <c r="M38" s="24">
        <v>16.3</v>
      </c>
      <c r="N38" s="46"/>
      <c r="O38" s="46"/>
      <c r="P38" s="46">
        <v>16</v>
      </c>
      <c r="Q38" s="46">
        <v>16</v>
      </c>
      <c r="R38" s="46">
        <v>16</v>
      </c>
    </row>
    <row r="39" spans="1:18" ht="12.75">
      <c r="A39" s="22"/>
      <c r="B39" s="22"/>
      <c r="C39" s="22"/>
      <c r="D39" s="22"/>
      <c r="E39" s="46"/>
      <c r="F39" s="22"/>
      <c r="G39" s="46"/>
      <c r="H39" s="22"/>
      <c r="I39" s="22"/>
      <c r="J39" s="46"/>
      <c r="K39" s="24"/>
      <c r="L39" s="24"/>
      <c r="M39" s="24"/>
      <c r="N39" s="46"/>
      <c r="O39" s="46"/>
      <c r="P39" s="46"/>
      <c r="Q39" s="46"/>
      <c r="R39" s="46"/>
    </row>
    <row r="40" spans="1:18" ht="12.75">
      <c r="A40" s="22"/>
      <c r="B40" s="22" t="s">
        <v>93</v>
      </c>
      <c r="C40" s="42"/>
      <c r="D40" s="42"/>
      <c r="E40" s="24"/>
      <c r="F40" s="47">
        <f>SUM(F11:F35)</f>
        <v>0.898866</v>
      </c>
      <c r="G40" s="24">
        <f>SUM(G11:G35)</f>
        <v>26.3961</v>
      </c>
      <c r="H40" s="47">
        <f>SUM(H11:H35)</f>
        <v>0.898866</v>
      </c>
      <c r="I40" s="42"/>
      <c r="J40" s="24"/>
      <c r="K40" s="47">
        <f>SUM(K11:K35)</f>
        <v>1.0899930000000002</v>
      </c>
      <c r="L40" s="24">
        <f>SUM(L11:L35)</f>
        <v>35.325900000000004</v>
      </c>
      <c r="M40" s="47">
        <f>SUM(M11:M35)</f>
        <v>1.0899930000000002</v>
      </c>
      <c r="N40" s="42"/>
      <c r="O40" s="46"/>
      <c r="P40" s="47">
        <f>SUM(P11:P35)</f>
        <v>1.0491284999999997</v>
      </c>
      <c r="Q40" s="24">
        <f>SUM(Q11:Q35)</f>
        <v>31.414200000000005</v>
      </c>
      <c r="R40" s="47">
        <f>SUM(R11:R35)</f>
        <v>1.0491284999999997</v>
      </c>
    </row>
    <row r="41" spans="1:18" ht="12.75">
      <c r="A41" s="22"/>
      <c r="B41" s="22" t="s">
        <v>94</v>
      </c>
      <c r="C41" s="42"/>
      <c r="D41" s="24">
        <f>(F41-H41)*2/F41*100</f>
        <v>0</v>
      </c>
      <c r="E41" s="46"/>
      <c r="F41" s="47">
        <f>(F40/F37/0.0283*(21-7)/(21-F38))</f>
        <v>0.9155495693288969</v>
      </c>
      <c r="G41" s="46">
        <f>(G40/G37/0.0283*(21-7)/(21-G38))</f>
        <v>26.88602971628974</v>
      </c>
      <c r="H41" s="47">
        <f>(H40/H37/0.0283*(21-7)/(21-H38))</f>
        <v>0.9155495693288969</v>
      </c>
      <c r="I41" s="24">
        <f>(K41-M41)*2/K41*100</f>
        <v>0</v>
      </c>
      <c r="J41" s="46"/>
      <c r="K41" s="47">
        <f>K40/K37/0.0283*(21-7)/(21-K38)</f>
        <v>0.9886890652956484</v>
      </c>
      <c r="L41" s="46">
        <f>(L40/L37/0.0283*(21-7)/(21-L38))</f>
        <v>32.04271133092372</v>
      </c>
      <c r="M41" s="47">
        <f>M40/M37/0.0283*(21-7)/(21-M38)</f>
        <v>0.9886890652956484</v>
      </c>
      <c r="N41" s="24">
        <f>(P41-R41)*2/P41*100</f>
        <v>0</v>
      </c>
      <c r="O41" s="46"/>
      <c r="P41" s="47">
        <f>P40/P37/0.0283*(21-7)/(21-P38)</f>
        <v>0.8537645965343238</v>
      </c>
      <c r="Q41" s="46">
        <f>(Q40/Q37/0.0283*(21-7)/(21-Q38))</f>
        <v>25.564391576864573</v>
      </c>
      <c r="R41" s="47">
        <f>R40/R37/0.0283*(21-7)/(21-R38)</f>
        <v>0.8537645965343238</v>
      </c>
    </row>
    <row r="42" spans="1:18" ht="12.75">
      <c r="A42" s="22"/>
      <c r="B42" s="22"/>
      <c r="C42" s="22"/>
      <c r="D42" s="22"/>
      <c r="E42" s="47"/>
      <c r="F42" s="42"/>
      <c r="G42" s="47"/>
      <c r="H42" s="42"/>
      <c r="I42" s="47"/>
      <c r="J42" s="47"/>
      <c r="K42" s="47"/>
      <c r="L42" s="47"/>
      <c r="M42" s="47"/>
      <c r="N42" s="47"/>
      <c r="O42" s="47"/>
      <c r="P42" s="41"/>
      <c r="Q42" s="47"/>
      <c r="R42" s="41"/>
    </row>
    <row r="43" spans="1:18" ht="12.75">
      <c r="A43" s="46"/>
      <c r="B43" s="22" t="s">
        <v>95</v>
      </c>
      <c r="C43" s="47">
        <f>AVERAGE(H41,M41,R41)</f>
        <v>0.9193344103862896</v>
      </c>
      <c r="D43" s="46"/>
      <c r="E43" s="48"/>
      <c r="F43" s="42"/>
      <c r="G43" s="46"/>
      <c r="H43" s="42"/>
      <c r="I43" s="46"/>
      <c r="J43" s="46"/>
      <c r="K43" s="46"/>
      <c r="L43" s="46"/>
      <c r="M43" s="46"/>
      <c r="N43" s="46"/>
      <c r="O43" s="46"/>
      <c r="P43" s="41"/>
      <c r="Q43" s="46"/>
      <c r="R43" s="41"/>
    </row>
    <row r="44" spans="1:18" ht="12.75">
      <c r="A44" s="22"/>
      <c r="B44" s="22" t="s">
        <v>96</v>
      </c>
      <c r="C44" s="46">
        <f>AVERAGE(G41,L41,Q41)</f>
        <v>28.164377541359347</v>
      </c>
      <c r="D44" s="22"/>
      <c r="E44" s="41"/>
      <c r="F44" s="42"/>
      <c r="G44" s="41"/>
      <c r="H44" s="42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B1">
      <selection activeCell="D22" sqref="D22"/>
    </sheetView>
  </sheetViews>
  <sheetFormatPr defaultColWidth="9.140625" defaultRowHeight="12.75"/>
  <cols>
    <col min="1" max="1" width="2.140625" style="1" hidden="1" customWidth="1"/>
    <col min="2" max="2" width="26.28125" style="1" customWidth="1"/>
    <col min="3" max="3" width="57.0039062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48</v>
      </c>
      <c r="C1" s="34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203</v>
      </c>
      <c r="C3" s="10">
        <v>476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34" t="s">
        <v>135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119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136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118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162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210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192</v>
      </c>
      <c r="C12" s="9" t="s">
        <v>224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191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29" customFormat="1" ht="12.75">
      <c r="B14" s="28" t="s">
        <v>41</v>
      </c>
      <c r="C14" s="59"/>
      <c r="D14" s="33"/>
      <c r="E14" s="28"/>
      <c r="F14" s="28"/>
      <c r="G14" s="28"/>
      <c r="H14" s="28"/>
      <c r="I14" s="28"/>
      <c r="J14" s="28"/>
      <c r="K14" s="28"/>
      <c r="L14" s="28"/>
    </row>
    <row r="15" spans="2:12" s="29" customFormat="1" ht="12.75">
      <c r="B15" s="28" t="s">
        <v>44</v>
      </c>
      <c r="C15" s="63"/>
      <c r="D15" s="28"/>
      <c r="E15" s="28"/>
      <c r="F15" s="28"/>
      <c r="G15" s="28"/>
      <c r="H15" s="28"/>
      <c r="I15" s="28"/>
      <c r="J15" s="28"/>
      <c r="K15" s="28"/>
      <c r="L15" s="28"/>
    </row>
    <row r="16" spans="2:12" s="29" customFormat="1" ht="12.75">
      <c r="B16" s="9" t="s">
        <v>49</v>
      </c>
      <c r="C16" s="28"/>
      <c r="F16" s="28"/>
      <c r="G16" s="28"/>
      <c r="H16" s="28"/>
      <c r="I16" s="28"/>
      <c r="J16" s="28"/>
      <c r="K16" s="28"/>
      <c r="L16" s="28"/>
    </row>
    <row r="17" spans="2:12" s="29" customFormat="1" ht="12.75">
      <c r="B17" s="9" t="s">
        <v>211</v>
      </c>
      <c r="C17" s="59" t="s">
        <v>138</v>
      </c>
      <c r="D17" s="28"/>
      <c r="E17" s="28"/>
      <c r="F17" s="28"/>
      <c r="G17" s="28"/>
      <c r="H17" s="28"/>
      <c r="I17" s="28"/>
      <c r="J17" s="28"/>
      <c r="K17" s="28"/>
      <c r="L17" s="28"/>
    </row>
    <row r="18" spans="2:12" s="29" customFormat="1" ht="12.75">
      <c r="B18" s="9" t="s">
        <v>212</v>
      </c>
      <c r="C18" s="59" t="s">
        <v>213</v>
      </c>
      <c r="D18" s="28"/>
      <c r="E18" s="28"/>
      <c r="F18" s="28"/>
      <c r="G18" s="28"/>
      <c r="H18" s="28"/>
      <c r="I18" s="28"/>
      <c r="J18" s="28"/>
      <c r="K18" s="28"/>
      <c r="L18" s="28"/>
    </row>
    <row r="19" spans="2:12" ht="12.75">
      <c r="B19" s="28" t="s">
        <v>7</v>
      </c>
      <c r="C19" s="28" t="s">
        <v>139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63</v>
      </c>
      <c r="C20" s="1" t="s">
        <v>214</v>
      </c>
      <c r="D20" s="34"/>
      <c r="E20" s="9"/>
      <c r="F20" s="9"/>
      <c r="G20" s="9"/>
      <c r="H20" s="9"/>
      <c r="I20" s="9"/>
      <c r="J20" s="9"/>
      <c r="K20" s="9"/>
      <c r="L20" s="9"/>
    </row>
    <row r="21" spans="2:12" ht="12.75">
      <c r="B21" s="35" t="s">
        <v>50</v>
      </c>
      <c r="C21" s="36" t="s">
        <v>236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43</v>
      </c>
      <c r="C22" s="28"/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60"/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61"/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45</v>
      </c>
      <c r="C27" s="11"/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46</v>
      </c>
      <c r="C28" s="10"/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35" t="s">
        <v>11</v>
      </c>
      <c r="C30" s="36" t="s">
        <v>152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60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B1">
      <selection activeCell="D22" sqref="D22"/>
    </sheetView>
  </sheetViews>
  <sheetFormatPr defaultColWidth="9.140625" defaultRowHeight="12.75"/>
  <cols>
    <col min="1" max="1" width="2.8515625" style="0" hidden="1" customWidth="1"/>
    <col min="2" max="2" width="18.8515625" style="0" customWidth="1"/>
    <col min="3" max="3" width="60.7109375" style="82" customWidth="1"/>
  </cols>
  <sheetData>
    <row r="1" ht="12.75">
      <c r="B1" s="2" t="s">
        <v>190</v>
      </c>
    </row>
    <row r="3" spans="1:12" s="1" customFormat="1" ht="12.75">
      <c r="A3" s="1">
        <v>10</v>
      </c>
      <c r="B3" s="2" t="s">
        <v>137</v>
      </c>
      <c r="C3" s="9"/>
      <c r="D3" s="32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2"/>
      <c r="C4" s="9"/>
      <c r="D4" s="32"/>
      <c r="E4" s="9"/>
      <c r="F4" s="9"/>
      <c r="G4" s="9"/>
      <c r="H4" s="9"/>
      <c r="I4" s="9"/>
      <c r="J4" s="9"/>
      <c r="K4" s="9"/>
      <c r="L4" s="9"/>
    </row>
    <row r="5" spans="2:12" s="80" customFormat="1" ht="38.25">
      <c r="B5" s="81" t="s">
        <v>171</v>
      </c>
      <c r="C5" s="59" t="s">
        <v>142</v>
      </c>
      <c r="D5" s="81"/>
      <c r="E5" s="81"/>
      <c r="F5" s="81"/>
      <c r="G5" s="81"/>
      <c r="H5" s="81"/>
      <c r="I5" s="81"/>
      <c r="J5" s="81"/>
      <c r="K5" s="81"/>
      <c r="L5" s="81"/>
    </row>
    <row r="6" spans="2:12" s="1" customFormat="1" ht="12.75">
      <c r="B6" s="9" t="s">
        <v>172</v>
      </c>
      <c r="C6" s="9" t="s">
        <v>120</v>
      </c>
      <c r="D6" s="32"/>
      <c r="E6" s="9"/>
      <c r="F6" s="9"/>
      <c r="G6" s="9"/>
      <c r="H6" s="9"/>
      <c r="I6" s="9"/>
      <c r="J6" s="9"/>
      <c r="K6" s="9"/>
      <c r="L6" s="9"/>
    </row>
    <row r="7" spans="2:12" s="1" customFormat="1" ht="12.75">
      <c r="B7" s="9" t="s">
        <v>173</v>
      </c>
      <c r="C7" s="9" t="s">
        <v>121</v>
      </c>
      <c r="D7" s="9"/>
      <c r="E7" s="9"/>
      <c r="F7" s="9"/>
      <c r="G7" s="9"/>
      <c r="H7" s="9"/>
      <c r="I7" s="9"/>
      <c r="J7" s="9"/>
      <c r="K7" s="9"/>
      <c r="L7" s="9"/>
    </row>
    <row r="8" spans="2:12" s="1" customFormat="1" ht="12.75">
      <c r="B8" s="9" t="s">
        <v>174</v>
      </c>
      <c r="C8" s="12" t="s">
        <v>208</v>
      </c>
      <c r="D8" s="9"/>
      <c r="E8" s="9"/>
      <c r="F8" s="9"/>
      <c r="G8" s="9"/>
      <c r="H8" s="9"/>
      <c r="I8" s="9"/>
      <c r="J8" s="9"/>
      <c r="K8" s="9"/>
      <c r="L8" s="9"/>
    </row>
    <row r="9" spans="2:12" s="1" customFormat="1" ht="12.75">
      <c r="B9" s="9" t="s">
        <v>209</v>
      </c>
      <c r="C9" s="93">
        <v>36495</v>
      </c>
      <c r="D9" s="9"/>
      <c r="E9" s="9"/>
      <c r="F9" s="9"/>
      <c r="G9" s="9"/>
      <c r="H9" s="9"/>
      <c r="I9" s="9"/>
      <c r="J9" s="9"/>
      <c r="K9" s="9"/>
      <c r="L9" s="9"/>
    </row>
    <row r="10" spans="2:12" s="1" customFormat="1" ht="12.75">
      <c r="B10" s="9" t="s">
        <v>175</v>
      </c>
      <c r="C10" s="30" t="s">
        <v>127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s="1" customFormat="1" ht="12.75">
      <c r="B11" s="9" t="s">
        <v>176</v>
      </c>
      <c r="C11" s="12" t="s">
        <v>159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s="1" customFormat="1" ht="12.75"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</row>
    <row r="13" spans="1:12" s="1" customFormat="1" ht="12.75">
      <c r="A13" s="1">
        <v>11</v>
      </c>
      <c r="B13" s="2" t="s">
        <v>140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1" customFormat="1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s="80" customFormat="1" ht="38.25">
      <c r="B15" s="81" t="s">
        <v>171</v>
      </c>
      <c r="C15" s="59" t="s">
        <v>142</v>
      </c>
      <c r="D15" s="81"/>
      <c r="E15" s="81"/>
      <c r="F15" s="81"/>
      <c r="G15" s="81"/>
      <c r="H15" s="81"/>
      <c r="I15" s="81"/>
      <c r="J15" s="81"/>
      <c r="K15" s="81"/>
      <c r="L15" s="81"/>
    </row>
    <row r="16" spans="2:12" s="1" customFormat="1" ht="12.75">
      <c r="B16" s="9" t="s">
        <v>172</v>
      </c>
      <c r="C16" s="9" t="s">
        <v>120</v>
      </c>
      <c r="D16" s="32"/>
      <c r="E16" s="9"/>
      <c r="F16" s="9"/>
      <c r="G16" s="9"/>
      <c r="H16" s="9"/>
      <c r="I16" s="9"/>
      <c r="J16" s="9"/>
      <c r="K16" s="9"/>
      <c r="L16" s="9"/>
    </row>
    <row r="17" spans="2:12" s="1" customFormat="1" ht="12.75">
      <c r="B17" s="9" t="s">
        <v>173</v>
      </c>
      <c r="C17" s="9" t="s">
        <v>121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s="1" customFormat="1" ht="12.75">
      <c r="B18" s="9" t="s">
        <v>174</v>
      </c>
      <c r="C18" s="12">
        <v>36494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s="1" customFormat="1" ht="12.75">
      <c r="B19" s="9" t="s">
        <v>209</v>
      </c>
      <c r="C19" s="93">
        <v>36495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s="1" customFormat="1" ht="12.75">
      <c r="B20" s="9" t="s">
        <v>175</v>
      </c>
      <c r="C20" s="30" t="s">
        <v>143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s="1" customFormat="1" ht="12.75">
      <c r="B21" s="9" t="s">
        <v>176</v>
      </c>
      <c r="C21" s="12" t="s">
        <v>160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s="1" customFormat="1" ht="12.75">
      <c r="B22" s="9"/>
      <c r="C22" s="12"/>
      <c r="D22" s="9"/>
      <c r="E22" s="9"/>
      <c r="F22" s="9"/>
      <c r="G22" s="9"/>
      <c r="H22" s="9"/>
      <c r="I22" s="9"/>
      <c r="J22" s="9"/>
      <c r="K22" s="9"/>
      <c r="L22" s="9"/>
    </row>
    <row r="23" ht="12.75">
      <c r="B23" s="2" t="s">
        <v>177</v>
      </c>
    </row>
    <row r="25" spans="2:3" ht="38.25">
      <c r="B25" s="83" t="s">
        <v>171</v>
      </c>
      <c r="C25" s="92" t="s">
        <v>204</v>
      </c>
    </row>
    <row r="26" spans="2:3" ht="12.75">
      <c r="B26" t="s">
        <v>178</v>
      </c>
      <c r="C26" s="82" t="s">
        <v>121</v>
      </c>
    </row>
    <row r="27" spans="2:3" ht="12.75">
      <c r="B27" t="s">
        <v>173</v>
      </c>
      <c r="C27" s="82" t="s">
        <v>121</v>
      </c>
    </row>
    <row r="28" spans="1:3" ht="12.75">
      <c r="A28" t="s">
        <v>177</v>
      </c>
      <c r="B28" t="s">
        <v>179</v>
      </c>
      <c r="C28" s="82" t="s">
        <v>170</v>
      </c>
    </row>
    <row r="29" spans="2:3" ht="12.75">
      <c r="B29" s="9" t="s">
        <v>174</v>
      </c>
      <c r="C29" s="94">
        <v>34023</v>
      </c>
    </row>
    <row r="30" spans="2:3" ht="12.75">
      <c r="B30" s="9" t="s">
        <v>209</v>
      </c>
      <c r="C30" s="95">
        <v>34001</v>
      </c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99"/>
  <sheetViews>
    <sheetView workbookViewId="0" topLeftCell="B4">
      <selection activeCell="D22" sqref="D22"/>
    </sheetView>
  </sheetViews>
  <sheetFormatPr defaultColWidth="9.140625" defaultRowHeight="12.75"/>
  <cols>
    <col min="1" max="1" width="2.140625" style="14" hidden="1" customWidth="1"/>
    <col min="2" max="2" width="19.8515625" style="14" customWidth="1"/>
    <col min="3" max="3" width="11.8515625" style="14" customWidth="1"/>
    <col min="4" max="4" width="8.7109375" style="4" customWidth="1"/>
    <col min="5" max="5" width="4.7109375" style="4" customWidth="1"/>
    <col min="6" max="6" width="2.7109375" style="4" customWidth="1"/>
    <col min="7" max="7" width="10.28125" style="14" customWidth="1"/>
    <col min="8" max="8" width="2.7109375" style="14" customWidth="1"/>
    <col min="9" max="9" width="11.140625" style="15" customWidth="1"/>
    <col min="10" max="10" width="2.57421875" style="14" customWidth="1"/>
    <col min="11" max="11" width="10.7109375" style="14" customWidth="1"/>
    <col min="12" max="12" width="2.57421875" style="14" customWidth="1"/>
    <col min="13" max="13" width="11.28125" style="14" customWidth="1"/>
    <col min="14" max="14" width="2.140625" style="14" customWidth="1"/>
    <col min="15" max="15" width="8.8515625" style="14" customWidth="1"/>
    <col min="16" max="16" width="2.140625" style="14" customWidth="1"/>
    <col min="17" max="16384" width="8.8515625" style="14" customWidth="1"/>
  </cols>
  <sheetData>
    <row r="1" spans="2:5" ht="12.75">
      <c r="B1" s="13" t="s">
        <v>193</v>
      </c>
      <c r="C1" s="13"/>
      <c r="E1" s="31"/>
    </row>
    <row r="2" spans="2:13" ht="12.75">
      <c r="B2" s="4"/>
      <c r="C2" s="4"/>
      <c r="G2" s="50"/>
      <c r="I2" s="50"/>
      <c r="K2" s="50"/>
      <c r="M2" s="65"/>
    </row>
    <row r="3" spans="1:13" ht="12.75">
      <c r="A3" s="16" t="s">
        <v>59</v>
      </c>
      <c r="B3" s="13" t="s">
        <v>137</v>
      </c>
      <c r="C3" s="14" t="s">
        <v>113</v>
      </c>
      <c r="G3" s="16" t="s">
        <v>166</v>
      </c>
      <c r="H3" s="16"/>
      <c r="I3" s="16" t="s">
        <v>167</v>
      </c>
      <c r="J3" s="16"/>
      <c r="K3" s="16" t="s">
        <v>168</v>
      </c>
      <c r="M3" s="16" t="s">
        <v>169</v>
      </c>
    </row>
    <row r="4" spans="3:6" ht="12.75">
      <c r="C4" s="8"/>
      <c r="D4" s="16"/>
      <c r="E4" s="78"/>
      <c r="F4" s="14"/>
    </row>
    <row r="5" spans="2:13" ht="12.75">
      <c r="B5" s="4" t="s">
        <v>13</v>
      </c>
      <c r="C5" s="4" t="s">
        <v>205</v>
      </c>
      <c r="D5" s="4" t="s">
        <v>14</v>
      </c>
      <c r="E5" s="16" t="s">
        <v>15</v>
      </c>
      <c r="G5" s="66">
        <v>0.0114</v>
      </c>
      <c r="H5" s="66"/>
      <c r="I5" s="66">
        <v>0.0157</v>
      </c>
      <c r="J5" s="66"/>
      <c r="K5" s="66">
        <v>0.011</v>
      </c>
      <c r="M5" s="67">
        <f aca="true" t="shared" si="0" ref="M5:M10">AVERAGE(G5,I5,K5)</f>
        <v>0.012699999999999998</v>
      </c>
    </row>
    <row r="6" spans="2:13" ht="12.75">
      <c r="B6" s="4" t="s">
        <v>141</v>
      </c>
      <c r="C6" s="4" t="s">
        <v>205</v>
      </c>
      <c r="D6" s="4" t="s">
        <v>16</v>
      </c>
      <c r="E6" s="16" t="s">
        <v>15</v>
      </c>
      <c r="G6" s="66">
        <v>0.6</v>
      </c>
      <c r="H6" s="66"/>
      <c r="I6" s="66">
        <v>0.5</v>
      </c>
      <c r="J6" s="66"/>
      <c r="K6" s="66">
        <v>0.5</v>
      </c>
      <c r="M6" s="18">
        <f t="shared" si="0"/>
        <v>0.5333333333333333</v>
      </c>
    </row>
    <row r="7" spans="2:13" ht="12.75">
      <c r="B7" s="4" t="s">
        <v>155</v>
      </c>
      <c r="C7" s="4" t="s">
        <v>205</v>
      </c>
      <c r="D7" s="4" t="s">
        <v>16</v>
      </c>
      <c r="E7" s="16" t="s">
        <v>15</v>
      </c>
      <c r="G7" s="66">
        <v>3.98</v>
      </c>
      <c r="H7" s="66"/>
      <c r="I7" s="66">
        <v>8.26</v>
      </c>
      <c r="J7" s="66"/>
      <c r="K7" s="66">
        <v>2.65</v>
      </c>
      <c r="M7" s="18">
        <f t="shared" si="0"/>
        <v>4.963333333333334</v>
      </c>
    </row>
    <row r="8" spans="2:13" ht="12.75">
      <c r="B8" s="4" t="s">
        <v>156</v>
      </c>
      <c r="C8" s="4" t="s">
        <v>205</v>
      </c>
      <c r="D8" s="4" t="s">
        <v>16</v>
      </c>
      <c r="E8" s="16" t="s">
        <v>15</v>
      </c>
      <c r="G8" s="66">
        <v>9.25</v>
      </c>
      <c r="H8" s="66"/>
      <c r="I8" s="66">
        <v>11.18</v>
      </c>
      <c r="J8" s="66"/>
      <c r="K8" s="66">
        <v>5.42</v>
      </c>
      <c r="M8" s="18">
        <f t="shared" si="0"/>
        <v>8.616666666666667</v>
      </c>
    </row>
    <row r="9" spans="2:13" ht="12.75">
      <c r="B9" s="4" t="s">
        <v>25</v>
      </c>
      <c r="C9" s="4" t="s">
        <v>205</v>
      </c>
      <c r="D9" s="4" t="s">
        <v>16</v>
      </c>
      <c r="E9" s="16" t="s">
        <v>15</v>
      </c>
      <c r="G9" s="66">
        <v>1219</v>
      </c>
      <c r="H9" s="66"/>
      <c r="I9" s="66">
        <v>3125</v>
      </c>
      <c r="J9" s="66"/>
      <c r="K9" s="66">
        <v>2892</v>
      </c>
      <c r="M9" s="21">
        <f>AVERAGE(G9,I9,K9)</f>
        <v>2412</v>
      </c>
    </row>
    <row r="10" spans="2:13" ht="12.75">
      <c r="B10" s="4" t="s">
        <v>26</v>
      </c>
      <c r="C10" s="4" t="s">
        <v>205</v>
      </c>
      <c r="D10" s="4" t="s">
        <v>16</v>
      </c>
      <c r="E10" s="16" t="s">
        <v>15</v>
      </c>
      <c r="G10" s="66">
        <v>0.583</v>
      </c>
      <c r="H10" s="66"/>
      <c r="I10" s="66">
        <v>0.92</v>
      </c>
      <c r="J10" s="66"/>
      <c r="K10" s="66">
        <v>13.3</v>
      </c>
      <c r="M10" s="52">
        <f t="shared" si="0"/>
        <v>4.934333333333334</v>
      </c>
    </row>
    <row r="11" spans="2:13" ht="12.75">
      <c r="B11" s="4" t="s">
        <v>56</v>
      </c>
      <c r="C11" s="4" t="s">
        <v>205</v>
      </c>
      <c r="D11" s="4" t="s">
        <v>16</v>
      </c>
      <c r="E11" s="16" t="s">
        <v>15</v>
      </c>
      <c r="G11" s="70">
        <f>G9+2*G10</f>
        <v>1220.166</v>
      </c>
      <c r="H11" s="66"/>
      <c r="I11" s="70">
        <f>I9+2*I10</f>
        <v>3126.84</v>
      </c>
      <c r="J11" s="66"/>
      <c r="K11" s="70">
        <f>K9+2*K10</f>
        <v>2918.6</v>
      </c>
      <c r="M11" s="70">
        <f>M9+2*M10</f>
        <v>2421.8686666666667</v>
      </c>
    </row>
    <row r="12" spans="2:13" ht="12.75">
      <c r="B12" s="4"/>
      <c r="C12" s="4"/>
      <c r="G12" s="24"/>
      <c r="H12" s="19"/>
      <c r="I12" s="24"/>
      <c r="J12" s="19"/>
      <c r="K12" s="24"/>
      <c r="M12" s="18"/>
    </row>
    <row r="13" spans="2:13" ht="12.75">
      <c r="B13" s="4" t="s">
        <v>128</v>
      </c>
      <c r="C13" s="4" t="s">
        <v>131</v>
      </c>
      <c r="G13" s="24"/>
      <c r="H13" s="19"/>
      <c r="I13" s="24"/>
      <c r="J13" s="19"/>
      <c r="K13" s="24"/>
      <c r="M13" s="18"/>
    </row>
    <row r="14" spans="2:13" ht="12.75">
      <c r="B14" s="4" t="s">
        <v>129</v>
      </c>
      <c r="C14" s="4"/>
      <c r="D14" s="4" t="s">
        <v>28</v>
      </c>
      <c r="G14" s="66">
        <v>36.28</v>
      </c>
      <c r="H14" s="66"/>
      <c r="I14" s="66">
        <v>36.28</v>
      </c>
      <c r="J14" s="66"/>
      <c r="K14" s="66">
        <v>36.28</v>
      </c>
      <c r="L14" s="21"/>
      <c r="M14" s="52">
        <f>AVERAGE(G14,I14,K14)</f>
        <v>36.28</v>
      </c>
    </row>
    <row r="15" spans="2:13" ht="12.75">
      <c r="B15" s="4" t="s">
        <v>130</v>
      </c>
      <c r="C15" s="4" t="s">
        <v>206</v>
      </c>
      <c r="D15" s="4" t="s">
        <v>28</v>
      </c>
      <c r="G15" s="66">
        <v>0.000513</v>
      </c>
      <c r="H15" s="66"/>
      <c r="I15" s="66">
        <v>0.000433</v>
      </c>
      <c r="J15" s="66"/>
      <c r="K15" s="66">
        <v>0.000551</v>
      </c>
      <c r="M15" s="68">
        <f>AVERAGE(G15,I15,K15)</f>
        <v>0.000499</v>
      </c>
    </row>
    <row r="16" spans="2:13" ht="12.75">
      <c r="B16" s="4" t="s">
        <v>27</v>
      </c>
      <c r="C16" s="4" t="s">
        <v>206</v>
      </c>
      <c r="D16" s="4" t="s">
        <v>18</v>
      </c>
      <c r="G16" s="107">
        <f>(G14-G15)/G14*100</f>
        <v>99.99858599779493</v>
      </c>
      <c r="H16" s="107"/>
      <c r="I16" s="107">
        <f>(I14-I15)/I14*100</f>
        <v>99.99880650496141</v>
      </c>
      <c r="J16" s="107"/>
      <c r="K16" s="107">
        <f>(K14-K15)/K14*100</f>
        <v>99.99848125689084</v>
      </c>
      <c r="M16" s="52"/>
    </row>
    <row r="17" spans="2:13" ht="12.75">
      <c r="B17" s="4"/>
      <c r="C17" s="4"/>
      <c r="G17" s="19"/>
      <c r="H17" s="19"/>
      <c r="I17" s="19"/>
      <c r="J17" s="19"/>
      <c r="K17" s="19"/>
      <c r="M17" s="21"/>
    </row>
    <row r="18" spans="2:13" ht="12.75">
      <c r="B18" s="4" t="s">
        <v>128</v>
      </c>
      <c r="C18" s="4" t="s">
        <v>132</v>
      </c>
      <c r="G18" s="24"/>
      <c r="H18" s="19"/>
      <c r="I18" s="24"/>
      <c r="J18" s="19"/>
      <c r="K18" s="24"/>
      <c r="M18" s="18"/>
    </row>
    <row r="19" spans="2:13" ht="12.75">
      <c r="B19" s="4" t="s">
        <v>129</v>
      </c>
      <c r="C19" s="4"/>
      <c r="D19" s="4" t="s">
        <v>28</v>
      </c>
      <c r="G19" s="66">
        <v>36.25</v>
      </c>
      <c r="H19" s="66"/>
      <c r="I19" s="66">
        <v>36.25</v>
      </c>
      <c r="J19" s="66"/>
      <c r="K19" s="66">
        <v>36.25</v>
      </c>
      <c r="M19" s="52">
        <f>AVERAGE(G19,I19,K19)</f>
        <v>36.25</v>
      </c>
    </row>
    <row r="20" spans="2:13" ht="12.75">
      <c r="B20" s="4" t="s">
        <v>130</v>
      </c>
      <c r="C20" s="4" t="s">
        <v>206</v>
      </c>
      <c r="D20" s="4" t="s">
        <v>28</v>
      </c>
      <c r="G20" s="66">
        <v>0.00061</v>
      </c>
      <c r="H20" s="66"/>
      <c r="I20" s="66">
        <v>0.000634</v>
      </c>
      <c r="J20" s="66"/>
      <c r="K20" s="66">
        <v>0.000482</v>
      </c>
      <c r="M20" s="68">
        <f>AVERAGE(G20,I20,K20)</f>
        <v>0.0005753333333333333</v>
      </c>
    </row>
    <row r="21" spans="2:13" ht="12.75">
      <c r="B21" s="4" t="s">
        <v>27</v>
      </c>
      <c r="C21" s="4" t="s">
        <v>206</v>
      </c>
      <c r="D21" s="4" t="s">
        <v>18</v>
      </c>
      <c r="G21" s="107">
        <f>(G19-G20)/G19*100</f>
        <v>99.99831724137931</v>
      </c>
      <c r="H21" s="107"/>
      <c r="I21" s="107">
        <f>(I19-I20)/I19*100</f>
        <v>99.99825103448276</v>
      </c>
      <c r="J21" s="107"/>
      <c r="K21" s="107">
        <f>(K19-K20)/K19*100</f>
        <v>99.99867034482759</v>
      </c>
      <c r="L21" s="16"/>
      <c r="M21" s="21"/>
    </row>
    <row r="22" spans="2:13" ht="12.75">
      <c r="B22" s="4"/>
      <c r="C22" s="4"/>
      <c r="G22" s="19"/>
      <c r="H22" s="19"/>
      <c r="I22" s="20"/>
      <c r="J22" s="19"/>
      <c r="K22" s="19"/>
      <c r="M22" s="52"/>
    </row>
    <row r="23" spans="2:13" ht="12.75">
      <c r="B23" s="4" t="s">
        <v>57</v>
      </c>
      <c r="C23" s="4" t="s">
        <v>53</v>
      </c>
      <c r="D23" s="4" t="s">
        <v>205</v>
      </c>
      <c r="L23" s="16"/>
      <c r="M23" s="21"/>
    </row>
    <row r="24" spans="2:13" ht="12.75">
      <c r="B24" s="4" t="s">
        <v>52</v>
      </c>
      <c r="C24" s="4"/>
      <c r="D24" s="4" t="s">
        <v>17</v>
      </c>
      <c r="G24">
        <v>25681</v>
      </c>
      <c r="H24"/>
      <c r="I24">
        <v>25535</v>
      </c>
      <c r="J24"/>
      <c r="K24">
        <v>24099</v>
      </c>
      <c r="M24" s="21">
        <f>AVERAGE(G24,I24,K24)</f>
        <v>25105</v>
      </c>
    </row>
    <row r="25" spans="2:13" ht="12.75">
      <c r="B25" s="4" t="s">
        <v>54</v>
      </c>
      <c r="C25" s="4"/>
      <c r="D25" s="4" t="s">
        <v>18</v>
      </c>
      <c r="G25">
        <v>16.2</v>
      </c>
      <c r="H25"/>
      <c r="I25">
        <v>16.5</v>
      </c>
      <c r="J25"/>
      <c r="K25">
        <v>16</v>
      </c>
      <c r="M25" s="18">
        <f>AVERAGE(G25,I25,K25)</f>
        <v>16.233333333333334</v>
      </c>
    </row>
    <row r="26" spans="2:13" ht="12.75">
      <c r="B26" s="4" t="s">
        <v>55</v>
      </c>
      <c r="C26" s="4"/>
      <c r="D26" s="4" t="s">
        <v>18</v>
      </c>
      <c r="G26">
        <v>7.1</v>
      </c>
      <c r="H26"/>
      <c r="I26">
        <v>7.6</v>
      </c>
      <c r="J26"/>
      <c r="K26">
        <v>7.8</v>
      </c>
      <c r="M26" s="18">
        <f>AVERAGE(G26,I26,K26)</f>
        <v>7.5</v>
      </c>
    </row>
    <row r="27" spans="2:13" ht="12.75">
      <c r="B27" s="4" t="s">
        <v>51</v>
      </c>
      <c r="C27" s="4"/>
      <c r="D27" s="4" t="s">
        <v>19</v>
      </c>
      <c r="G27">
        <v>285</v>
      </c>
      <c r="H27"/>
      <c r="I27">
        <v>295</v>
      </c>
      <c r="J27"/>
      <c r="K27">
        <v>296</v>
      </c>
      <c r="M27" s="21">
        <f>AVERAGE(G27,I27,K27)</f>
        <v>292</v>
      </c>
    </row>
    <row r="28" spans="2:13" ht="12.75">
      <c r="B28" s="4"/>
      <c r="C28" s="4"/>
      <c r="G28"/>
      <c r="H28"/>
      <c r="I28"/>
      <c r="J28"/>
      <c r="K28"/>
      <c r="M28" s="18"/>
    </row>
    <row r="29" spans="2:11" ht="12.75">
      <c r="B29" s="4" t="s">
        <v>57</v>
      </c>
      <c r="C29" s="4" t="s">
        <v>133</v>
      </c>
      <c r="D29" s="4" t="s">
        <v>206</v>
      </c>
      <c r="G29"/>
      <c r="H29"/>
      <c r="I29"/>
      <c r="J29"/>
      <c r="K29"/>
    </row>
    <row r="30" spans="2:13" ht="12.75">
      <c r="B30" s="4" t="s">
        <v>52</v>
      </c>
      <c r="C30" s="4"/>
      <c r="D30" s="4" t="s">
        <v>17</v>
      </c>
      <c r="G30">
        <v>26792</v>
      </c>
      <c r="H30"/>
      <c r="I30">
        <v>25376</v>
      </c>
      <c r="J30"/>
      <c r="K30">
        <v>24598</v>
      </c>
      <c r="M30" s="21">
        <f>AVERAGE(G30,I30,K30)</f>
        <v>25588.666666666668</v>
      </c>
    </row>
    <row r="31" spans="2:13" ht="12.75">
      <c r="B31" s="4" t="s">
        <v>54</v>
      </c>
      <c r="C31" s="4"/>
      <c r="D31" s="4" t="s">
        <v>18</v>
      </c>
      <c r="G31">
        <v>16.5</v>
      </c>
      <c r="H31"/>
      <c r="I31">
        <v>16.3</v>
      </c>
      <c r="J31"/>
      <c r="K31">
        <v>16</v>
      </c>
      <c r="M31" s="18">
        <f>AVERAGE(G31,I31,K31)</f>
        <v>16.266666666666666</v>
      </c>
    </row>
    <row r="32" spans="2:13" ht="12.75">
      <c r="B32" s="4" t="s">
        <v>55</v>
      </c>
      <c r="C32" s="4"/>
      <c r="D32" s="4" t="s">
        <v>18</v>
      </c>
      <c r="G32">
        <v>4.3</v>
      </c>
      <c r="H32"/>
      <c r="I32">
        <v>4.4</v>
      </c>
      <c r="J32"/>
      <c r="K32">
        <v>5.1</v>
      </c>
      <c r="M32" s="18">
        <f>AVERAGE(G32,I32,K32)</f>
        <v>4.6</v>
      </c>
    </row>
    <row r="33" spans="2:13" ht="12.75">
      <c r="B33" s="4" t="s">
        <v>51</v>
      </c>
      <c r="C33" s="4"/>
      <c r="D33" s="4" t="s">
        <v>19</v>
      </c>
      <c r="G33">
        <v>281</v>
      </c>
      <c r="H33"/>
      <c r="I33">
        <v>295</v>
      </c>
      <c r="J33"/>
      <c r="K33">
        <v>305</v>
      </c>
      <c r="M33" s="21">
        <f>AVERAGE(G33,I33,K33)</f>
        <v>293.6666666666667</v>
      </c>
    </row>
    <row r="34" spans="2:11" ht="12.75">
      <c r="B34" s="4"/>
      <c r="C34" s="4"/>
      <c r="E34" s="16"/>
      <c r="F34" s="14"/>
      <c r="G34" s="52"/>
      <c r="I34" s="52"/>
      <c r="K34" s="52"/>
    </row>
    <row r="35" spans="1:13" ht="12.75">
      <c r="A35" s="16" t="s">
        <v>59</v>
      </c>
      <c r="B35" s="13" t="s">
        <v>140</v>
      </c>
      <c r="C35" s="14" t="s">
        <v>153</v>
      </c>
      <c r="G35" s="16" t="s">
        <v>166</v>
      </c>
      <c r="H35" s="16"/>
      <c r="I35" s="16" t="s">
        <v>167</v>
      </c>
      <c r="J35" s="16"/>
      <c r="K35" s="16" t="s">
        <v>168</v>
      </c>
      <c r="M35" s="16" t="s">
        <v>169</v>
      </c>
    </row>
    <row r="36" spans="3:13" ht="12.75">
      <c r="C36" s="23"/>
      <c r="D36" s="16"/>
      <c r="E36" s="64"/>
      <c r="F36" s="14"/>
      <c r="G36" s="16"/>
      <c r="H36" s="16"/>
      <c r="I36" s="16"/>
      <c r="J36" s="16"/>
      <c r="K36" s="16"/>
      <c r="M36" s="16"/>
    </row>
    <row r="37" spans="2:13" ht="12.75">
      <c r="B37" s="4" t="s">
        <v>13</v>
      </c>
      <c r="C37" s="4" t="s">
        <v>205</v>
      </c>
      <c r="D37" s="4" t="s">
        <v>14</v>
      </c>
      <c r="E37" s="16" t="s">
        <v>15</v>
      </c>
      <c r="G37">
        <v>0.0347</v>
      </c>
      <c r="H37"/>
      <c r="I37">
        <v>0.00964</v>
      </c>
      <c r="J37"/>
      <c r="K37">
        <v>0.0269</v>
      </c>
      <c r="M37" s="67">
        <f aca="true" t="shared" si="1" ref="M37:M43">AVERAGE(G37,I37,K37)</f>
        <v>0.023746666666666666</v>
      </c>
    </row>
    <row r="38" spans="2:13" ht="12.75">
      <c r="B38" s="4" t="s">
        <v>141</v>
      </c>
      <c r="C38" s="4" t="s">
        <v>205</v>
      </c>
      <c r="D38" s="4" t="s">
        <v>16</v>
      </c>
      <c r="E38" s="16" t="s">
        <v>15</v>
      </c>
      <c r="G38">
        <v>0.2</v>
      </c>
      <c r="H38"/>
      <c r="I38">
        <v>0.2</v>
      </c>
      <c r="J38"/>
      <c r="K38">
        <v>0.2</v>
      </c>
      <c r="L38" s="18"/>
      <c r="M38" s="18">
        <f t="shared" si="1"/>
        <v>0.20000000000000004</v>
      </c>
    </row>
    <row r="39" spans="2:13" ht="12.75">
      <c r="B39" s="4" t="s">
        <v>165</v>
      </c>
      <c r="C39" s="4" t="s">
        <v>205</v>
      </c>
      <c r="D39" s="4" t="s">
        <v>16</v>
      </c>
      <c r="E39" s="16" t="s">
        <v>15</v>
      </c>
      <c r="G39">
        <v>1</v>
      </c>
      <c r="H39"/>
      <c r="I39">
        <v>0.5</v>
      </c>
      <c r="J39"/>
      <c r="K39">
        <v>0.3</v>
      </c>
      <c r="L39" s="18"/>
      <c r="M39" s="18">
        <f t="shared" si="1"/>
        <v>0.6</v>
      </c>
    </row>
    <row r="40" spans="2:13" ht="12.75">
      <c r="B40" s="4" t="s">
        <v>155</v>
      </c>
      <c r="C40" s="4" t="s">
        <v>205</v>
      </c>
      <c r="D40" s="4" t="s">
        <v>16</v>
      </c>
      <c r="E40" s="16" t="s">
        <v>15</v>
      </c>
      <c r="G40">
        <v>10.06</v>
      </c>
      <c r="H40"/>
      <c r="I40">
        <v>0.58</v>
      </c>
      <c r="J40"/>
      <c r="K40">
        <v>0.03</v>
      </c>
      <c r="L40" s="18"/>
      <c r="M40" s="18">
        <f t="shared" si="1"/>
        <v>3.5566666666666666</v>
      </c>
    </row>
    <row r="41" spans="2:13" ht="12.75">
      <c r="B41" s="4" t="s">
        <v>156</v>
      </c>
      <c r="C41" s="4" t="s">
        <v>205</v>
      </c>
      <c r="D41" s="4" t="s">
        <v>16</v>
      </c>
      <c r="E41" s="16" t="s">
        <v>15</v>
      </c>
      <c r="G41">
        <v>28.3</v>
      </c>
      <c r="H41"/>
      <c r="I41">
        <v>1.54</v>
      </c>
      <c r="J41"/>
      <c r="K41">
        <v>0.08</v>
      </c>
      <c r="L41" s="18"/>
      <c r="M41" s="18">
        <f t="shared" si="1"/>
        <v>9.973333333333333</v>
      </c>
    </row>
    <row r="42" spans="2:15" ht="12.75">
      <c r="B42" s="4" t="s">
        <v>25</v>
      </c>
      <c r="C42" s="4" t="s">
        <v>205</v>
      </c>
      <c r="D42" s="4" t="s">
        <v>16</v>
      </c>
      <c r="E42" s="16" t="s">
        <v>15</v>
      </c>
      <c r="G42">
        <v>1196</v>
      </c>
      <c r="H42"/>
      <c r="I42">
        <v>1012</v>
      </c>
      <c r="J42"/>
      <c r="K42">
        <v>1036</v>
      </c>
      <c r="M42" s="18">
        <f t="shared" si="1"/>
        <v>1081.3333333333333</v>
      </c>
      <c r="O42" s="37"/>
    </row>
    <row r="43" spans="2:15" ht="12.75">
      <c r="B43" s="4" t="s">
        <v>26</v>
      </c>
      <c r="C43" s="4" t="s">
        <v>205</v>
      </c>
      <c r="D43" s="4" t="s">
        <v>16</v>
      </c>
      <c r="E43" s="16" t="s">
        <v>15</v>
      </c>
      <c r="G43">
        <v>2.81</v>
      </c>
      <c r="H43"/>
      <c r="I43">
        <v>0.144</v>
      </c>
      <c r="J43"/>
      <c r="K43">
        <v>1.33</v>
      </c>
      <c r="M43" s="18">
        <f t="shared" si="1"/>
        <v>1.4280000000000002</v>
      </c>
      <c r="O43" s="37"/>
    </row>
    <row r="44" spans="2:13" ht="12.75">
      <c r="B44" s="14" t="s">
        <v>56</v>
      </c>
      <c r="C44" s="4" t="s">
        <v>205</v>
      </c>
      <c r="D44" s="14" t="s">
        <v>16</v>
      </c>
      <c r="E44" s="16" t="s">
        <v>15</v>
      </c>
      <c r="F44" s="14"/>
      <c r="G44" s="18">
        <f>G42+2*G43</f>
        <v>1201.62</v>
      </c>
      <c r="I44" s="18">
        <f>I42+2*I43</f>
        <v>1012.288</v>
      </c>
      <c r="K44" s="18">
        <f>K42+2*K43</f>
        <v>1038.66</v>
      </c>
      <c r="M44" s="18">
        <f>M42+2*M43</f>
        <v>1084.1893333333333</v>
      </c>
    </row>
    <row r="45" spans="4:9" ht="12.75">
      <c r="D45" s="14"/>
      <c r="E45" s="14"/>
      <c r="F45" s="14"/>
      <c r="I45" s="14"/>
    </row>
    <row r="46" spans="2:13" ht="12.75">
      <c r="B46" s="4" t="s">
        <v>100</v>
      </c>
      <c r="D46" s="4" t="s">
        <v>28</v>
      </c>
      <c r="E46" s="14"/>
      <c r="F46"/>
      <c r="G46" s="71">
        <v>0.00085</v>
      </c>
      <c r="H46"/>
      <c r="I46" s="71">
        <v>0.000479</v>
      </c>
      <c r="J46"/>
      <c r="K46" s="71">
        <v>0.00037</v>
      </c>
      <c r="M46" s="50"/>
    </row>
    <row r="47" spans="2:13" ht="12.75">
      <c r="B47" s="4" t="s">
        <v>99</v>
      </c>
      <c r="D47" s="4" t="s">
        <v>28</v>
      </c>
      <c r="E47" s="14"/>
      <c r="F47"/>
      <c r="G47" s="71">
        <v>0.00206</v>
      </c>
      <c r="H47"/>
      <c r="I47" s="71">
        <v>0.00157</v>
      </c>
      <c r="J47"/>
      <c r="K47" s="71">
        <v>0.000514</v>
      </c>
      <c r="M47" s="50"/>
    </row>
    <row r="48" spans="2:13" ht="12.75">
      <c r="B48" s="4" t="s">
        <v>101</v>
      </c>
      <c r="D48" s="4" t="s">
        <v>28</v>
      </c>
      <c r="E48" s="14"/>
      <c r="F48"/>
      <c r="G48" s="71">
        <v>0.00246</v>
      </c>
      <c r="H48"/>
      <c r="I48" s="71">
        <v>0.000814</v>
      </c>
      <c r="J48"/>
      <c r="K48" s="71">
        <v>0.00173</v>
      </c>
      <c r="M48" s="50"/>
    </row>
    <row r="49" spans="2:13" ht="12.75">
      <c r="B49" s="4" t="s">
        <v>102</v>
      </c>
      <c r="D49" s="4" t="s">
        <v>28</v>
      </c>
      <c r="E49" s="14"/>
      <c r="F49"/>
      <c r="G49" s="71">
        <v>7.66E-05</v>
      </c>
      <c r="H49"/>
      <c r="I49" s="71">
        <v>6.8E-05</v>
      </c>
      <c r="J49"/>
      <c r="K49" s="71">
        <v>0.000132</v>
      </c>
      <c r="M49" s="50"/>
    </row>
    <row r="50" spans="2:13" ht="12.75">
      <c r="B50" s="4" t="s">
        <v>103</v>
      </c>
      <c r="D50" s="4" t="s">
        <v>28</v>
      </c>
      <c r="E50" s="14"/>
      <c r="F50"/>
      <c r="G50">
        <v>0.00154</v>
      </c>
      <c r="H50"/>
      <c r="I50">
        <v>0.00192</v>
      </c>
      <c r="J50"/>
      <c r="K50">
        <v>0.00278</v>
      </c>
      <c r="M50" s="50"/>
    </row>
    <row r="51" spans="2:13" ht="12.75">
      <c r="B51" s="4" t="s">
        <v>104</v>
      </c>
      <c r="D51" s="4" t="s">
        <v>28</v>
      </c>
      <c r="E51" s="14"/>
      <c r="F51"/>
      <c r="G51" s="71">
        <v>0.000704</v>
      </c>
      <c r="H51"/>
      <c r="I51" s="71">
        <v>0.00117</v>
      </c>
      <c r="J51"/>
      <c r="K51" s="71">
        <v>0.000968</v>
      </c>
      <c r="M51" s="50"/>
    </row>
    <row r="52" spans="2:13" ht="12.75">
      <c r="B52" s="86" t="s">
        <v>181</v>
      </c>
      <c r="D52" s="4" t="s">
        <v>28</v>
      </c>
      <c r="E52" s="14"/>
      <c r="F52"/>
      <c r="G52" s="71">
        <v>0.000492</v>
      </c>
      <c r="H52"/>
      <c r="I52" s="71">
        <v>0.000472</v>
      </c>
      <c r="J52"/>
      <c r="K52" s="71">
        <v>0.0006</v>
      </c>
      <c r="M52" s="50"/>
    </row>
    <row r="53" spans="2:13" ht="12.75">
      <c r="B53" s="4" t="s">
        <v>122</v>
      </c>
      <c r="D53" s="4" t="s">
        <v>28</v>
      </c>
      <c r="E53" s="14"/>
      <c r="F53" t="s">
        <v>98</v>
      </c>
      <c r="G53" s="71">
        <v>0.000208</v>
      </c>
      <c r="H53" t="s">
        <v>98</v>
      </c>
      <c r="I53" s="71">
        <v>0.00024</v>
      </c>
      <c r="J53" t="s">
        <v>98</v>
      </c>
      <c r="K53" s="71">
        <v>0.000253</v>
      </c>
      <c r="M53" s="50"/>
    </row>
    <row r="54" spans="2:13" ht="12.75">
      <c r="B54" s="4" t="s">
        <v>105</v>
      </c>
      <c r="D54" s="4" t="s">
        <v>28</v>
      </c>
      <c r="E54" s="14"/>
      <c r="F54"/>
      <c r="G54">
        <v>0.00169</v>
      </c>
      <c r="H54"/>
      <c r="I54">
        <v>0.00104</v>
      </c>
      <c r="J54"/>
      <c r="K54">
        <v>0.0014</v>
      </c>
      <c r="M54" s="50"/>
    </row>
    <row r="55" spans="2:13" ht="12.75">
      <c r="B55" s="4" t="s">
        <v>106</v>
      </c>
      <c r="D55" s="4" t="s">
        <v>28</v>
      </c>
      <c r="E55" s="14"/>
      <c r="F55"/>
      <c r="G55">
        <v>0.0112</v>
      </c>
      <c r="H55"/>
      <c r="I55">
        <v>0.0138</v>
      </c>
      <c r="J55"/>
      <c r="K55">
        <v>0.0191</v>
      </c>
      <c r="M55" s="50"/>
    </row>
    <row r="56" spans="2:13" ht="12.75">
      <c r="B56" s="4" t="s">
        <v>107</v>
      </c>
      <c r="D56" s="4" t="s">
        <v>28</v>
      </c>
      <c r="E56" s="14"/>
      <c r="F56"/>
      <c r="G56" s="71">
        <v>7.08E-05</v>
      </c>
      <c r="H56" t="s">
        <v>98</v>
      </c>
      <c r="I56" s="71">
        <v>0.000177</v>
      </c>
      <c r="J56"/>
      <c r="K56" s="71">
        <v>0.000114</v>
      </c>
      <c r="M56" s="50"/>
    </row>
    <row r="57" spans="2:13" ht="12.75">
      <c r="B57" s="4" t="s">
        <v>108</v>
      </c>
      <c r="D57" s="4" t="s">
        <v>28</v>
      </c>
      <c r="E57" s="14"/>
      <c r="F57"/>
      <c r="G57" s="71">
        <v>0.000229</v>
      </c>
      <c r="H57"/>
      <c r="I57" s="71">
        <v>0.000862</v>
      </c>
      <c r="J57"/>
      <c r="K57" s="71">
        <v>0.000333</v>
      </c>
      <c r="M57" s="50"/>
    </row>
    <row r="58" spans="2:13" ht="12.75">
      <c r="B58" s="4" t="s">
        <v>109</v>
      </c>
      <c r="D58" s="4" t="s">
        <v>28</v>
      </c>
      <c r="E58" s="14"/>
      <c r="F58" t="s">
        <v>98</v>
      </c>
      <c r="G58" s="71">
        <v>5.41E-05</v>
      </c>
      <c r="H58" t="s">
        <v>98</v>
      </c>
      <c r="I58" s="71">
        <v>6.23E-05</v>
      </c>
      <c r="J58" t="s">
        <v>98</v>
      </c>
      <c r="K58" s="71">
        <v>5.89E-05</v>
      </c>
      <c r="M58" s="50"/>
    </row>
    <row r="59" spans="2:13" ht="12.75">
      <c r="B59" s="4" t="s">
        <v>110</v>
      </c>
      <c r="D59" s="4" t="s">
        <v>28</v>
      </c>
      <c r="E59" s="14"/>
      <c r="F59" t="s">
        <v>98</v>
      </c>
      <c r="G59" s="71">
        <v>0.000125</v>
      </c>
      <c r="H59" t="s">
        <v>98</v>
      </c>
      <c r="I59" s="71">
        <v>0.000144</v>
      </c>
      <c r="J59" t="s">
        <v>98</v>
      </c>
      <c r="K59" s="71">
        <v>0.000168</v>
      </c>
      <c r="M59" s="50"/>
    </row>
    <row r="60" spans="2:13" ht="12.75">
      <c r="B60" s="4" t="s">
        <v>111</v>
      </c>
      <c r="D60" s="4" t="s">
        <v>28</v>
      </c>
      <c r="E60" s="14"/>
      <c r="F60"/>
      <c r="G60" s="71">
        <v>3.33E-05</v>
      </c>
      <c r="H60"/>
      <c r="I60" s="71">
        <v>7.66E-05</v>
      </c>
      <c r="J60"/>
      <c r="K60" s="71">
        <v>6.74E-05</v>
      </c>
      <c r="M60" s="50"/>
    </row>
    <row r="61" spans="2:13" ht="12.75">
      <c r="B61" s="4" t="s">
        <v>112</v>
      </c>
      <c r="D61" s="4" t="s">
        <v>28</v>
      </c>
      <c r="E61" s="14"/>
      <c r="F61"/>
      <c r="G61">
        <v>0.0332</v>
      </c>
      <c r="H61"/>
      <c r="I61">
        <v>0.0401</v>
      </c>
      <c r="J61"/>
      <c r="K61">
        <v>0.0397</v>
      </c>
      <c r="M61" s="50"/>
    </row>
    <row r="62" spans="2:13" ht="12.75">
      <c r="B62" s="4"/>
      <c r="C62" s="4"/>
      <c r="G62" s="19"/>
      <c r="H62" s="19"/>
      <c r="I62" s="20"/>
      <c r="J62" s="19"/>
      <c r="K62" s="19"/>
      <c r="L62" s="16"/>
      <c r="M62" s="21"/>
    </row>
    <row r="63" spans="2:13" ht="12.75">
      <c r="B63" s="4" t="s">
        <v>57</v>
      </c>
      <c r="C63" s="4" t="s">
        <v>53</v>
      </c>
      <c r="D63" s="4" t="s">
        <v>205</v>
      </c>
      <c r="L63" s="16"/>
      <c r="M63" s="52"/>
    </row>
    <row r="64" spans="2:13" ht="12.75">
      <c r="B64" s="4" t="s">
        <v>52</v>
      </c>
      <c r="C64" s="4"/>
      <c r="D64" s="4" t="s">
        <v>17</v>
      </c>
      <c r="G64">
        <v>24948</v>
      </c>
      <c r="H64"/>
      <c r="I64">
        <v>23017</v>
      </c>
      <c r="J64"/>
      <c r="K64">
        <v>23025</v>
      </c>
      <c r="M64" s="21">
        <f>AVERAGE(G64,I64,K64)</f>
        <v>23663.333333333332</v>
      </c>
    </row>
    <row r="65" spans="2:13" ht="12.75">
      <c r="B65" s="4" t="s">
        <v>54</v>
      </c>
      <c r="C65" s="4"/>
      <c r="D65" s="4" t="s">
        <v>18</v>
      </c>
      <c r="G65">
        <v>15.9</v>
      </c>
      <c r="H65"/>
      <c r="I65">
        <v>15.2</v>
      </c>
      <c r="J65"/>
      <c r="K65">
        <v>15.2</v>
      </c>
      <c r="M65" s="18">
        <f>AVERAGE(G65,I65,K65)</f>
        <v>15.433333333333332</v>
      </c>
    </row>
    <row r="66" spans="2:13" ht="12.75">
      <c r="B66" s="4" t="s">
        <v>55</v>
      </c>
      <c r="C66" s="4"/>
      <c r="D66" s="4" t="s">
        <v>18</v>
      </c>
      <c r="G66">
        <v>5.5</v>
      </c>
      <c r="H66"/>
      <c r="I66">
        <v>7.1</v>
      </c>
      <c r="J66"/>
      <c r="K66">
        <v>7.1</v>
      </c>
      <c r="M66" s="18">
        <f>AVERAGE(G66,I66,K66)</f>
        <v>6.566666666666666</v>
      </c>
    </row>
    <row r="67" spans="2:13" ht="12.75">
      <c r="B67" s="4" t="s">
        <v>51</v>
      </c>
      <c r="C67" s="4"/>
      <c r="D67" s="4" t="s">
        <v>19</v>
      </c>
      <c r="G67">
        <v>278</v>
      </c>
      <c r="H67"/>
      <c r="I67">
        <v>292</v>
      </c>
      <c r="J67"/>
      <c r="K67">
        <v>304</v>
      </c>
      <c r="M67" s="21">
        <f>AVERAGE(G67,I67,K67)</f>
        <v>291.3333333333333</v>
      </c>
    </row>
    <row r="68" spans="2:13" ht="12.75">
      <c r="B68" s="4"/>
      <c r="C68" s="4"/>
      <c r="G68"/>
      <c r="H68"/>
      <c r="I68"/>
      <c r="J68"/>
      <c r="K68"/>
      <c r="M68" s="52"/>
    </row>
    <row r="69" spans="2:13" ht="12.75">
      <c r="B69" s="4" t="s">
        <v>57</v>
      </c>
      <c r="C69" s="4" t="s">
        <v>114</v>
      </c>
      <c r="D69" s="4" t="s">
        <v>206</v>
      </c>
      <c r="G69"/>
      <c r="H69"/>
      <c r="I69"/>
      <c r="J69"/>
      <c r="K69"/>
      <c r="M69" s="52"/>
    </row>
    <row r="70" spans="2:13" ht="12.75">
      <c r="B70" s="4" t="s">
        <v>52</v>
      </c>
      <c r="C70" s="4"/>
      <c r="D70" s="4" t="s">
        <v>17</v>
      </c>
      <c r="G70">
        <v>23983</v>
      </c>
      <c r="H70"/>
      <c r="I70">
        <v>23402</v>
      </c>
      <c r="J70"/>
      <c r="K70">
        <v>23507</v>
      </c>
      <c r="M70" s="18">
        <f>AVERAGE(G70,I70,K70)</f>
        <v>23630.666666666668</v>
      </c>
    </row>
    <row r="71" spans="2:13" ht="12.75">
      <c r="B71" s="4" t="s">
        <v>54</v>
      </c>
      <c r="C71" s="4"/>
      <c r="D71" s="4" t="s">
        <v>18</v>
      </c>
      <c r="G71">
        <v>15.9</v>
      </c>
      <c r="H71"/>
      <c r="I71">
        <v>15.2</v>
      </c>
      <c r="J71"/>
      <c r="K71">
        <v>15.2</v>
      </c>
      <c r="M71" s="18">
        <f>AVERAGE(G71,I71,K71)</f>
        <v>15.433333333333332</v>
      </c>
    </row>
    <row r="72" spans="2:13" ht="12.75">
      <c r="B72" s="4" t="s">
        <v>55</v>
      </c>
      <c r="C72" s="4"/>
      <c r="D72" s="4" t="s">
        <v>18</v>
      </c>
      <c r="G72">
        <v>6.5</v>
      </c>
      <c r="H72"/>
      <c r="I72">
        <v>8.4</v>
      </c>
      <c r="J72"/>
      <c r="K72">
        <v>8.3</v>
      </c>
      <c r="M72" s="18">
        <f>AVERAGE(G72,I72,K72)</f>
        <v>7.733333333333334</v>
      </c>
    </row>
    <row r="73" spans="2:13" ht="12.75">
      <c r="B73" s="4" t="s">
        <v>51</v>
      </c>
      <c r="C73" s="4"/>
      <c r="D73" s="4" t="s">
        <v>19</v>
      </c>
      <c r="G73">
        <v>280</v>
      </c>
      <c r="H73"/>
      <c r="I73">
        <v>298</v>
      </c>
      <c r="J73"/>
      <c r="K73">
        <v>300</v>
      </c>
      <c r="M73" s="18">
        <f>AVERAGE(G73,I73,K73)</f>
        <v>292.6666666666667</v>
      </c>
    </row>
    <row r="74" spans="2:13" ht="12.75">
      <c r="B74" s="4"/>
      <c r="C74" s="4"/>
      <c r="E74" s="16"/>
      <c r="G74" s="5"/>
      <c r="H74" s="6"/>
      <c r="I74" s="5"/>
      <c r="J74" s="6"/>
      <c r="K74" s="5"/>
      <c r="L74" s="6"/>
      <c r="M74" s="21"/>
    </row>
    <row r="75" spans="2:13" ht="12.75">
      <c r="B75" s="4" t="s">
        <v>100</v>
      </c>
      <c r="C75" s="4" t="s">
        <v>206</v>
      </c>
      <c r="D75" s="4" t="s">
        <v>34</v>
      </c>
      <c r="E75" s="16" t="s">
        <v>15</v>
      </c>
      <c r="F75" s="14"/>
      <c r="G75" s="5">
        <f aca="true" t="shared" si="2" ref="G75:G90">G46*1/60*454*1000000/(G$70*0.0283)*(21-7)/(21-G$71)</f>
        <v>26.013060127772423</v>
      </c>
      <c r="H75" s="50"/>
      <c r="I75" s="5">
        <f aca="true" t="shared" si="3" ref="I75:I90">I46*1/60*454*1000000/(I$70*0.0283)*(21-7)/(21-I$71)</f>
        <v>13.209937032212896</v>
      </c>
      <c r="K75" s="5">
        <f aca="true" t="shared" si="4" ref="K75:K90">K46*1/60*454*1000000/(K$70*0.0283)*(21-7)/(21-K$71)</f>
        <v>10.158339560765407</v>
      </c>
      <c r="L75" s="6"/>
      <c r="M75" s="52">
        <f aca="true" t="shared" si="5" ref="M75:M84">AVERAGE(G75,I75,K75)</f>
        <v>16.460445573583574</v>
      </c>
    </row>
    <row r="76" spans="2:13" ht="12.75">
      <c r="B76" s="4" t="s">
        <v>99</v>
      </c>
      <c r="C76" s="4" t="s">
        <v>206</v>
      </c>
      <c r="D76" s="4" t="s">
        <v>34</v>
      </c>
      <c r="E76" s="16" t="s">
        <v>15</v>
      </c>
      <c r="F76" s="14"/>
      <c r="G76" s="5">
        <f t="shared" si="2"/>
        <v>63.04341630966024</v>
      </c>
      <c r="I76" s="5">
        <f t="shared" si="3"/>
        <v>43.297705930217624</v>
      </c>
      <c r="K76" s="5">
        <f t="shared" si="4"/>
        <v>14.111855497928163</v>
      </c>
      <c r="L76" s="16"/>
      <c r="M76" s="52">
        <f t="shared" si="5"/>
        <v>40.150992579268674</v>
      </c>
    </row>
    <row r="77" spans="1:13" ht="12.75">
      <c r="A77" s="16"/>
      <c r="B77" s="4" t="s">
        <v>101</v>
      </c>
      <c r="C77" s="4" t="s">
        <v>206</v>
      </c>
      <c r="D77" s="4" t="s">
        <v>34</v>
      </c>
      <c r="E77" s="16" t="s">
        <v>15</v>
      </c>
      <c r="F77" s="14"/>
      <c r="G77" s="5">
        <f t="shared" si="2"/>
        <v>75.28485636978841</v>
      </c>
      <c r="I77" s="5">
        <f t="shared" si="3"/>
        <v>22.448619507768885</v>
      </c>
      <c r="K77" s="5">
        <f t="shared" si="4"/>
        <v>47.49710118952474</v>
      </c>
      <c r="L77" s="19"/>
      <c r="M77" s="52">
        <f t="shared" si="5"/>
        <v>48.410192355694015</v>
      </c>
    </row>
    <row r="78" spans="2:13" ht="12.75">
      <c r="B78" s="4" t="s">
        <v>102</v>
      </c>
      <c r="C78" s="4" t="s">
        <v>206</v>
      </c>
      <c r="D78" s="4" t="s">
        <v>34</v>
      </c>
      <c r="E78" s="16" t="s">
        <v>15</v>
      </c>
      <c r="F78" s="14"/>
      <c r="G78" s="5">
        <f t="shared" si="2"/>
        <v>2.3442357715145503</v>
      </c>
      <c r="I78" s="5">
        <f t="shared" si="3"/>
        <v>1.8753146517546488</v>
      </c>
      <c r="J78" s="50"/>
      <c r="K78" s="5">
        <f t="shared" si="4"/>
        <v>3.624056275732524</v>
      </c>
      <c r="M78" s="52">
        <f t="shared" si="5"/>
        <v>2.614535566333908</v>
      </c>
    </row>
    <row r="79" spans="2:13" ht="12.75">
      <c r="B79" s="4" t="s">
        <v>103</v>
      </c>
      <c r="C79" s="4" t="s">
        <v>206</v>
      </c>
      <c r="D79" s="4" t="s">
        <v>34</v>
      </c>
      <c r="E79" s="16" t="s">
        <v>15</v>
      </c>
      <c r="F79" s="14"/>
      <c r="G79" s="5">
        <f t="shared" si="2"/>
        <v>47.12954423149357</v>
      </c>
      <c r="I79" s="5">
        <f t="shared" si="3"/>
        <v>52.950060755425376</v>
      </c>
      <c r="K79" s="5">
        <f t="shared" si="4"/>
        <v>76.32482156466982</v>
      </c>
      <c r="M79" s="52">
        <f t="shared" si="5"/>
        <v>58.80147551719625</v>
      </c>
    </row>
    <row r="80" spans="2:13" ht="12.75">
      <c r="B80" s="4" t="s">
        <v>104</v>
      </c>
      <c r="C80" s="4" t="s">
        <v>206</v>
      </c>
      <c r="D80" s="4" t="s">
        <v>34</v>
      </c>
      <c r="E80" s="16" t="s">
        <v>15</v>
      </c>
      <c r="F80" s="14"/>
      <c r="G80" s="5">
        <f t="shared" si="2"/>
        <v>21.54493450582563</v>
      </c>
      <c r="I80" s="5">
        <f t="shared" si="3"/>
        <v>32.26644327283734</v>
      </c>
      <c r="K80" s="5">
        <f t="shared" si="4"/>
        <v>26.576412688705176</v>
      </c>
      <c r="M80" s="52">
        <f t="shared" si="5"/>
        <v>26.79593015578938</v>
      </c>
    </row>
    <row r="81" spans="2:13" ht="12.75">
      <c r="B81" s="86" t="s">
        <v>181</v>
      </c>
      <c r="C81" s="4" t="s">
        <v>206</v>
      </c>
      <c r="D81" s="4" t="s">
        <v>34</v>
      </c>
      <c r="E81" s="16" t="s">
        <v>15</v>
      </c>
      <c r="F81" s="14"/>
      <c r="G81" s="5">
        <f t="shared" si="2"/>
        <v>15.056971273957686</v>
      </c>
      <c r="I81" s="5">
        <f t="shared" si="3"/>
        <v>13.01688993570874</v>
      </c>
      <c r="K81" s="5">
        <f t="shared" si="4"/>
        <v>16.47298307151147</v>
      </c>
      <c r="L81" s="18"/>
      <c r="M81" s="52">
        <f t="shared" si="5"/>
        <v>14.848948093725966</v>
      </c>
    </row>
    <row r="82" spans="2:13" ht="12.75">
      <c r="B82" s="4" t="s">
        <v>122</v>
      </c>
      <c r="C82" s="4" t="s">
        <v>206</v>
      </c>
      <c r="D82" s="4" t="s">
        <v>34</v>
      </c>
      <c r="E82" s="16" t="s">
        <v>15</v>
      </c>
      <c r="F82" t="s">
        <v>98</v>
      </c>
      <c r="G82" s="5">
        <f t="shared" si="2"/>
        <v>6.365548831266662</v>
      </c>
      <c r="H82" t="s">
        <v>98</v>
      </c>
      <c r="I82" s="5">
        <f t="shared" si="3"/>
        <v>6.618757594428172</v>
      </c>
      <c r="J82" t="s">
        <v>98</v>
      </c>
      <c r="K82" s="5">
        <f t="shared" si="4"/>
        <v>6.946107861820671</v>
      </c>
      <c r="L82" s="18"/>
      <c r="M82" s="52">
        <f t="shared" si="5"/>
        <v>6.643471429171835</v>
      </c>
    </row>
    <row r="83" spans="2:13" ht="12.75">
      <c r="B83" s="4" t="s">
        <v>105</v>
      </c>
      <c r="C83" s="4" t="s">
        <v>206</v>
      </c>
      <c r="D83" s="4" t="s">
        <v>34</v>
      </c>
      <c r="E83" s="16" t="s">
        <v>15</v>
      </c>
      <c r="F83"/>
      <c r="G83" s="5">
        <f t="shared" si="2"/>
        <v>51.72008425404165</v>
      </c>
      <c r="H83"/>
      <c r="I83" s="5">
        <f t="shared" si="3"/>
        <v>28.681282909188745</v>
      </c>
      <c r="J83"/>
      <c r="K83" s="5">
        <f t="shared" si="4"/>
        <v>38.436960500193436</v>
      </c>
      <c r="M83" s="52">
        <f t="shared" si="5"/>
        <v>39.61277588780794</v>
      </c>
    </row>
    <row r="84" spans="2:13" ht="12.75">
      <c r="B84" s="4" t="s">
        <v>106</v>
      </c>
      <c r="C84" s="4" t="s">
        <v>206</v>
      </c>
      <c r="D84" s="4" t="s">
        <v>34</v>
      </c>
      <c r="E84" s="16" t="s">
        <v>15</v>
      </c>
      <c r="F84"/>
      <c r="G84" s="5">
        <f t="shared" si="2"/>
        <v>342.76032168358955</v>
      </c>
      <c r="H84"/>
      <c r="I84" s="5">
        <f t="shared" si="3"/>
        <v>380.5785616796199</v>
      </c>
      <c r="J84"/>
      <c r="K84" s="5">
        <f t="shared" si="4"/>
        <v>524.3899611097819</v>
      </c>
      <c r="M84" s="52">
        <f t="shared" si="5"/>
        <v>415.90961482433045</v>
      </c>
    </row>
    <row r="85" spans="2:13" ht="12.75">
      <c r="B85" s="4" t="s">
        <v>107</v>
      </c>
      <c r="C85" s="4" t="s">
        <v>206</v>
      </c>
      <c r="D85" s="4" t="s">
        <v>34</v>
      </c>
      <c r="E85" s="16" t="s">
        <v>15</v>
      </c>
      <c r="F85"/>
      <c r="G85" s="5">
        <f t="shared" si="2"/>
        <v>2.166734890642691</v>
      </c>
      <c r="H85" t="s">
        <v>98</v>
      </c>
      <c r="I85" s="5">
        <f t="shared" si="3"/>
        <v>4.881333725890777</v>
      </c>
      <c r="J85"/>
      <c r="K85" s="5">
        <f t="shared" si="4"/>
        <v>3.12986678358718</v>
      </c>
      <c r="M85" s="52">
        <f aca="true" t="shared" si="6" ref="M85:M90">AVERAGE(G85,I85,K85)</f>
        <v>3.39264513337355</v>
      </c>
    </row>
    <row r="86" spans="2:13" ht="12.75">
      <c r="B86" s="4" t="s">
        <v>108</v>
      </c>
      <c r="C86" s="4" t="s">
        <v>206</v>
      </c>
      <c r="D86" s="4" t="s">
        <v>34</v>
      </c>
      <c r="E86" s="16" t="s">
        <v>15</v>
      </c>
      <c r="F86"/>
      <c r="G86" s="5">
        <f t="shared" si="2"/>
        <v>7.0082244344233935</v>
      </c>
      <c r="H86"/>
      <c r="I86" s="5">
        <f t="shared" si="3"/>
        <v>23.772371026654525</v>
      </c>
      <c r="J86"/>
      <c r="K86" s="5">
        <f t="shared" si="4"/>
        <v>9.142505604688868</v>
      </c>
      <c r="M86" s="52">
        <f t="shared" si="6"/>
        <v>13.307700355255596</v>
      </c>
    </row>
    <row r="87" spans="2:13" ht="12.75">
      <c r="B87" s="4" t="s">
        <v>109</v>
      </c>
      <c r="C87" s="4" t="s">
        <v>206</v>
      </c>
      <c r="D87" s="4" t="s">
        <v>34</v>
      </c>
      <c r="E87" s="16" t="s">
        <v>15</v>
      </c>
      <c r="F87" t="s">
        <v>98</v>
      </c>
      <c r="G87" s="5">
        <f t="shared" si="2"/>
        <v>1.655654768132339</v>
      </c>
      <c r="H87" t="s">
        <v>98</v>
      </c>
      <c r="I87" s="5">
        <f t="shared" si="3"/>
        <v>1.7181191588869797</v>
      </c>
      <c r="J87" t="s">
        <v>98</v>
      </c>
      <c r="K87" s="5">
        <f t="shared" si="4"/>
        <v>1.6170978381867096</v>
      </c>
      <c r="M87" s="52">
        <f t="shared" si="6"/>
        <v>1.6636239217353428</v>
      </c>
    </row>
    <row r="88" spans="2:13" ht="12.75">
      <c r="B88" s="4" t="s">
        <v>110</v>
      </c>
      <c r="C88" s="4" t="s">
        <v>206</v>
      </c>
      <c r="D88" s="4" t="s">
        <v>34</v>
      </c>
      <c r="E88" s="16" t="s">
        <v>15</v>
      </c>
      <c r="F88" t="s">
        <v>98</v>
      </c>
      <c r="G88" s="5">
        <f t="shared" si="2"/>
        <v>3.825450018790063</v>
      </c>
      <c r="H88" t="s">
        <v>98</v>
      </c>
      <c r="I88" s="5">
        <f t="shared" si="3"/>
        <v>3.9712545566569037</v>
      </c>
      <c r="J88" t="s">
        <v>98</v>
      </c>
      <c r="K88" s="5">
        <f t="shared" si="4"/>
        <v>4.6124352600232115</v>
      </c>
      <c r="M88" s="52">
        <f t="shared" si="6"/>
        <v>4.136379945156726</v>
      </c>
    </row>
    <row r="89" spans="2:13" ht="12.75">
      <c r="B89" s="4" t="s">
        <v>111</v>
      </c>
      <c r="C89" s="4" t="s">
        <v>206</v>
      </c>
      <c r="D89" s="4" t="s">
        <v>34</v>
      </c>
      <c r="E89" s="16" t="s">
        <v>15</v>
      </c>
      <c r="F89"/>
      <c r="G89" s="5">
        <f t="shared" si="2"/>
        <v>1.0190998850056727</v>
      </c>
      <c r="H89"/>
      <c r="I89" s="5">
        <f t="shared" si="3"/>
        <v>2.1124867988883254</v>
      </c>
      <c r="J89"/>
      <c r="K89" s="5">
        <f t="shared" si="4"/>
        <v>1.8504650983664552</v>
      </c>
      <c r="M89" s="52">
        <f t="shared" si="6"/>
        <v>1.660683927420151</v>
      </c>
    </row>
    <row r="90" spans="2:13" ht="12.75">
      <c r="B90" s="4" t="s">
        <v>112</v>
      </c>
      <c r="C90" s="4" t="s">
        <v>206</v>
      </c>
      <c r="D90" s="4" t="s">
        <v>34</v>
      </c>
      <c r="E90" s="16" t="s">
        <v>15</v>
      </c>
      <c r="F90"/>
      <c r="G90" s="5">
        <f t="shared" si="2"/>
        <v>1016.0395249906405</v>
      </c>
      <c r="H90"/>
      <c r="I90" s="5">
        <f t="shared" si="3"/>
        <v>1105.8840814023736</v>
      </c>
      <c r="J90"/>
      <c r="K90" s="5">
        <f t="shared" si="4"/>
        <v>1089.9623798983423</v>
      </c>
      <c r="M90" s="52">
        <f t="shared" si="6"/>
        <v>1070.6286620971186</v>
      </c>
    </row>
    <row r="91" spans="2:13" ht="12.75">
      <c r="B91" s="4"/>
      <c r="C91" s="4"/>
      <c r="E91" s="16"/>
      <c r="F91" s="14"/>
      <c r="G91" s="5"/>
      <c r="I91" s="5"/>
      <c r="K91" s="5"/>
      <c r="M91" s="52"/>
    </row>
    <row r="92" spans="2:13" ht="12.75">
      <c r="B92" s="4" t="s">
        <v>36</v>
      </c>
      <c r="C92" s="4" t="s">
        <v>206</v>
      </c>
      <c r="D92" s="4" t="s">
        <v>34</v>
      </c>
      <c r="E92" s="16" t="s">
        <v>15</v>
      </c>
      <c r="G92" s="18">
        <f>G76+G78+G80</f>
        <v>86.93258658700043</v>
      </c>
      <c r="I92" s="18">
        <f>I76+I78+I80</f>
        <v>77.43946385480962</v>
      </c>
      <c r="K92" s="18">
        <f>K76+K78+K80</f>
        <v>44.312324462365865</v>
      </c>
      <c r="M92" s="18">
        <f>AVERAGE(G92,I92,K92)</f>
        <v>69.56145830139197</v>
      </c>
    </row>
    <row r="93" spans="2:13" ht="12.75">
      <c r="B93" s="4" t="s">
        <v>35</v>
      </c>
      <c r="C93" s="4" t="s">
        <v>206</v>
      </c>
      <c r="D93" s="4" t="s">
        <v>34</v>
      </c>
      <c r="E93" s="16" t="s">
        <v>15</v>
      </c>
      <c r="G93" s="18">
        <f>G79+G84</f>
        <v>389.88986591508313</v>
      </c>
      <c r="I93" s="18">
        <f>I79+I84</f>
        <v>433.5286224350453</v>
      </c>
      <c r="K93" s="18">
        <f>K79+K84</f>
        <v>600.7147826744517</v>
      </c>
      <c r="M93" s="18">
        <f>AVERAGE(G93,I93,K93)</f>
        <v>474.7110903415267</v>
      </c>
    </row>
    <row r="94" spans="2:11" ht="12.75">
      <c r="B94" s="4"/>
      <c r="C94" s="4"/>
      <c r="E94" s="16"/>
      <c r="G94" s="52"/>
      <c r="H94" s="4"/>
      <c r="I94" s="52"/>
      <c r="J94" s="4"/>
      <c r="K94" s="52"/>
    </row>
    <row r="95" spans="2:13" ht="12.75">
      <c r="B95" s="4"/>
      <c r="C95" s="4"/>
      <c r="G95" s="50"/>
      <c r="H95" s="50"/>
      <c r="I95" s="50"/>
      <c r="J95" s="50"/>
      <c r="K95" s="50"/>
      <c r="M95" s="65"/>
    </row>
    <row r="96" spans="2:13" ht="12.75">
      <c r="B96" s="4"/>
      <c r="C96" s="4"/>
      <c r="G96" s="50"/>
      <c r="H96" s="50"/>
      <c r="I96" s="50"/>
      <c r="J96" s="50"/>
      <c r="K96" s="50"/>
      <c r="M96" s="65"/>
    </row>
    <row r="97" spans="2:13" ht="12.75">
      <c r="B97" s="4"/>
      <c r="C97" s="4"/>
      <c r="G97" s="50"/>
      <c r="H97" s="50"/>
      <c r="I97" s="50"/>
      <c r="J97" s="50"/>
      <c r="K97" s="50"/>
      <c r="M97" s="65"/>
    </row>
    <row r="98" spans="2:13" ht="12.75">
      <c r="B98" s="4"/>
      <c r="C98" s="4"/>
      <c r="G98" s="50"/>
      <c r="H98" s="50"/>
      <c r="I98" s="50"/>
      <c r="J98" s="50"/>
      <c r="K98" s="50"/>
      <c r="M98" s="65"/>
    </row>
    <row r="99" spans="2:13" ht="12.75">
      <c r="B99" s="4"/>
      <c r="C99" s="4"/>
      <c r="G99" s="50"/>
      <c r="H99" s="50"/>
      <c r="I99" s="50"/>
      <c r="J99" s="50"/>
      <c r="K99" s="50"/>
      <c r="M99" s="65"/>
    </row>
    <row r="100" spans="2:13" ht="12.75">
      <c r="B100" s="4"/>
      <c r="C100" s="4"/>
      <c r="G100" s="50"/>
      <c r="H100" s="50"/>
      <c r="I100" s="50"/>
      <c r="J100" s="50"/>
      <c r="K100" s="50"/>
      <c r="M100" s="65"/>
    </row>
    <row r="101" spans="2:13" ht="12.75">
      <c r="B101" s="4"/>
      <c r="C101" s="4"/>
      <c r="G101" s="50"/>
      <c r="H101" s="50"/>
      <c r="I101" s="50"/>
      <c r="J101" s="50"/>
      <c r="K101" s="50"/>
      <c r="M101" s="65"/>
    </row>
    <row r="102" spans="2:13" ht="12.75">
      <c r="B102" s="4"/>
      <c r="C102" s="4"/>
      <c r="G102" s="50"/>
      <c r="H102" s="50"/>
      <c r="I102" s="50"/>
      <c r="J102" s="50"/>
      <c r="K102" s="50"/>
      <c r="M102" s="65"/>
    </row>
    <row r="103" spans="7:11" ht="12.75">
      <c r="G103" s="50"/>
      <c r="H103" s="50"/>
      <c r="I103" s="50"/>
      <c r="J103" s="50"/>
      <c r="K103" s="50"/>
    </row>
    <row r="104" spans="2:11" ht="12.75">
      <c r="B104" s="4"/>
      <c r="G104" s="50"/>
      <c r="H104" s="50"/>
      <c r="I104" s="50"/>
      <c r="J104" s="50"/>
      <c r="K104" s="50"/>
    </row>
    <row r="105" spans="2:11" ht="12.75">
      <c r="B105" s="4"/>
      <c r="G105" s="50"/>
      <c r="H105" s="50"/>
      <c r="I105" s="50"/>
      <c r="J105" s="50"/>
      <c r="K105" s="50"/>
    </row>
    <row r="106" spans="2:11" ht="12.75">
      <c r="B106" s="4"/>
      <c r="G106" s="50"/>
      <c r="H106" s="50"/>
      <c r="I106" s="50"/>
      <c r="J106" s="50"/>
      <c r="K106" s="50"/>
    </row>
    <row r="107" spans="2:11" ht="12.75">
      <c r="B107" s="4"/>
      <c r="G107" s="50"/>
      <c r="H107" s="50"/>
      <c r="I107" s="50"/>
      <c r="J107" s="50"/>
      <c r="K107" s="50"/>
    </row>
    <row r="108" spans="7:11" ht="12.75">
      <c r="G108" s="50"/>
      <c r="H108" s="50"/>
      <c r="I108" s="50"/>
      <c r="J108" s="50"/>
      <c r="K108" s="50"/>
    </row>
    <row r="109" spans="2:13" ht="12.75">
      <c r="B109" s="4"/>
      <c r="C109" s="4"/>
      <c r="G109" s="19"/>
      <c r="H109" s="19"/>
      <c r="I109" s="20"/>
      <c r="J109" s="19"/>
      <c r="K109" s="19"/>
      <c r="M109" s="52"/>
    </row>
    <row r="110" spans="2:13" ht="12.75">
      <c r="B110" s="4"/>
      <c r="C110" s="4"/>
      <c r="G110" s="19"/>
      <c r="H110" s="19"/>
      <c r="I110" s="19"/>
      <c r="J110" s="19"/>
      <c r="K110" s="19"/>
      <c r="M110" s="21"/>
    </row>
    <row r="111" spans="2:13" ht="12.75">
      <c r="B111" s="4"/>
      <c r="C111" s="4"/>
      <c r="G111" s="24"/>
      <c r="H111" s="19"/>
      <c r="I111" s="24"/>
      <c r="J111" s="19"/>
      <c r="K111" s="24"/>
      <c r="M111" s="18"/>
    </row>
    <row r="112" spans="2:13" ht="12.75">
      <c r="B112" s="4"/>
      <c r="C112" s="4"/>
      <c r="G112" s="19"/>
      <c r="H112" s="19"/>
      <c r="I112" s="20"/>
      <c r="J112" s="19"/>
      <c r="K112" s="19"/>
      <c r="M112" s="18"/>
    </row>
    <row r="113" spans="2:13" ht="12.75">
      <c r="B113" s="4"/>
      <c r="C113" s="4"/>
      <c r="G113" s="19"/>
      <c r="H113" s="19"/>
      <c r="I113" s="20"/>
      <c r="J113" s="19"/>
      <c r="K113" s="19"/>
      <c r="M113" s="21"/>
    </row>
    <row r="114" spans="2:13" ht="12.75">
      <c r="B114" s="4"/>
      <c r="C114" s="4"/>
      <c r="G114" s="19"/>
      <c r="H114" s="19"/>
      <c r="I114" s="20"/>
      <c r="J114" s="19"/>
      <c r="K114" s="19"/>
      <c r="L114" s="16"/>
      <c r="M114" s="21"/>
    </row>
    <row r="115" spans="2:13" ht="12.75">
      <c r="B115" s="4"/>
      <c r="C115" s="4"/>
      <c r="G115" s="19"/>
      <c r="H115" s="19"/>
      <c r="I115" s="20"/>
      <c r="J115" s="19"/>
      <c r="K115" s="19"/>
      <c r="M115" s="52"/>
    </row>
    <row r="116" spans="2:13" ht="12.75">
      <c r="B116" s="4"/>
      <c r="C116" s="4"/>
      <c r="G116" s="19"/>
      <c r="H116" s="19"/>
      <c r="I116" s="19"/>
      <c r="J116" s="19"/>
      <c r="K116" s="19"/>
      <c r="M116" s="21"/>
    </row>
    <row r="117" spans="2:13" ht="12.75">
      <c r="B117" s="4"/>
      <c r="C117" s="4"/>
      <c r="G117" s="24"/>
      <c r="H117" s="19"/>
      <c r="I117" s="24"/>
      <c r="J117" s="19"/>
      <c r="K117" s="24"/>
      <c r="M117" s="18"/>
    </row>
    <row r="118" spans="2:13" ht="12.75">
      <c r="B118" s="4"/>
      <c r="C118" s="4"/>
      <c r="G118" s="5"/>
      <c r="H118" s="19"/>
      <c r="I118" s="20"/>
      <c r="J118" s="19"/>
      <c r="K118" s="19"/>
      <c r="M118" s="18"/>
    </row>
    <row r="119" spans="2:13" ht="12.75">
      <c r="B119" s="4"/>
      <c r="C119" s="4"/>
      <c r="G119" s="19"/>
      <c r="H119" s="19"/>
      <c r="I119" s="20"/>
      <c r="J119" s="19"/>
      <c r="K119" s="19"/>
      <c r="M119" s="18"/>
    </row>
    <row r="120" spans="2:13" ht="12.75">
      <c r="B120" s="4"/>
      <c r="C120" s="4"/>
      <c r="G120" s="19"/>
      <c r="H120" s="19"/>
      <c r="I120" s="20"/>
      <c r="J120" s="19"/>
      <c r="K120" s="19"/>
      <c r="M120" s="21"/>
    </row>
    <row r="122" spans="2:11" ht="12.75">
      <c r="B122" s="4"/>
      <c r="C122" s="4"/>
      <c r="E122" s="16"/>
      <c r="G122" s="52"/>
      <c r="H122" s="4"/>
      <c r="I122" s="52"/>
      <c r="J122" s="4"/>
      <c r="K122" s="52"/>
    </row>
    <row r="123" spans="2:11" ht="12.75">
      <c r="B123" s="4"/>
      <c r="C123" s="4"/>
      <c r="E123" s="16"/>
      <c r="G123" s="52"/>
      <c r="H123" s="4"/>
      <c r="I123" s="52"/>
      <c r="J123" s="4"/>
      <c r="K123" s="52"/>
    </row>
    <row r="124" spans="2:11" ht="12.75">
      <c r="B124" s="4"/>
      <c r="C124" s="4"/>
      <c r="E124" s="16"/>
      <c r="G124" s="52"/>
      <c r="H124" s="4"/>
      <c r="I124" s="52"/>
      <c r="J124" s="4"/>
      <c r="K124" s="52"/>
    </row>
    <row r="125" spans="2:11" ht="12.75">
      <c r="B125" s="4"/>
      <c r="C125" s="4"/>
      <c r="E125" s="16"/>
      <c r="F125" s="14"/>
      <c r="G125" s="52"/>
      <c r="I125" s="52"/>
      <c r="K125" s="52"/>
    </row>
    <row r="126" spans="2:11" ht="12.75">
      <c r="B126" s="4"/>
      <c r="C126" s="4"/>
      <c r="E126" s="16"/>
      <c r="G126" s="52"/>
      <c r="H126" s="4"/>
      <c r="I126" s="52"/>
      <c r="J126" s="4"/>
      <c r="K126" s="52"/>
    </row>
    <row r="127" spans="2:11" ht="12.75">
      <c r="B127" s="4"/>
      <c r="C127" s="4"/>
      <c r="E127" s="16"/>
      <c r="G127" s="52"/>
      <c r="H127" s="4"/>
      <c r="I127" s="52"/>
      <c r="J127" s="4"/>
      <c r="K127" s="52"/>
    </row>
    <row r="128" spans="2:11" ht="12.75">
      <c r="B128" s="4"/>
      <c r="C128" s="4"/>
      <c r="E128" s="16"/>
      <c r="G128" s="52"/>
      <c r="H128" s="4"/>
      <c r="I128" s="52"/>
      <c r="J128" s="4"/>
      <c r="K128" s="52"/>
    </row>
    <row r="129" spans="2:11" ht="12.75">
      <c r="B129" s="4"/>
      <c r="C129" s="4"/>
      <c r="E129" s="16"/>
      <c r="G129" s="52"/>
      <c r="H129" s="4"/>
      <c r="I129" s="52"/>
      <c r="J129" s="4"/>
      <c r="K129" s="52"/>
    </row>
    <row r="130" spans="2:13" ht="12.75">
      <c r="B130" s="4"/>
      <c r="C130" s="4"/>
      <c r="E130" s="16"/>
      <c r="G130" s="52"/>
      <c r="H130" s="4"/>
      <c r="I130" s="52"/>
      <c r="J130" s="4"/>
      <c r="K130" s="52"/>
      <c r="M130" s="18"/>
    </row>
    <row r="131" spans="2:11" ht="12.75">
      <c r="B131" s="4"/>
      <c r="C131" s="4"/>
      <c r="E131" s="16"/>
      <c r="G131" s="52"/>
      <c r="H131" s="4"/>
      <c r="I131" s="52"/>
      <c r="J131" s="4"/>
      <c r="K131" s="52"/>
    </row>
    <row r="132" spans="2:11" ht="12.75">
      <c r="B132" s="4"/>
      <c r="C132" s="4"/>
      <c r="E132" s="16"/>
      <c r="G132" s="52"/>
      <c r="H132" s="4"/>
      <c r="I132" s="52"/>
      <c r="J132" s="4"/>
      <c r="K132" s="52"/>
    </row>
    <row r="133" spans="2:11" ht="12.75">
      <c r="B133" s="4"/>
      <c r="C133" s="4"/>
      <c r="E133" s="16"/>
      <c r="G133" s="52"/>
      <c r="H133" s="4"/>
      <c r="I133" s="52"/>
      <c r="J133" s="4"/>
      <c r="K133" s="52"/>
    </row>
    <row r="134" spans="2:11" ht="12.75">
      <c r="B134" s="4"/>
      <c r="C134" s="4"/>
      <c r="E134" s="16"/>
      <c r="G134" s="52"/>
      <c r="H134" s="4"/>
      <c r="I134" s="52"/>
      <c r="J134" s="4"/>
      <c r="K134" s="52"/>
    </row>
    <row r="135" spans="2:11" ht="12.75">
      <c r="B135" s="4"/>
      <c r="C135" s="4"/>
      <c r="E135" s="16"/>
      <c r="G135" s="18"/>
      <c r="H135" s="56"/>
      <c r="I135" s="18"/>
      <c r="J135" s="56"/>
      <c r="K135" s="18"/>
    </row>
    <row r="136" spans="2:11" ht="12.75">
      <c r="B136" s="4"/>
      <c r="C136" s="4"/>
      <c r="E136" s="16"/>
      <c r="G136" s="18"/>
      <c r="H136" s="56"/>
      <c r="I136" s="18"/>
      <c r="J136" s="56"/>
      <c r="K136" s="18"/>
    </row>
    <row r="137" spans="2:13" ht="12.75">
      <c r="B137" s="4"/>
      <c r="E137" s="16"/>
      <c r="G137" s="52"/>
      <c r="I137" s="52"/>
      <c r="K137" s="52"/>
      <c r="M137" s="18"/>
    </row>
    <row r="138" spans="2:13" ht="12.75">
      <c r="B138" s="4"/>
      <c r="E138" s="16"/>
      <c r="G138" s="52"/>
      <c r="I138" s="52"/>
      <c r="K138" s="52"/>
      <c r="M138" s="18"/>
    </row>
    <row r="139" ht="12.75">
      <c r="B139" s="55"/>
    </row>
    <row r="140" spans="2:11" ht="12.75">
      <c r="B140" s="4"/>
      <c r="G140" s="18"/>
      <c r="I140" s="18"/>
      <c r="K140" s="18"/>
    </row>
    <row r="141" spans="2:11" ht="12.75">
      <c r="B141" s="4"/>
      <c r="G141" s="18"/>
      <c r="I141" s="18"/>
      <c r="K141" s="18"/>
    </row>
    <row r="142" spans="2:11" ht="12.75">
      <c r="B142" s="4"/>
      <c r="G142" s="18"/>
      <c r="I142" s="18"/>
      <c r="K142" s="18"/>
    </row>
    <row r="143" spans="2:13" ht="12.75">
      <c r="B143" s="4"/>
      <c r="G143" s="18"/>
      <c r="I143" s="18"/>
      <c r="K143" s="18"/>
      <c r="M143" s="18"/>
    </row>
    <row r="144" ht="12.75">
      <c r="G144" s="18"/>
    </row>
    <row r="146" spans="1:13" ht="12.75">
      <c r="A146" s="16"/>
      <c r="B146" s="13"/>
      <c r="C146" s="13"/>
      <c r="G146" s="4"/>
      <c r="H146" s="4"/>
      <c r="I146" s="19"/>
      <c r="J146" s="19"/>
      <c r="K146" s="20"/>
      <c r="L146" s="19"/>
      <c r="M146" s="19"/>
    </row>
    <row r="147" spans="3:13" ht="12.75">
      <c r="C147" s="69"/>
      <c r="D147" s="38"/>
      <c r="E147" s="51"/>
      <c r="F147" s="14"/>
      <c r="G147" s="16"/>
      <c r="H147" s="16"/>
      <c r="I147" s="16"/>
      <c r="J147" s="16"/>
      <c r="K147" s="16"/>
      <c r="M147" s="16"/>
    </row>
    <row r="148" spans="4:9" ht="12.75">
      <c r="D148" s="17"/>
      <c r="E148" s="14"/>
      <c r="F148" s="14"/>
      <c r="I148" s="14"/>
    </row>
    <row r="150" spans="2:13" ht="12.75">
      <c r="B150" s="4"/>
      <c r="C150" s="4"/>
      <c r="G150" s="50"/>
      <c r="H150" s="50"/>
      <c r="I150" s="50"/>
      <c r="J150" s="50"/>
      <c r="K150" s="50"/>
      <c r="M150" s="65"/>
    </row>
    <row r="151" spans="2:13" ht="12.75">
      <c r="B151" s="4"/>
      <c r="C151" s="4"/>
      <c r="F151" s="14"/>
      <c r="G151" s="50"/>
      <c r="I151" s="50"/>
      <c r="K151" s="50"/>
      <c r="M151" s="65"/>
    </row>
    <row r="152" spans="2:13" ht="12.75">
      <c r="B152" s="4"/>
      <c r="C152" s="4"/>
      <c r="G152" s="50"/>
      <c r="H152" s="50"/>
      <c r="I152" s="50"/>
      <c r="J152" s="50"/>
      <c r="K152" s="50"/>
      <c r="M152" s="65"/>
    </row>
    <row r="153" spans="2:13" ht="12.75">
      <c r="B153" s="4"/>
      <c r="C153" s="4"/>
      <c r="G153" s="50"/>
      <c r="H153" s="4"/>
      <c r="I153" s="50"/>
      <c r="J153" s="4"/>
      <c r="K153" s="50"/>
      <c r="M153" s="65"/>
    </row>
    <row r="154" spans="2:13" ht="12.75">
      <c r="B154" s="4"/>
      <c r="C154" s="4"/>
      <c r="G154" s="50"/>
      <c r="H154" s="50"/>
      <c r="I154" s="50"/>
      <c r="J154" s="50"/>
      <c r="K154" s="50"/>
      <c r="M154" s="65"/>
    </row>
    <row r="155" spans="2:13" ht="12.75">
      <c r="B155" s="4"/>
      <c r="C155" s="4"/>
      <c r="G155" s="50"/>
      <c r="H155" s="50"/>
      <c r="I155" s="50"/>
      <c r="J155" s="50"/>
      <c r="K155" s="50"/>
      <c r="M155" s="65"/>
    </row>
    <row r="156" spans="2:13" ht="12.75">
      <c r="B156" s="4"/>
      <c r="C156" s="4"/>
      <c r="G156" s="50"/>
      <c r="H156" s="50"/>
      <c r="I156" s="50"/>
      <c r="J156" s="50"/>
      <c r="K156" s="50"/>
      <c r="M156" s="65"/>
    </row>
    <row r="157" spans="2:13" ht="12.75">
      <c r="B157" s="4"/>
      <c r="C157" s="4"/>
      <c r="G157" s="50"/>
      <c r="H157" s="50"/>
      <c r="I157" s="50"/>
      <c r="J157" s="50"/>
      <c r="K157" s="50"/>
      <c r="M157" s="65"/>
    </row>
    <row r="158" spans="2:13" ht="12.75">
      <c r="B158" s="4"/>
      <c r="C158" s="4"/>
      <c r="G158" s="50"/>
      <c r="H158" s="50"/>
      <c r="I158" s="50"/>
      <c r="J158" s="50"/>
      <c r="K158" s="50"/>
      <c r="M158" s="65"/>
    </row>
    <row r="159" spans="2:13" ht="12.75">
      <c r="B159" s="4"/>
      <c r="C159" s="4"/>
      <c r="G159" s="50"/>
      <c r="H159" s="50"/>
      <c r="I159" s="50"/>
      <c r="J159" s="50"/>
      <c r="K159" s="50"/>
      <c r="M159" s="65"/>
    </row>
    <row r="160" spans="2:13" ht="12.75">
      <c r="B160" s="4"/>
      <c r="C160" s="4"/>
      <c r="G160" s="50"/>
      <c r="H160" s="50"/>
      <c r="I160" s="50"/>
      <c r="J160" s="50"/>
      <c r="K160" s="50"/>
      <c r="M160" s="65"/>
    </row>
    <row r="161" spans="2:13" ht="12.75">
      <c r="B161" s="4"/>
      <c r="C161" s="4"/>
      <c r="G161" s="50"/>
      <c r="H161" s="50"/>
      <c r="I161" s="50"/>
      <c r="J161" s="50"/>
      <c r="K161" s="50"/>
      <c r="M161" s="65"/>
    </row>
    <row r="162" spans="2:13" ht="12.75">
      <c r="B162" s="4"/>
      <c r="C162" s="4"/>
      <c r="G162" s="50"/>
      <c r="H162" s="50"/>
      <c r="I162" s="50"/>
      <c r="J162" s="50"/>
      <c r="K162" s="50"/>
      <c r="M162" s="65"/>
    </row>
    <row r="163" spans="2:13" ht="12.75">
      <c r="B163" s="4"/>
      <c r="C163" s="4"/>
      <c r="G163" s="50"/>
      <c r="H163" s="50"/>
      <c r="I163" s="50"/>
      <c r="J163" s="50"/>
      <c r="K163" s="50"/>
      <c r="M163" s="65"/>
    </row>
    <row r="164" spans="7:11" ht="12.75">
      <c r="G164" s="50"/>
      <c r="H164" s="50"/>
      <c r="I164" s="50"/>
      <c r="J164" s="50"/>
      <c r="K164" s="50"/>
    </row>
    <row r="165" spans="7:11" ht="12.75">
      <c r="G165" s="50"/>
      <c r="H165" s="50"/>
      <c r="I165" s="50"/>
      <c r="J165" s="50"/>
      <c r="K165" s="50"/>
    </row>
    <row r="166" spans="2:13" ht="12.75">
      <c r="B166" s="4"/>
      <c r="C166" s="4"/>
      <c r="G166" s="19"/>
      <c r="H166" s="19"/>
      <c r="I166" s="20"/>
      <c r="J166" s="19"/>
      <c r="K166" s="19"/>
      <c r="M166" s="52"/>
    </row>
    <row r="167" spans="2:13" ht="12.75">
      <c r="B167" s="4"/>
      <c r="C167" s="4"/>
      <c r="G167" s="19"/>
      <c r="H167" s="19"/>
      <c r="I167" s="19"/>
      <c r="J167" s="19"/>
      <c r="K167" s="19"/>
      <c r="M167" s="21"/>
    </row>
    <row r="168" spans="2:13" ht="12.75">
      <c r="B168" s="4"/>
      <c r="C168" s="4"/>
      <c r="G168" s="24"/>
      <c r="H168" s="19"/>
      <c r="I168" s="24"/>
      <c r="J168" s="19"/>
      <c r="K168" s="24"/>
      <c r="M168" s="18"/>
    </row>
    <row r="169" spans="2:13" ht="12.75">
      <c r="B169" s="4"/>
      <c r="C169" s="4"/>
      <c r="G169" s="19"/>
      <c r="H169" s="19"/>
      <c r="I169" s="20"/>
      <c r="J169" s="19"/>
      <c r="K169" s="19"/>
      <c r="M169" s="18"/>
    </row>
    <row r="170" spans="2:13" ht="12.75">
      <c r="B170" s="4"/>
      <c r="C170" s="4"/>
      <c r="G170" s="19"/>
      <c r="H170" s="19"/>
      <c r="I170" s="20"/>
      <c r="J170" s="19"/>
      <c r="K170" s="19"/>
      <c r="M170" s="21"/>
    </row>
    <row r="171" spans="2:13" ht="12.75">
      <c r="B171" s="4"/>
      <c r="C171" s="4"/>
      <c r="G171" s="19"/>
      <c r="H171" s="19"/>
      <c r="I171" s="20"/>
      <c r="J171" s="19"/>
      <c r="K171" s="19"/>
      <c r="L171" s="16"/>
      <c r="M171" s="21"/>
    </row>
    <row r="172" spans="2:13" ht="12.75">
      <c r="B172" s="4"/>
      <c r="C172" s="4"/>
      <c r="G172" s="19"/>
      <c r="H172" s="19"/>
      <c r="I172" s="20"/>
      <c r="J172" s="19"/>
      <c r="K172" s="19"/>
      <c r="M172" s="52"/>
    </row>
    <row r="173" spans="2:13" ht="12.75">
      <c r="B173" s="4"/>
      <c r="C173" s="4"/>
      <c r="G173" s="19"/>
      <c r="H173" s="19"/>
      <c r="I173" s="19"/>
      <c r="J173" s="19"/>
      <c r="K173" s="19"/>
      <c r="M173" s="21"/>
    </row>
    <row r="174" spans="2:13" ht="12.75">
      <c r="B174" s="4"/>
      <c r="C174" s="4"/>
      <c r="G174" s="24"/>
      <c r="H174" s="19"/>
      <c r="I174" s="24"/>
      <c r="J174" s="19"/>
      <c r="K174" s="24"/>
      <c r="M174" s="18"/>
    </row>
    <row r="175" spans="2:13" ht="12.75">
      <c r="B175" s="4"/>
      <c r="C175" s="4"/>
      <c r="G175" s="5"/>
      <c r="H175" s="19"/>
      <c r="I175" s="20"/>
      <c r="J175" s="19"/>
      <c r="K175" s="19"/>
      <c r="M175" s="18"/>
    </row>
    <row r="176" spans="2:13" ht="12.75">
      <c r="B176" s="4"/>
      <c r="C176" s="4"/>
      <c r="G176" s="19"/>
      <c r="H176" s="19"/>
      <c r="I176" s="20"/>
      <c r="J176" s="19"/>
      <c r="K176" s="19"/>
      <c r="M176" s="18"/>
    </row>
    <row r="177" spans="2:13" ht="12.75">
      <c r="B177" s="4"/>
      <c r="C177" s="4"/>
      <c r="G177" s="19"/>
      <c r="H177" s="19"/>
      <c r="I177" s="20"/>
      <c r="J177" s="19"/>
      <c r="K177" s="19"/>
      <c r="M177" s="21"/>
    </row>
    <row r="179" spans="2:11" ht="12.75">
      <c r="B179" s="4"/>
      <c r="C179" s="4"/>
      <c r="E179" s="16"/>
      <c r="G179" s="52"/>
      <c r="H179" s="50"/>
      <c r="I179" s="52"/>
      <c r="J179" s="50"/>
      <c r="K179" s="52"/>
    </row>
    <row r="180" spans="2:11" ht="12.75">
      <c r="B180" s="4"/>
      <c r="C180" s="4"/>
      <c r="E180" s="16"/>
      <c r="F180" s="14"/>
      <c r="G180" s="52"/>
      <c r="I180" s="52"/>
      <c r="K180" s="52"/>
    </row>
    <row r="181" spans="2:11" ht="12.75">
      <c r="B181" s="4"/>
      <c r="C181" s="4"/>
      <c r="E181" s="16"/>
      <c r="G181" s="52"/>
      <c r="H181" s="50"/>
      <c r="I181" s="52"/>
      <c r="J181" s="50"/>
      <c r="K181" s="52"/>
    </row>
    <row r="182" spans="2:11" ht="12.75">
      <c r="B182" s="4"/>
      <c r="C182" s="4"/>
      <c r="E182" s="16"/>
      <c r="G182" s="52"/>
      <c r="H182" s="4"/>
      <c r="I182" s="52"/>
      <c r="J182" s="4"/>
      <c r="K182" s="52"/>
    </row>
    <row r="183" spans="2:11" ht="12.75">
      <c r="B183" s="4"/>
      <c r="C183" s="4"/>
      <c r="E183" s="16"/>
      <c r="G183" s="52"/>
      <c r="H183" s="50"/>
      <c r="I183" s="52"/>
      <c r="J183" s="50"/>
      <c r="K183" s="52"/>
    </row>
    <row r="184" spans="2:11" ht="12.75">
      <c r="B184" s="4"/>
      <c r="C184" s="4"/>
      <c r="E184" s="16"/>
      <c r="G184" s="52"/>
      <c r="H184" s="50"/>
      <c r="I184" s="52"/>
      <c r="J184" s="50"/>
      <c r="K184" s="52"/>
    </row>
    <row r="185" spans="2:11" ht="12.75">
      <c r="B185" s="4"/>
      <c r="C185" s="4"/>
      <c r="E185" s="16"/>
      <c r="G185" s="52"/>
      <c r="H185" s="50"/>
      <c r="I185" s="52"/>
      <c r="J185" s="50"/>
      <c r="K185" s="52"/>
    </row>
    <row r="186" spans="2:11" ht="12.75">
      <c r="B186" s="4"/>
      <c r="C186" s="4"/>
      <c r="E186" s="16"/>
      <c r="G186" s="52"/>
      <c r="H186" s="50"/>
      <c r="I186" s="52"/>
      <c r="J186" s="50"/>
      <c r="K186" s="52"/>
    </row>
    <row r="187" spans="2:13" ht="12.75">
      <c r="B187" s="4"/>
      <c r="C187" s="4"/>
      <c r="E187" s="16"/>
      <c r="G187" s="52"/>
      <c r="H187" s="50"/>
      <c r="I187" s="52"/>
      <c r="J187" s="50"/>
      <c r="K187" s="52"/>
      <c r="M187" s="18"/>
    </row>
    <row r="188" spans="2:11" ht="12.75">
      <c r="B188" s="4"/>
      <c r="C188" s="4"/>
      <c r="E188" s="16"/>
      <c r="G188" s="52"/>
      <c r="H188" s="50"/>
      <c r="I188" s="52"/>
      <c r="J188" s="50"/>
      <c r="K188" s="52"/>
    </row>
    <row r="189" spans="2:11" ht="12.75">
      <c r="B189" s="4"/>
      <c r="C189" s="4"/>
      <c r="E189" s="16"/>
      <c r="G189" s="52"/>
      <c r="H189" s="50"/>
      <c r="I189" s="52"/>
      <c r="J189" s="50"/>
      <c r="K189" s="52"/>
    </row>
    <row r="190" spans="2:11" ht="12.75">
      <c r="B190" s="4"/>
      <c r="C190" s="4"/>
      <c r="E190" s="16"/>
      <c r="G190" s="52"/>
      <c r="H190" s="50"/>
      <c r="I190" s="52"/>
      <c r="J190" s="50"/>
      <c r="K190" s="52"/>
    </row>
    <row r="191" spans="2:11" ht="12.75">
      <c r="B191" s="4"/>
      <c r="C191" s="4"/>
      <c r="E191" s="16"/>
      <c r="G191" s="52"/>
      <c r="H191" s="50"/>
      <c r="I191" s="52"/>
      <c r="J191" s="50"/>
      <c r="K191" s="52"/>
    </row>
    <row r="192" spans="2:11" ht="12.75">
      <c r="B192" s="4"/>
      <c r="C192" s="4"/>
      <c r="E192" s="16"/>
      <c r="G192" s="52"/>
      <c r="H192" s="50"/>
      <c r="I192" s="52"/>
      <c r="J192" s="50"/>
      <c r="K192" s="52"/>
    </row>
    <row r="193" spans="2:11" ht="12.75">
      <c r="B193" s="4"/>
      <c r="C193" s="4"/>
      <c r="E193" s="16"/>
      <c r="G193" s="52"/>
      <c r="H193" s="4"/>
      <c r="I193" s="52"/>
      <c r="J193" s="4"/>
      <c r="K193" s="52"/>
    </row>
    <row r="194" spans="2:13" ht="12.75">
      <c r="B194" s="4"/>
      <c r="E194" s="16"/>
      <c r="G194" s="52"/>
      <c r="I194" s="52"/>
      <c r="K194" s="52"/>
      <c r="M194" s="52"/>
    </row>
    <row r="195" spans="2:13" ht="12.75">
      <c r="B195" s="4"/>
      <c r="E195" s="16"/>
      <c r="G195" s="52"/>
      <c r="I195" s="52"/>
      <c r="K195" s="52"/>
      <c r="M195" s="52"/>
    </row>
    <row r="196" ht="12.75">
      <c r="B196" s="55"/>
    </row>
    <row r="198" spans="1:13" ht="12.75">
      <c r="A198" s="16"/>
      <c r="B198" s="13"/>
      <c r="C198" s="13"/>
      <c r="G198" s="4"/>
      <c r="H198" s="4"/>
      <c r="I198" s="19"/>
      <c r="J198" s="19"/>
      <c r="K198" s="20"/>
      <c r="L198" s="19"/>
      <c r="M198" s="19"/>
    </row>
    <row r="199" spans="3:13" ht="12.75">
      <c r="C199" s="69"/>
      <c r="D199" s="38"/>
      <c r="E199" s="51"/>
      <c r="F199" s="14"/>
      <c r="G199" s="16"/>
      <c r="H199" s="16"/>
      <c r="I199" s="16"/>
      <c r="J199" s="16"/>
      <c r="K199" s="16"/>
      <c r="M199" s="16"/>
    </row>
    <row r="200" spans="4:9" ht="12.75">
      <c r="D200" s="17"/>
      <c r="E200" s="14"/>
      <c r="F200" s="14"/>
      <c r="I200" s="14"/>
    </row>
    <row r="202" spans="2:13" ht="12.75">
      <c r="B202" s="4"/>
      <c r="C202" s="4"/>
      <c r="G202" s="50"/>
      <c r="H202" s="50"/>
      <c r="I202" s="50"/>
      <c r="J202" s="50"/>
      <c r="K202" s="50"/>
      <c r="M202" s="65"/>
    </row>
    <row r="203" spans="2:13" ht="12.75">
      <c r="B203" s="4"/>
      <c r="C203" s="4"/>
      <c r="F203" s="14"/>
      <c r="G203" s="50"/>
      <c r="I203" s="50"/>
      <c r="K203" s="50"/>
      <c r="M203" s="65"/>
    </row>
    <row r="204" spans="2:13" ht="12.75">
      <c r="B204" s="4"/>
      <c r="C204" s="4"/>
      <c r="G204" s="50"/>
      <c r="H204" s="50"/>
      <c r="I204" s="50"/>
      <c r="J204" s="50"/>
      <c r="K204" s="50"/>
      <c r="M204" s="65"/>
    </row>
    <row r="205" spans="2:13" ht="12.75">
      <c r="B205" s="4"/>
      <c r="C205" s="4"/>
      <c r="G205" s="50"/>
      <c r="H205" s="4"/>
      <c r="I205" s="50"/>
      <c r="J205" s="4"/>
      <c r="K205" s="50"/>
      <c r="M205" s="65"/>
    </row>
    <row r="206" spans="2:13" ht="12.75">
      <c r="B206" s="4"/>
      <c r="C206" s="4"/>
      <c r="G206" s="50"/>
      <c r="H206" s="50"/>
      <c r="I206" s="50"/>
      <c r="J206" s="50"/>
      <c r="K206" s="50"/>
      <c r="M206" s="65"/>
    </row>
    <row r="207" spans="2:13" ht="12.75">
      <c r="B207" s="4"/>
      <c r="C207" s="4"/>
      <c r="G207" s="50"/>
      <c r="H207" s="50"/>
      <c r="I207" s="50"/>
      <c r="J207" s="50"/>
      <c r="K207" s="50"/>
      <c r="M207" s="65"/>
    </row>
    <row r="208" spans="2:13" ht="12.75">
      <c r="B208" s="4"/>
      <c r="C208" s="4"/>
      <c r="G208" s="50"/>
      <c r="H208" s="50"/>
      <c r="I208" s="50"/>
      <c r="J208" s="50"/>
      <c r="K208" s="50"/>
      <c r="M208" s="65"/>
    </row>
    <row r="209" spans="2:13" ht="12.75">
      <c r="B209" s="4"/>
      <c r="C209" s="4"/>
      <c r="G209" s="50"/>
      <c r="H209" s="50"/>
      <c r="I209" s="50"/>
      <c r="J209" s="50"/>
      <c r="K209" s="50"/>
      <c r="M209" s="65"/>
    </row>
    <row r="210" spans="2:13" ht="12.75">
      <c r="B210" s="4"/>
      <c r="C210" s="4"/>
      <c r="G210" s="50"/>
      <c r="H210" s="50"/>
      <c r="I210" s="50"/>
      <c r="J210" s="50"/>
      <c r="K210" s="50"/>
      <c r="M210" s="65"/>
    </row>
    <row r="211" spans="2:13" ht="12.75">
      <c r="B211" s="4"/>
      <c r="C211" s="4"/>
      <c r="G211" s="50"/>
      <c r="H211" s="50"/>
      <c r="I211" s="50"/>
      <c r="J211" s="50"/>
      <c r="K211" s="50"/>
      <c r="M211" s="65"/>
    </row>
    <row r="212" spans="2:13" ht="12.75">
      <c r="B212" s="4"/>
      <c r="C212" s="4"/>
      <c r="G212" s="50"/>
      <c r="H212" s="4"/>
      <c r="I212" s="50"/>
      <c r="J212" s="4"/>
      <c r="K212" s="50"/>
      <c r="M212" s="65"/>
    </row>
    <row r="213" spans="2:13" ht="12.75">
      <c r="B213" s="4"/>
      <c r="C213" s="4"/>
      <c r="G213" s="50"/>
      <c r="H213" s="4"/>
      <c r="I213" s="50"/>
      <c r="J213" s="4"/>
      <c r="K213" s="50"/>
      <c r="M213" s="65"/>
    </row>
    <row r="214" spans="2:13" ht="12.75">
      <c r="B214" s="4"/>
      <c r="C214" s="4"/>
      <c r="G214" s="50"/>
      <c r="H214" s="4"/>
      <c r="I214" s="50"/>
      <c r="J214" s="4"/>
      <c r="K214" s="50"/>
      <c r="M214" s="65"/>
    </row>
    <row r="215" spans="2:13" ht="12.75">
      <c r="B215" s="4"/>
      <c r="C215" s="4"/>
      <c r="G215" s="50"/>
      <c r="H215" s="50"/>
      <c r="I215" s="50"/>
      <c r="J215" s="50"/>
      <c r="K215" s="50"/>
      <c r="M215" s="65"/>
    </row>
    <row r="216" spans="7:11" ht="12.75">
      <c r="G216" s="50"/>
      <c r="H216" s="50"/>
      <c r="I216" s="50"/>
      <c r="J216" s="50"/>
      <c r="K216" s="50"/>
    </row>
    <row r="217" spans="7:11" ht="12.75">
      <c r="G217" s="50"/>
      <c r="H217" s="50"/>
      <c r="I217" s="50"/>
      <c r="J217" s="50"/>
      <c r="K217" s="50"/>
    </row>
    <row r="218" spans="2:13" ht="12.75">
      <c r="B218" s="4"/>
      <c r="C218" s="4"/>
      <c r="G218" s="19"/>
      <c r="H218" s="19"/>
      <c r="I218" s="20"/>
      <c r="J218" s="19"/>
      <c r="K218" s="19"/>
      <c r="M218" s="52"/>
    </row>
    <row r="219" spans="2:13" ht="12.75">
      <c r="B219" s="4"/>
      <c r="C219" s="4"/>
      <c r="G219" s="19"/>
      <c r="H219" s="19"/>
      <c r="I219" s="19"/>
      <c r="J219" s="19"/>
      <c r="K219" s="19"/>
      <c r="M219" s="21"/>
    </row>
    <row r="220" spans="2:13" ht="12.75">
      <c r="B220" s="4"/>
      <c r="C220" s="4"/>
      <c r="G220" s="24"/>
      <c r="H220" s="19"/>
      <c r="I220" s="24"/>
      <c r="J220" s="19"/>
      <c r="K220" s="24"/>
      <c r="M220" s="18"/>
    </row>
    <row r="221" spans="2:13" ht="12.75">
      <c r="B221" s="4"/>
      <c r="C221" s="4"/>
      <c r="G221" s="19"/>
      <c r="H221" s="19"/>
      <c r="I221" s="20"/>
      <c r="J221" s="19"/>
      <c r="K221" s="19"/>
      <c r="M221" s="18"/>
    </row>
    <row r="222" spans="2:13" ht="12.75">
      <c r="B222" s="4"/>
      <c r="C222" s="4"/>
      <c r="G222" s="19"/>
      <c r="H222" s="19"/>
      <c r="I222" s="20"/>
      <c r="J222" s="19"/>
      <c r="K222" s="19"/>
      <c r="M222" s="21"/>
    </row>
    <row r="223" spans="2:13" ht="12.75">
      <c r="B223" s="4"/>
      <c r="C223" s="4"/>
      <c r="G223" s="19"/>
      <c r="H223" s="19"/>
      <c r="I223" s="20"/>
      <c r="J223" s="19"/>
      <c r="K223" s="19"/>
      <c r="L223" s="16"/>
      <c r="M223" s="21"/>
    </row>
    <row r="224" spans="2:13" ht="12.75">
      <c r="B224" s="4"/>
      <c r="C224" s="4"/>
      <c r="G224" s="19"/>
      <c r="H224" s="19"/>
      <c r="I224" s="20"/>
      <c r="J224" s="19"/>
      <c r="K224" s="19"/>
      <c r="M224" s="52"/>
    </row>
    <row r="225" spans="2:13" ht="12.75">
      <c r="B225" s="4"/>
      <c r="C225" s="4"/>
      <c r="G225" s="19"/>
      <c r="H225" s="19"/>
      <c r="I225" s="19"/>
      <c r="J225" s="19"/>
      <c r="K225" s="19"/>
      <c r="M225" s="21"/>
    </row>
    <row r="226" spans="2:13" ht="12.75">
      <c r="B226" s="4"/>
      <c r="C226" s="4"/>
      <c r="G226" s="24"/>
      <c r="H226" s="19"/>
      <c r="I226" s="24"/>
      <c r="J226" s="19"/>
      <c r="K226" s="24"/>
      <c r="M226" s="18"/>
    </row>
    <row r="227" spans="2:13" ht="12.75">
      <c r="B227" s="4"/>
      <c r="C227" s="4"/>
      <c r="G227" s="5"/>
      <c r="H227" s="19"/>
      <c r="I227" s="20"/>
      <c r="J227" s="19"/>
      <c r="K227" s="19"/>
      <c r="M227" s="18"/>
    </row>
    <row r="228" spans="2:13" ht="12.75">
      <c r="B228" s="4"/>
      <c r="C228" s="4"/>
      <c r="G228" s="19"/>
      <c r="H228" s="19"/>
      <c r="I228" s="20"/>
      <c r="J228" s="19"/>
      <c r="K228" s="19"/>
      <c r="M228" s="18"/>
    </row>
    <row r="229" spans="2:13" ht="12.75">
      <c r="B229" s="4"/>
      <c r="C229" s="4"/>
      <c r="G229" s="19"/>
      <c r="H229" s="19"/>
      <c r="I229" s="20"/>
      <c r="J229" s="19"/>
      <c r="K229" s="19"/>
      <c r="M229" s="21"/>
    </row>
    <row r="231" spans="2:11" ht="12.75">
      <c r="B231" s="4"/>
      <c r="C231" s="4"/>
      <c r="E231" s="16"/>
      <c r="G231" s="52"/>
      <c r="H231" s="4"/>
      <c r="I231" s="52"/>
      <c r="J231" s="4"/>
      <c r="K231" s="52"/>
    </row>
    <row r="232" spans="2:11" ht="12.75">
      <c r="B232" s="4"/>
      <c r="C232" s="4"/>
      <c r="E232" s="16"/>
      <c r="F232" s="14"/>
      <c r="G232" s="52"/>
      <c r="I232" s="52"/>
      <c r="K232" s="52"/>
    </row>
    <row r="233" spans="2:11" ht="12.75">
      <c r="B233" s="4"/>
      <c r="C233" s="4"/>
      <c r="E233" s="16"/>
      <c r="G233" s="52"/>
      <c r="H233" s="4"/>
      <c r="I233" s="52"/>
      <c r="J233" s="4"/>
      <c r="K233" s="52"/>
    </row>
    <row r="234" spans="2:11" ht="12.75">
      <c r="B234" s="4"/>
      <c r="C234" s="4"/>
      <c r="E234" s="16"/>
      <c r="G234" s="52"/>
      <c r="H234" s="4"/>
      <c r="I234" s="52"/>
      <c r="J234" s="4"/>
      <c r="K234" s="52"/>
    </row>
    <row r="235" spans="2:11" ht="12.75">
      <c r="B235" s="4"/>
      <c r="C235" s="4"/>
      <c r="E235" s="16"/>
      <c r="G235" s="52"/>
      <c r="H235" s="4"/>
      <c r="I235" s="52"/>
      <c r="J235" s="4"/>
      <c r="K235" s="52"/>
    </row>
    <row r="236" spans="2:11" ht="12.75">
      <c r="B236" s="4"/>
      <c r="C236" s="4"/>
      <c r="E236" s="16"/>
      <c r="G236" s="52"/>
      <c r="H236" s="4"/>
      <c r="I236" s="52"/>
      <c r="J236" s="4"/>
      <c r="K236" s="52"/>
    </row>
    <row r="237" spans="2:11" ht="12.75">
      <c r="B237" s="4"/>
      <c r="C237" s="4"/>
      <c r="E237" s="16"/>
      <c r="G237" s="52"/>
      <c r="H237" s="4"/>
      <c r="I237" s="52"/>
      <c r="J237" s="4"/>
      <c r="K237" s="52"/>
    </row>
    <row r="238" spans="2:11" ht="12.75">
      <c r="B238" s="4"/>
      <c r="C238" s="4"/>
      <c r="E238" s="16"/>
      <c r="G238" s="52"/>
      <c r="H238" s="4"/>
      <c r="I238" s="52"/>
      <c r="J238" s="4"/>
      <c r="K238" s="52"/>
    </row>
    <row r="239" spans="2:13" ht="12.75">
      <c r="B239" s="4"/>
      <c r="C239" s="4"/>
      <c r="E239" s="16"/>
      <c r="G239" s="52"/>
      <c r="H239" s="4"/>
      <c r="I239" s="52"/>
      <c r="J239" s="4"/>
      <c r="K239" s="52"/>
      <c r="M239" s="18"/>
    </row>
    <row r="240" spans="2:11" ht="12.75">
      <c r="B240" s="4"/>
      <c r="C240" s="4"/>
      <c r="E240" s="16"/>
      <c r="G240" s="52"/>
      <c r="H240" s="4"/>
      <c r="I240" s="52"/>
      <c r="J240" s="4"/>
      <c r="K240" s="52"/>
    </row>
    <row r="241" spans="2:11" ht="12.75">
      <c r="B241" s="4"/>
      <c r="C241" s="4"/>
      <c r="E241" s="16"/>
      <c r="G241" s="52"/>
      <c r="H241" s="4"/>
      <c r="I241" s="52"/>
      <c r="J241" s="4"/>
      <c r="K241" s="52"/>
    </row>
    <row r="242" spans="2:11" ht="12.75">
      <c r="B242" s="4"/>
      <c r="C242" s="4"/>
      <c r="E242" s="16"/>
      <c r="G242" s="52"/>
      <c r="H242" s="4"/>
      <c r="I242" s="52"/>
      <c r="J242" s="4"/>
      <c r="K242" s="52"/>
    </row>
    <row r="243" spans="2:11" ht="12.75">
      <c r="B243" s="4"/>
      <c r="C243" s="4"/>
      <c r="E243" s="16"/>
      <c r="G243" s="52"/>
      <c r="H243" s="4"/>
      <c r="I243" s="52"/>
      <c r="J243" s="4"/>
      <c r="K243" s="52"/>
    </row>
    <row r="244" spans="2:11" ht="12.75">
      <c r="B244" s="4"/>
      <c r="C244" s="4"/>
      <c r="E244" s="16"/>
      <c r="G244" s="52"/>
      <c r="H244" s="4"/>
      <c r="I244" s="52"/>
      <c r="J244" s="4"/>
      <c r="K244" s="52"/>
    </row>
    <row r="245" spans="2:11" ht="12.75">
      <c r="B245" s="4"/>
      <c r="C245" s="4"/>
      <c r="E245" s="16"/>
      <c r="G245" s="52"/>
      <c r="H245" s="4"/>
      <c r="I245" s="52"/>
      <c r="J245" s="4"/>
      <c r="K245" s="52"/>
    </row>
    <row r="246" spans="2:13" ht="12.75">
      <c r="B246" s="4"/>
      <c r="E246" s="16"/>
      <c r="G246" s="52"/>
      <c r="I246" s="52"/>
      <c r="K246" s="52"/>
      <c r="M246" s="52"/>
    </row>
    <row r="247" spans="2:13" ht="12.75">
      <c r="B247" s="4"/>
      <c r="E247" s="16"/>
      <c r="G247" s="52"/>
      <c r="I247" s="52"/>
      <c r="K247" s="52"/>
      <c r="M247" s="52"/>
    </row>
    <row r="250" spans="1:13" ht="12.75">
      <c r="A250" s="16"/>
      <c r="B250" s="13"/>
      <c r="C250" s="13"/>
      <c r="G250" s="4"/>
      <c r="H250" s="4"/>
      <c r="I250" s="19"/>
      <c r="J250" s="19"/>
      <c r="K250" s="20"/>
      <c r="L250" s="19"/>
      <c r="M250" s="19"/>
    </row>
    <row r="251" spans="3:13" ht="12.75">
      <c r="C251" s="69"/>
      <c r="D251" s="38"/>
      <c r="E251" s="51"/>
      <c r="F251" s="14"/>
      <c r="G251" s="16"/>
      <c r="H251" s="16"/>
      <c r="I251" s="16"/>
      <c r="J251" s="16"/>
      <c r="K251" s="16"/>
      <c r="M251" s="16"/>
    </row>
    <row r="252" spans="4:9" ht="12.75">
      <c r="D252" s="17"/>
      <c r="E252" s="14"/>
      <c r="F252" s="14"/>
      <c r="I252" s="14"/>
    </row>
    <row r="254" spans="2:13" ht="12.75">
      <c r="B254" s="4"/>
      <c r="C254" s="4"/>
      <c r="G254" s="50"/>
      <c r="H254" s="50"/>
      <c r="I254" s="50"/>
      <c r="J254" s="50"/>
      <c r="K254" s="50"/>
      <c r="M254" s="65"/>
    </row>
    <row r="255" spans="2:13" ht="12.75">
      <c r="B255" s="4"/>
      <c r="C255" s="4"/>
      <c r="F255" s="14"/>
      <c r="G255" s="50"/>
      <c r="I255" s="50"/>
      <c r="K255" s="50"/>
      <c r="M255" s="65"/>
    </row>
    <row r="256" spans="2:13" ht="12.75">
      <c r="B256" s="4"/>
      <c r="C256" s="4"/>
      <c r="G256" s="50"/>
      <c r="H256" s="50"/>
      <c r="I256" s="50"/>
      <c r="J256" s="50"/>
      <c r="K256" s="50"/>
      <c r="M256" s="65"/>
    </row>
    <row r="257" spans="2:13" ht="12.75">
      <c r="B257" s="4"/>
      <c r="C257" s="4"/>
      <c r="G257" s="50"/>
      <c r="H257" s="4"/>
      <c r="I257" s="50"/>
      <c r="J257" s="4"/>
      <c r="K257" s="50"/>
      <c r="M257" s="65"/>
    </row>
    <row r="258" spans="2:13" ht="12.75">
      <c r="B258" s="4"/>
      <c r="C258" s="4"/>
      <c r="G258" s="50"/>
      <c r="H258" s="50"/>
      <c r="I258" s="50"/>
      <c r="J258" s="50"/>
      <c r="K258" s="50"/>
      <c r="M258" s="65"/>
    </row>
    <row r="259" spans="2:13" ht="12.75">
      <c r="B259" s="4"/>
      <c r="C259" s="4"/>
      <c r="G259" s="50"/>
      <c r="H259" s="50"/>
      <c r="I259" s="50"/>
      <c r="J259" s="50"/>
      <c r="K259" s="50"/>
      <c r="M259" s="65"/>
    </row>
    <row r="260" spans="2:13" ht="12.75">
      <c r="B260" s="4"/>
      <c r="C260" s="4"/>
      <c r="G260" s="50"/>
      <c r="H260" s="50"/>
      <c r="I260" s="50"/>
      <c r="J260" s="50"/>
      <c r="K260" s="50"/>
      <c r="M260" s="65"/>
    </row>
    <row r="261" spans="2:13" ht="12.75">
      <c r="B261" s="4"/>
      <c r="C261" s="4"/>
      <c r="G261" s="50"/>
      <c r="H261" s="50"/>
      <c r="I261" s="50"/>
      <c r="J261" s="50"/>
      <c r="K261" s="50"/>
      <c r="M261" s="65"/>
    </row>
    <row r="262" spans="2:13" ht="12.75">
      <c r="B262" s="4"/>
      <c r="C262" s="4"/>
      <c r="G262" s="50"/>
      <c r="H262" s="50"/>
      <c r="I262" s="50"/>
      <c r="J262" s="50"/>
      <c r="K262" s="50"/>
      <c r="M262" s="65"/>
    </row>
    <row r="263" spans="2:13" ht="12.75">
      <c r="B263" s="4"/>
      <c r="C263" s="4"/>
      <c r="G263" s="50"/>
      <c r="H263" s="50"/>
      <c r="I263" s="50"/>
      <c r="J263" s="50"/>
      <c r="K263" s="50"/>
      <c r="M263" s="65"/>
    </row>
    <row r="264" spans="2:13" ht="12.75">
      <c r="B264" s="4"/>
      <c r="C264" s="4"/>
      <c r="G264" s="50"/>
      <c r="H264" s="4"/>
      <c r="I264" s="50"/>
      <c r="J264" s="4"/>
      <c r="K264" s="50"/>
      <c r="M264" s="65"/>
    </row>
    <row r="265" spans="2:13" ht="12.75">
      <c r="B265" s="4"/>
      <c r="C265" s="4"/>
      <c r="G265" s="50"/>
      <c r="H265" s="4"/>
      <c r="I265" s="50"/>
      <c r="J265" s="4"/>
      <c r="K265" s="50"/>
      <c r="M265" s="65"/>
    </row>
    <row r="266" spans="2:13" ht="12.75">
      <c r="B266" s="4"/>
      <c r="C266" s="4"/>
      <c r="G266" s="50"/>
      <c r="H266" s="4"/>
      <c r="I266" s="50"/>
      <c r="J266" s="4"/>
      <c r="K266" s="50"/>
      <c r="M266" s="65"/>
    </row>
    <row r="267" spans="2:13" ht="12.75">
      <c r="B267" s="4"/>
      <c r="C267" s="4"/>
      <c r="G267" s="50"/>
      <c r="H267" s="50"/>
      <c r="I267" s="50"/>
      <c r="J267" s="50"/>
      <c r="K267" s="50"/>
      <c r="M267" s="65"/>
    </row>
    <row r="268" spans="7:11" ht="12.75">
      <c r="G268" s="50"/>
      <c r="H268" s="50"/>
      <c r="I268" s="50"/>
      <c r="J268" s="50"/>
      <c r="K268" s="50"/>
    </row>
    <row r="269" spans="7:11" ht="12.75">
      <c r="G269" s="50"/>
      <c r="H269" s="50"/>
      <c r="I269" s="50"/>
      <c r="J269" s="50"/>
      <c r="K269" s="50"/>
    </row>
    <row r="270" spans="2:13" ht="12.75">
      <c r="B270" s="4"/>
      <c r="C270" s="4"/>
      <c r="G270" s="19"/>
      <c r="H270" s="19"/>
      <c r="I270" s="20"/>
      <c r="J270" s="19"/>
      <c r="K270" s="19"/>
      <c r="M270" s="52"/>
    </row>
    <row r="271" spans="2:13" ht="12.75">
      <c r="B271" s="4"/>
      <c r="C271" s="4"/>
      <c r="G271" s="19"/>
      <c r="H271" s="19"/>
      <c r="I271" s="19"/>
      <c r="J271" s="19"/>
      <c r="K271" s="19"/>
      <c r="M271" s="21"/>
    </row>
    <row r="272" spans="2:13" ht="12.75">
      <c r="B272" s="4"/>
      <c r="C272" s="4"/>
      <c r="G272" s="24"/>
      <c r="H272" s="19"/>
      <c r="I272" s="24"/>
      <c r="J272" s="19"/>
      <c r="K272" s="24"/>
      <c r="M272" s="18"/>
    </row>
    <row r="273" spans="2:13" ht="12.75">
      <c r="B273" s="4"/>
      <c r="C273" s="4"/>
      <c r="G273" s="19"/>
      <c r="H273" s="19"/>
      <c r="I273" s="20"/>
      <c r="J273" s="19"/>
      <c r="K273" s="19"/>
      <c r="M273" s="18"/>
    </row>
    <row r="274" spans="2:13" ht="12.75">
      <c r="B274" s="4"/>
      <c r="C274" s="4"/>
      <c r="G274" s="19"/>
      <c r="H274" s="19"/>
      <c r="I274" s="20"/>
      <c r="J274" s="19"/>
      <c r="K274" s="19"/>
      <c r="M274" s="21"/>
    </row>
    <row r="275" spans="2:13" ht="12.75">
      <c r="B275" s="4"/>
      <c r="C275" s="4"/>
      <c r="G275" s="19"/>
      <c r="H275" s="19"/>
      <c r="I275" s="20"/>
      <c r="J275" s="19"/>
      <c r="K275" s="19"/>
      <c r="L275" s="16"/>
      <c r="M275" s="21"/>
    </row>
    <row r="276" spans="2:13" ht="12.75">
      <c r="B276" s="4"/>
      <c r="C276" s="4"/>
      <c r="G276" s="19"/>
      <c r="H276" s="19"/>
      <c r="I276" s="20"/>
      <c r="J276" s="19"/>
      <c r="K276" s="19"/>
      <c r="M276" s="52"/>
    </row>
    <row r="277" spans="2:13" ht="12.75">
      <c r="B277" s="4"/>
      <c r="C277" s="4"/>
      <c r="G277" s="19"/>
      <c r="H277" s="19"/>
      <c r="I277" s="19"/>
      <c r="J277" s="19"/>
      <c r="K277" s="19"/>
      <c r="M277" s="21"/>
    </row>
    <row r="278" spans="2:13" ht="12.75">
      <c r="B278" s="4"/>
      <c r="C278" s="4"/>
      <c r="G278" s="46"/>
      <c r="H278" s="6"/>
      <c r="I278" s="46"/>
      <c r="J278" s="6"/>
      <c r="K278" s="46"/>
      <c r="M278" s="18"/>
    </row>
    <row r="279" spans="2:13" ht="12.75">
      <c r="B279" s="4"/>
      <c r="C279" s="4"/>
      <c r="G279" s="5"/>
      <c r="H279" s="19"/>
      <c r="I279" s="20"/>
      <c r="J279" s="19"/>
      <c r="K279" s="19"/>
      <c r="M279" s="18"/>
    </row>
    <row r="280" spans="2:13" ht="12.75">
      <c r="B280" s="4"/>
      <c r="C280" s="4"/>
      <c r="G280" s="19"/>
      <c r="H280" s="19"/>
      <c r="I280" s="20"/>
      <c r="J280" s="19"/>
      <c r="K280" s="19"/>
      <c r="M280" s="18"/>
    </row>
    <row r="281" spans="2:13" ht="12.75">
      <c r="B281" s="4"/>
      <c r="C281" s="4"/>
      <c r="G281" s="19"/>
      <c r="H281" s="19"/>
      <c r="I281" s="20"/>
      <c r="J281" s="19"/>
      <c r="K281" s="19"/>
      <c r="M281" s="21"/>
    </row>
    <row r="283" spans="2:11" ht="12.75">
      <c r="B283" s="4"/>
      <c r="C283" s="4"/>
      <c r="E283" s="16"/>
      <c r="G283" s="52"/>
      <c r="H283" s="4"/>
      <c r="I283" s="52"/>
      <c r="J283" s="4"/>
      <c r="K283" s="52"/>
    </row>
    <row r="284" spans="2:11" ht="12.75">
      <c r="B284" s="4"/>
      <c r="C284" s="4"/>
      <c r="E284" s="16"/>
      <c r="G284" s="52"/>
      <c r="H284" s="4"/>
      <c r="I284" s="52"/>
      <c r="J284" s="4"/>
      <c r="K284" s="52"/>
    </row>
    <row r="285" spans="2:11" ht="12.75">
      <c r="B285" s="4"/>
      <c r="C285" s="4"/>
      <c r="E285" s="16"/>
      <c r="G285" s="52"/>
      <c r="H285" s="4"/>
      <c r="I285" s="52"/>
      <c r="J285" s="4"/>
      <c r="K285" s="52"/>
    </row>
    <row r="286" spans="2:11" ht="12.75">
      <c r="B286" s="4"/>
      <c r="C286" s="4"/>
      <c r="E286" s="16"/>
      <c r="G286" s="52"/>
      <c r="H286" s="4"/>
      <c r="I286" s="52"/>
      <c r="J286" s="4"/>
      <c r="K286" s="52"/>
    </row>
    <row r="287" spans="2:11" ht="12.75">
      <c r="B287" s="4"/>
      <c r="C287" s="4"/>
      <c r="E287" s="16"/>
      <c r="G287" s="52"/>
      <c r="H287" s="4"/>
      <c r="I287" s="52"/>
      <c r="J287" s="4"/>
      <c r="K287" s="52"/>
    </row>
    <row r="288" spans="2:11" ht="12.75">
      <c r="B288" s="4"/>
      <c r="C288" s="4"/>
      <c r="E288" s="16"/>
      <c r="G288" s="52"/>
      <c r="H288" s="4"/>
      <c r="I288" s="52"/>
      <c r="J288" s="4"/>
      <c r="K288" s="52"/>
    </row>
    <row r="289" spans="2:11" ht="12.75">
      <c r="B289" s="4"/>
      <c r="C289" s="4"/>
      <c r="E289" s="16"/>
      <c r="G289" s="52"/>
      <c r="H289" s="4"/>
      <c r="I289" s="52"/>
      <c r="J289" s="4"/>
      <c r="K289" s="52"/>
    </row>
    <row r="290" spans="2:11" ht="12.75">
      <c r="B290" s="4"/>
      <c r="C290" s="4"/>
      <c r="E290" s="16"/>
      <c r="G290" s="52"/>
      <c r="H290" s="4"/>
      <c r="I290" s="52"/>
      <c r="J290" s="4"/>
      <c r="K290" s="52"/>
    </row>
    <row r="291" spans="2:13" ht="12.75">
      <c r="B291" s="4"/>
      <c r="C291" s="4"/>
      <c r="E291" s="16"/>
      <c r="G291" s="52"/>
      <c r="H291" s="4"/>
      <c r="I291" s="52"/>
      <c r="J291" s="4"/>
      <c r="K291" s="52"/>
      <c r="M291" s="18"/>
    </row>
    <row r="292" spans="2:11" ht="12.75">
      <c r="B292" s="4"/>
      <c r="C292" s="4"/>
      <c r="E292" s="16"/>
      <c r="G292" s="52"/>
      <c r="H292" s="4"/>
      <c r="I292" s="52"/>
      <c r="J292" s="4"/>
      <c r="K292" s="52"/>
    </row>
    <row r="293" spans="2:11" ht="12.75">
      <c r="B293" s="4"/>
      <c r="C293" s="4"/>
      <c r="E293" s="16"/>
      <c r="G293" s="52"/>
      <c r="H293" s="4"/>
      <c r="I293" s="52"/>
      <c r="J293" s="4"/>
      <c r="K293" s="52"/>
    </row>
    <row r="294" spans="2:11" ht="12.75">
      <c r="B294" s="4"/>
      <c r="C294" s="4"/>
      <c r="E294" s="16"/>
      <c r="G294" s="52"/>
      <c r="H294" s="4"/>
      <c r="I294" s="52"/>
      <c r="J294" s="4"/>
      <c r="K294" s="52"/>
    </row>
    <row r="295" spans="2:11" ht="12.75">
      <c r="B295" s="4"/>
      <c r="C295" s="4"/>
      <c r="E295" s="16"/>
      <c r="G295" s="52"/>
      <c r="H295" s="4"/>
      <c r="I295" s="52"/>
      <c r="J295" s="4"/>
      <c r="K295" s="52"/>
    </row>
    <row r="296" spans="2:11" ht="12.75">
      <c r="B296" s="4"/>
      <c r="C296" s="4"/>
      <c r="E296" s="16"/>
      <c r="G296" s="52"/>
      <c r="H296" s="4"/>
      <c r="I296" s="52"/>
      <c r="J296" s="4"/>
      <c r="K296" s="52"/>
    </row>
    <row r="297" spans="2:11" ht="12.75">
      <c r="B297" s="4"/>
      <c r="C297" s="4"/>
      <c r="E297" s="16"/>
      <c r="G297" s="52"/>
      <c r="H297" s="4"/>
      <c r="I297" s="52"/>
      <c r="J297" s="4"/>
      <c r="K297" s="52"/>
    </row>
    <row r="298" spans="2:13" ht="12.75">
      <c r="B298" s="4"/>
      <c r="E298" s="16"/>
      <c r="G298" s="52"/>
      <c r="I298" s="52"/>
      <c r="K298" s="52"/>
      <c r="M298" s="52"/>
    </row>
    <row r="299" spans="2:13" ht="12.75">
      <c r="B299" s="4"/>
      <c r="E299" s="16"/>
      <c r="G299" s="52"/>
      <c r="I299" s="52"/>
      <c r="K299" s="52"/>
      <c r="M299" s="52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41"/>
  <sheetViews>
    <sheetView workbookViewId="0" topLeftCell="B1">
      <selection activeCell="D22" sqref="D22"/>
    </sheetView>
  </sheetViews>
  <sheetFormatPr defaultColWidth="9.140625" defaultRowHeight="12.75"/>
  <cols>
    <col min="1" max="1" width="9.140625" style="0" hidden="1" customWidth="1"/>
    <col min="2" max="2" width="19.57421875" style="0" customWidth="1"/>
    <col min="3" max="3" width="8.7109375" style="0" customWidth="1"/>
    <col min="5" max="5" width="2.8515625" style="0" customWidth="1"/>
    <col min="6" max="6" width="3.00390625" style="0" bestFit="1" customWidth="1"/>
    <col min="7" max="7" width="10.28125" style="0" customWidth="1"/>
    <col min="8" max="8" width="3.00390625" style="0" bestFit="1" customWidth="1"/>
    <col min="9" max="9" width="9.57421875" style="0" customWidth="1"/>
    <col min="10" max="10" width="2.421875" style="0" customWidth="1"/>
    <col min="11" max="11" width="10.140625" style="0" customWidth="1"/>
    <col min="12" max="12" width="2.8515625" style="0" customWidth="1"/>
    <col min="13" max="13" width="10.8515625" style="0" customWidth="1"/>
    <col min="14" max="14" width="2.140625" style="0" customWidth="1"/>
    <col min="16" max="16" width="3.00390625" style="0" customWidth="1"/>
  </cols>
  <sheetData>
    <row r="1" ht="12.75">
      <c r="B1" s="2" t="s">
        <v>194</v>
      </c>
    </row>
    <row r="3" spans="2:13" ht="12.75">
      <c r="B3" s="2" t="s">
        <v>177</v>
      </c>
      <c r="G3" s="90" t="s">
        <v>166</v>
      </c>
      <c r="H3" s="90"/>
      <c r="I3" s="90" t="s">
        <v>167</v>
      </c>
      <c r="J3" s="90"/>
      <c r="K3" s="90" t="s">
        <v>168</v>
      </c>
      <c r="L3" s="90"/>
      <c r="M3" s="90" t="s">
        <v>169</v>
      </c>
    </row>
    <row r="5" spans="1:61" s="84" customFormat="1" ht="12.75">
      <c r="A5" s="84" t="s">
        <v>177</v>
      </c>
      <c r="B5" s="84" t="s">
        <v>13</v>
      </c>
      <c r="C5" s="84" t="s">
        <v>205</v>
      </c>
      <c r="D5" s="84" t="s">
        <v>14</v>
      </c>
      <c r="F5" s="85" t="s">
        <v>180</v>
      </c>
      <c r="G5" s="84">
        <v>0.010800107136</v>
      </c>
      <c r="H5" s="85" t="s">
        <v>180</v>
      </c>
      <c r="I5" s="84">
        <v>0.019600194432</v>
      </c>
      <c r="J5" s="85" t="s">
        <v>180</v>
      </c>
      <c r="K5" s="84">
        <v>0.029700294624</v>
      </c>
      <c r="L5" s="85" t="s">
        <v>180</v>
      </c>
      <c r="M5" s="84">
        <f aca="true" t="shared" si="0" ref="M5:M10">AVERAGE(G5,I5,K5)</f>
        <v>0.020033532064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86" customFormat="1" ht="12.75">
      <c r="A6" s="86" t="s">
        <v>177</v>
      </c>
      <c r="B6" s="86" t="s">
        <v>156</v>
      </c>
      <c r="C6" s="84" t="s">
        <v>205</v>
      </c>
      <c r="D6" s="86" t="s">
        <v>16</v>
      </c>
      <c r="F6" s="85" t="s">
        <v>180</v>
      </c>
      <c r="G6" s="86">
        <v>10.2</v>
      </c>
      <c r="H6" s="85" t="s">
        <v>180</v>
      </c>
      <c r="I6" s="86">
        <v>7.2</v>
      </c>
      <c r="J6" s="85" t="s">
        <v>180</v>
      </c>
      <c r="K6" s="86">
        <v>11.9</v>
      </c>
      <c r="L6" s="85" t="s">
        <v>180</v>
      </c>
      <c r="M6" s="88">
        <f t="shared" si="0"/>
        <v>9.766666666666666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86" customFormat="1" ht="12.75">
      <c r="A7" s="86" t="s">
        <v>177</v>
      </c>
      <c r="B7" s="86" t="s">
        <v>155</v>
      </c>
      <c r="C7" s="84" t="s">
        <v>205</v>
      </c>
      <c r="D7" s="86" t="s">
        <v>16</v>
      </c>
      <c r="F7" s="85" t="s">
        <v>180</v>
      </c>
      <c r="G7" s="86">
        <v>7.5</v>
      </c>
      <c r="H7" s="85" t="s">
        <v>180</v>
      </c>
      <c r="I7" s="86">
        <v>6.8</v>
      </c>
      <c r="J7" s="85" t="s">
        <v>180</v>
      </c>
      <c r="K7" s="86">
        <v>8.7</v>
      </c>
      <c r="L7" s="85" t="s">
        <v>180</v>
      </c>
      <c r="M7" s="88">
        <f t="shared" si="0"/>
        <v>7.666666666666667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86" customFormat="1" ht="12.75">
      <c r="A8" s="86" t="s">
        <v>177</v>
      </c>
      <c r="B8" s="86" t="s">
        <v>25</v>
      </c>
      <c r="C8" s="84" t="s">
        <v>205</v>
      </c>
      <c r="D8" s="86" t="s">
        <v>16</v>
      </c>
      <c r="F8" s="85" t="s">
        <v>180</v>
      </c>
      <c r="G8" s="86">
        <v>1617</v>
      </c>
      <c r="H8" s="85" t="s">
        <v>180</v>
      </c>
      <c r="I8" s="86">
        <v>1619</v>
      </c>
      <c r="J8" s="85" t="s">
        <v>180</v>
      </c>
      <c r="K8" s="86">
        <v>1618</v>
      </c>
      <c r="L8" s="85" t="s">
        <v>180</v>
      </c>
      <c r="M8" s="88">
        <f t="shared" si="0"/>
        <v>1618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86" customFormat="1" ht="12.75">
      <c r="A9" s="86" t="s">
        <v>177</v>
      </c>
      <c r="B9" s="86" t="s">
        <v>26</v>
      </c>
      <c r="C9" s="84" t="s">
        <v>205</v>
      </c>
      <c r="D9" s="86" t="s">
        <v>16</v>
      </c>
      <c r="F9" s="85" t="s">
        <v>180</v>
      </c>
      <c r="G9" s="86">
        <v>1.25</v>
      </c>
      <c r="H9" s="85" t="s">
        <v>180</v>
      </c>
      <c r="I9" s="86">
        <v>0.292</v>
      </c>
      <c r="J9" s="85" t="s">
        <v>180</v>
      </c>
      <c r="K9" s="86">
        <v>0.399</v>
      </c>
      <c r="L9" s="85" t="s">
        <v>180</v>
      </c>
      <c r="M9" s="88">
        <f t="shared" si="0"/>
        <v>0.647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2:61" s="86" customFormat="1" ht="12.75">
      <c r="B10" s="86" t="s">
        <v>56</v>
      </c>
      <c r="C10" s="84" t="s">
        <v>205</v>
      </c>
      <c r="D10" s="86" t="s">
        <v>16</v>
      </c>
      <c r="F10" s="85"/>
      <c r="G10" s="86">
        <f>G8+2*G9</f>
        <v>1619.5</v>
      </c>
      <c r="H10" s="85"/>
      <c r="I10" s="86">
        <f>I8+2*I9</f>
        <v>1619.584</v>
      </c>
      <c r="J10" s="85"/>
      <c r="K10" s="86">
        <f>K8+2*K9</f>
        <v>1618.798</v>
      </c>
      <c r="L10" s="85"/>
      <c r="M10" s="88">
        <f t="shared" si="0"/>
        <v>1619.2939999999999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86" customFormat="1" ht="12.75">
      <c r="A11" s="86" t="s">
        <v>177</v>
      </c>
      <c r="B11" s="86" t="s">
        <v>100</v>
      </c>
      <c r="C11" s="86" t="s">
        <v>206</v>
      </c>
      <c r="D11" s="86" t="s">
        <v>34</v>
      </c>
      <c r="F11" s="85" t="s">
        <v>180</v>
      </c>
      <c r="G11" s="86">
        <v>26.96071081835843</v>
      </c>
      <c r="H11" s="85" t="s">
        <v>180</v>
      </c>
      <c r="I11" s="86">
        <v>20.138146010231747</v>
      </c>
      <c r="J11" s="85" t="s">
        <v>180</v>
      </c>
      <c r="K11" s="86">
        <v>23.093898912401833</v>
      </c>
      <c r="L11" s="85" t="s">
        <v>180</v>
      </c>
      <c r="M11" s="88">
        <f aca="true" t="shared" si="1" ref="M11:M18">AVERAGE(G11,I11,K11)</f>
        <v>23.397585246997334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86" customFormat="1" ht="12.75">
      <c r="A12" s="86" t="s">
        <v>177</v>
      </c>
      <c r="B12" s="86" t="s">
        <v>99</v>
      </c>
      <c r="C12" s="86" t="s">
        <v>206</v>
      </c>
      <c r="D12" s="86" t="s">
        <v>34</v>
      </c>
      <c r="F12" s="85" t="s">
        <v>180</v>
      </c>
      <c r="G12" s="86">
        <v>42.87727503642546</v>
      </c>
      <c r="H12" s="85" t="s">
        <v>180</v>
      </c>
      <c r="I12" s="86">
        <v>51.284281800976</v>
      </c>
      <c r="J12" s="85" t="s">
        <v>180</v>
      </c>
      <c r="K12" s="86">
        <v>52.08119636031273</v>
      </c>
      <c r="L12" s="85" t="s">
        <v>180</v>
      </c>
      <c r="M12" s="88">
        <f t="shared" si="1"/>
        <v>48.747584399238065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86" customFormat="1" ht="12.75">
      <c r="A13" s="86" t="s">
        <v>177</v>
      </c>
      <c r="B13" s="86" t="s">
        <v>101</v>
      </c>
      <c r="C13" s="86" t="s">
        <v>206</v>
      </c>
      <c r="D13" s="86" t="s">
        <v>34</v>
      </c>
      <c r="F13" s="85" t="s">
        <v>180</v>
      </c>
      <c r="G13" s="86">
        <v>47.165002540068</v>
      </c>
      <c r="H13" s="85" t="s">
        <v>180</v>
      </c>
      <c r="I13" s="86">
        <v>56.075994999552</v>
      </c>
      <c r="J13" s="85" t="s">
        <v>180</v>
      </c>
      <c r="K13" s="86">
        <v>54.41114461853726</v>
      </c>
      <c r="L13" s="85" t="s">
        <v>180</v>
      </c>
      <c r="M13" s="88">
        <f t="shared" si="1"/>
        <v>52.55071405271909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86" customFormat="1" ht="12.75">
      <c r="A14" s="86" t="s">
        <v>177</v>
      </c>
      <c r="B14" s="86" t="s">
        <v>102</v>
      </c>
      <c r="C14" s="86" t="s">
        <v>206</v>
      </c>
      <c r="D14" s="86" t="s">
        <v>34</v>
      </c>
      <c r="F14" s="85" t="s">
        <v>180</v>
      </c>
      <c r="G14" s="86">
        <v>15.786633081593</v>
      </c>
      <c r="H14" s="85" t="s">
        <v>180</v>
      </c>
      <c r="I14" s="86">
        <v>4.144184387957658</v>
      </c>
      <c r="J14" s="85" t="s">
        <v>180</v>
      </c>
      <c r="K14" s="86">
        <v>5.208119636031274</v>
      </c>
      <c r="L14" s="85" t="s">
        <v>180</v>
      </c>
      <c r="M14" s="88">
        <f t="shared" si="1"/>
        <v>8.379645701860644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86" customFormat="1" ht="12.75">
      <c r="A15" s="86" t="s">
        <v>177</v>
      </c>
      <c r="B15" s="86" t="s">
        <v>103</v>
      </c>
      <c r="C15" s="86" t="s">
        <v>206</v>
      </c>
      <c r="D15" s="86" t="s">
        <v>34</v>
      </c>
      <c r="F15" s="85" t="s">
        <v>180</v>
      </c>
      <c r="G15" s="86">
        <v>467.10243562409</v>
      </c>
      <c r="H15" s="85" t="s">
        <v>180</v>
      </c>
      <c r="I15" s="86">
        <v>172.8901924351086</v>
      </c>
      <c r="J15" s="85" t="s">
        <v>180</v>
      </c>
      <c r="K15" s="86">
        <v>132.94410649869306</v>
      </c>
      <c r="L15" s="85" t="s">
        <v>180</v>
      </c>
      <c r="M15" s="88">
        <f t="shared" si="1"/>
        <v>257.64557818596387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86" customFormat="1" ht="12.75">
      <c r="A16" s="86" t="s">
        <v>177</v>
      </c>
      <c r="B16" s="86" t="s">
        <v>104</v>
      </c>
      <c r="C16" s="86" t="s">
        <v>206</v>
      </c>
      <c r="D16" s="86" t="s">
        <v>34</v>
      </c>
      <c r="F16" s="85" t="s">
        <v>180</v>
      </c>
      <c r="G16" s="86">
        <v>50.348315383681395</v>
      </c>
      <c r="H16" s="85" t="s">
        <v>180</v>
      </c>
      <c r="I16" s="86">
        <v>53.421126876016686</v>
      </c>
      <c r="J16" s="85" t="s">
        <v>180</v>
      </c>
      <c r="K16" s="86">
        <v>56.94667654660511</v>
      </c>
      <c r="L16" s="85" t="s">
        <v>180</v>
      </c>
      <c r="M16" s="88">
        <f t="shared" si="1"/>
        <v>53.572039602101064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86" customFormat="1" ht="12.75">
      <c r="A17" s="86" t="s">
        <v>177</v>
      </c>
      <c r="B17" s="86" t="s">
        <v>181</v>
      </c>
      <c r="C17" s="86" t="s">
        <v>207</v>
      </c>
      <c r="D17" s="86" t="s">
        <v>34</v>
      </c>
      <c r="F17" s="85" t="s">
        <v>180</v>
      </c>
      <c r="G17" s="86">
        <v>30.21169128363605</v>
      </c>
      <c r="H17" s="85" t="s">
        <v>180</v>
      </c>
      <c r="I17" s="86">
        <v>17.841144323075227</v>
      </c>
      <c r="J17" s="85" t="s">
        <v>180</v>
      </c>
      <c r="K17" s="86">
        <v>24.3880734954234</v>
      </c>
      <c r="L17" s="85" t="s">
        <v>180</v>
      </c>
      <c r="M17" s="88">
        <f t="shared" si="1"/>
        <v>24.146969700711555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86" customFormat="1" ht="12.75">
      <c r="A18" s="86" t="s">
        <v>177</v>
      </c>
      <c r="B18" s="86" t="s">
        <v>106</v>
      </c>
      <c r="C18" s="86" t="s">
        <v>206</v>
      </c>
      <c r="D18" s="86" t="s">
        <v>34</v>
      </c>
      <c r="F18" s="85" t="s">
        <v>180</v>
      </c>
      <c r="G18" s="86">
        <v>263.11055135988346</v>
      </c>
      <c r="H18" s="85" t="s">
        <v>180</v>
      </c>
      <c r="I18" s="86">
        <v>666.9546749369357</v>
      </c>
      <c r="J18" s="85" t="s">
        <v>180</v>
      </c>
      <c r="K18" s="86">
        <v>842.8930463576932</v>
      </c>
      <c r="L18" s="85" t="s">
        <v>180</v>
      </c>
      <c r="M18" s="88">
        <f t="shared" si="1"/>
        <v>590.9860908848374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86" customFormat="1" ht="12.75">
      <c r="A19" s="86" t="s">
        <v>177</v>
      </c>
      <c r="B19" s="86" t="s">
        <v>107</v>
      </c>
      <c r="C19" s="86" t="s">
        <v>206</v>
      </c>
      <c r="D19" s="86" t="s">
        <v>34</v>
      </c>
      <c r="F19" s="85" t="s">
        <v>180</v>
      </c>
      <c r="G19" s="86">
        <v>18.190359106362315</v>
      </c>
      <c r="H19" s="85" t="s">
        <v>180</v>
      </c>
      <c r="I19" s="86">
        <v>100.36696564585</v>
      </c>
      <c r="J19" s="85" t="s">
        <v>180</v>
      </c>
      <c r="K19" s="86">
        <v>21.928924783289578</v>
      </c>
      <c r="L19" s="85" t="s">
        <v>180</v>
      </c>
      <c r="M19" s="86">
        <f>AVERAGE(G19,I19,K19)</f>
        <v>46.828749845167295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86" customFormat="1" ht="12.75">
      <c r="A20" s="86" t="s">
        <v>177</v>
      </c>
      <c r="B20" s="86" t="s">
        <v>110</v>
      </c>
      <c r="C20" s="86" t="s">
        <v>206</v>
      </c>
      <c r="D20" s="86" t="s">
        <v>34</v>
      </c>
      <c r="F20" s="85" t="s">
        <v>98</v>
      </c>
      <c r="G20" s="86">
        <v>2.9234505706653713</v>
      </c>
      <c r="H20" s="85" t="s">
        <v>98</v>
      </c>
      <c r="I20" s="86">
        <v>2.7196210045972142</v>
      </c>
      <c r="J20" s="85" t="s">
        <v>180</v>
      </c>
      <c r="K20" s="86">
        <v>3.2893387174934365</v>
      </c>
      <c r="L20" s="85" t="s">
        <v>180</v>
      </c>
      <c r="M20" s="88">
        <f>AVERAGE(G20,I20,K20)</f>
        <v>2.9774700975853405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86" customFormat="1" ht="12.75">
      <c r="A21" s="86" t="s">
        <v>177</v>
      </c>
      <c r="B21" s="86" t="s">
        <v>111</v>
      </c>
      <c r="C21" s="86" t="s">
        <v>206</v>
      </c>
      <c r="D21" s="86" t="s">
        <v>34</v>
      </c>
      <c r="F21" s="85" t="s">
        <v>180</v>
      </c>
      <c r="G21" s="86">
        <v>9.160145121418164</v>
      </c>
      <c r="H21" s="85" t="s">
        <v>180</v>
      </c>
      <c r="I21" s="86">
        <v>4.597454555390527</v>
      </c>
      <c r="J21" s="85" t="s">
        <v>180</v>
      </c>
      <c r="K21" s="86">
        <v>2.6725877079634164</v>
      </c>
      <c r="L21" s="85" t="s">
        <v>180</v>
      </c>
      <c r="M21" s="88">
        <f>AVERAGE(G21,I21,K21)</f>
        <v>5.476729128257369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2:61" s="86" customFormat="1" ht="12.75">
      <c r="B22" s="86" t="s">
        <v>35</v>
      </c>
      <c r="C22" s="86" t="s">
        <v>206</v>
      </c>
      <c r="D22" s="86" t="s">
        <v>34</v>
      </c>
      <c r="F22" s="85"/>
      <c r="G22" s="86">
        <f>G15+G18</f>
        <v>730.2129869839735</v>
      </c>
      <c r="H22" s="85"/>
      <c r="I22" s="86">
        <f>I15+I18</f>
        <v>839.8448673720443</v>
      </c>
      <c r="J22" s="85"/>
      <c r="K22" s="86">
        <f>K15+K18</f>
        <v>975.8371528563862</v>
      </c>
      <c r="L22" s="85"/>
      <c r="M22" s="86">
        <f>AVERAGE(G22,I22,K22)</f>
        <v>848.6316690708013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2:61" s="86" customFormat="1" ht="12.75">
      <c r="B23" s="86" t="s">
        <v>36</v>
      </c>
      <c r="C23" s="86" t="s">
        <v>206</v>
      </c>
      <c r="D23" s="86" t="s">
        <v>34</v>
      </c>
      <c r="F23" s="85"/>
      <c r="G23" s="86">
        <f>G12+G14+G16</f>
        <v>109.01222350169985</v>
      </c>
      <c r="H23" s="85"/>
      <c r="I23" s="86">
        <f>I12+I14+I16</f>
        <v>108.84959306495034</v>
      </c>
      <c r="J23" s="85"/>
      <c r="K23" s="86">
        <f>K12+K14+K16</f>
        <v>114.2359925429491</v>
      </c>
      <c r="L23" s="85"/>
      <c r="M23" s="86">
        <f>AVERAGE(G23,I23,K23)</f>
        <v>110.69926970319977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7:61" s="87" customFormat="1" ht="12.75">
      <c r="G24" s="85"/>
      <c r="H24" s="85"/>
      <c r="I24" s="85"/>
      <c r="J24" s="85"/>
      <c r="K24" s="85"/>
      <c r="L24" s="85"/>
      <c r="M24" s="8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2:61" s="87" customFormat="1" ht="12.75">
      <c r="B25" s="87" t="s">
        <v>57</v>
      </c>
      <c r="C25" s="87" t="s">
        <v>183</v>
      </c>
      <c r="D25" s="87" t="s">
        <v>205</v>
      </c>
      <c r="G25" s="85"/>
      <c r="H25" s="85"/>
      <c r="I25" s="85"/>
      <c r="J25" s="85"/>
      <c r="K25" s="85"/>
      <c r="L25" s="85"/>
      <c r="M25" s="8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87" customFormat="1" ht="12.75">
      <c r="A26" s="87" t="s">
        <v>177</v>
      </c>
      <c r="B26" s="4" t="s">
        <v>52</v>
      </c>
      <c r="C26" s="4"/>
      <c r="D26" s="4" t="s">
        <v>17</v>
      </c>
      <c r="G26" s="85">
        <v>22681</v>
      </c>
      <c r="H26" s="85"/>
      <c r="I26" s="85">
        <v>23342</v>
      </c>
      <c r="J26" s="85"/>
      <c r="K26" s="85">
        <v>23666</v>
      </c>
      <c r="L26" s="85"/>
      <c r="M26" s="8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87" customFormat="1" ht="12.75">
      <c r="A27" s="87" t="s">
        <v>177</v>
      </c>
      <c r="B27" s="4" t="s">
        <v>54</v>
      </c>
      <c r="C27" s="4"/>
      <c r="D27" s="4" t="s">
        <v>18</v>
      </c>
      <c r="G27" s="85">
        <v>15.5</v>
      </c>
      <c r="H27" s="85"/>
      <c r="I27" s="85">
        <v>15.6</v>
      </c>
      <c r="J27" s="85"/>
      <c r="K27" s="85">
        <v>15.8</v>
      </c>
      <c r="L27" s="85"/>
      <c r="M27" s="8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87" customFormat="1" ht="12.75">
      <c r="A28" s="87" t="s">
        <v>177</v>
      </c>
      <c r="B28" s="4" t="s">
        <v>55</v>
      </c>
      <c r="C28" s="4"/>
      <c r="D28" s="4" t="s">
        <v>18</v>
      </c>
      <c r="G28" s="85">
        <v>6.6</v>
      </c>
      <c r="H28" s="85"/>
      <c r="I28" s="85">
        <v>6.1</v>
      </c>
      <c r="J28" s="85"/>
      <c r="K28" s="85">
        <v>5.9</v>
      </c>
      <c r="L28" s="85"/>
      <c r="M28" s="8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87" customFormat="1" ht="12.75">
      <c r="A29" s="87" t="s">
        <v>177</v>
      </c>
      <c r="B29" s="4" t="s">
        <v>51</v>
      </c>
      <c r="C29" s="4"/>
      <c r="D29" s="4" t="s">
        <v>19</v>
      </c>
      <c r="G29" s="85">
        <v>323</v>
      </c>
      <c r="H29" s="85"/>
      <c r="I29" s="85">
        <v>329</v>
      </c>
      <c r="J29" s="85"/>
      <c r="K29" s="85">
        <v>329</v>
      </c>
      <c r="L29" s="85"/>
      <c r="M29" s="8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7:61" s="87" customFormat="1" ht="12.75">
      <c r="G30" s="85"/>
      <c r="H30" s="85"/>
      <c r="I30" s="85"/>
      <c r="J30" s="85"/>
      <c r="K30" s="85"/>
      <c r="L30" s="85"/>
      <c r="M30" s="8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2:61" s="87" customFormat="1" ht="12.75">
      <c r="B31" s="87" t="s">
        <v>57</v>
      </c>
      <c r="C31" s="87" t="s">
        <v>114</v>
      </c>
      <c r="D31" s="87" t="s">
        <v>206</v>
      </c>
      <c r="G31" s="85"/>
      <c r="H31" s="85"/>
      <c r="I31" s="85"/>
      <c r="J31" s="85"/>
      <c r="K31" s="85"/>
      <c r="L31" s="85"/>
      <c r="M31" s="8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87" customFormat="1" ht="12.75">
      <c r="A32" s="87" t="s">
        <v>177</v>
      </c>
      <c r="B32" s="4" t="s">
        <v>52</v>
      </c>
      <c r="C32" s="4"/>
      <c r="D32" s="4" t="s">
        <v>17</v>
      </c>
      <c r="G32" s="85">
        <v>22649</v>
      </c>
      <c r="H32" s="85"/>
      <c r="I32" s="85">
        <v>23565</v>
      </c>
      <c r="J32" s="85"/>
      <c r="K32" s="85">
        <v>22687</v>
      </c>
      <c r="L32" s="85"/>
      <c r="M32" s="8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87" customFormat="1" ht="12.75">
      <c r="A33" s="87" t="s">
        <v>177</v>
      </c>
      <c r="B33" s="4" t="s">
        <v>54</v>
      </c>
      <c r="C33" s="4"/>
      <c r="D33" s="4" t="s">
        <v>18</v>
      </c>
      <c r="G33" s="85">
        <v>15.4</v>
      </c>
      <c r="H33" s="85"/>
      <c r="I33" s="85">
        <v>15.6</v>
      </c>
      <c r="J33" s="85"/>
      <c r="K33" s="85">
        <v>15.7</v>
      </c>
      <c r="L33" s="85"/>
      <c r="M33" s="8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87" customFormat="1" ht="12.75">
      <c r="A34" s="87" t="s">
        <v>177</v>
      </c>
      <c r="B34" s="4" t="s">
        <v>55</v>
      </c>
      <c r="C34" s="4"/>
      <c r="D34" s="4" t="s">
        <v>18</v>
      </c>
      <c r="G34" s="85">
        <v>6.5</v>
      </c>
      <c r="H34" s="85"/>
      <c r="I34" s="85">
        <v>5.1</v>
      </c>
      <c r="J34" s="85"/>
      <c r="K34" s="85">
        <v>6.7</v>
      </c>
      <c r="L34" s="85"/>
      <c r="M34" s="85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87" customFormat="1" ht="12.75">
      <c r="A35" s="87" t="s">
        <v>177</v>
      </c>
      <c r="B35" s="4" t="s">
        <v>51</v>
      </c>
      <c r="C35" s="4"/>
      <c r="D35" s="4" t="s">
        <v>19</v>
      </c>
      <c r="G35" s="85">
        <v>325</v>
      </c>
      <c r="H35" s="85"/>
      <c r="I35" s="85">
        <v>322</v>
      </c>
      <c r="J35" s="85"/>
      <c r="K35" s="85">
        <v>329</v>
      </c>
      <c r="L35" s="85"/>
      <c r="M35" s="8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7" spans="2:4" ht="12.75">
      <c r="B37" s="86" t="s">
        <v>57</v>
      </c>
      <c r="C37" s="87" t="s">
        <v>182</v>
      </c>
      <c r="D37" s="86" t="s">
        <v>207</v>
      </c>
    </row>
    <row r="38" spans="1:61" s="87" customFormat="1" ht="12.75">
      <c r="A38" s="87" t="s">
        <v>177</v>
      </c>
      <c r="B38" s="4" t="s">
        <v>52</v>
      </c>
      <c r="C38" s="4"/>
      <c r="D38" s="4" t="s">
        <v>17</v>
      </c>
      <c r="G38" s="85">
        <v>21446</v>
      </c>
      <c r="H38" s="85"/>
      <c r="I38" s="85">
        <v>22049</v>
      </c>
      <c r="J38" s="85"/>
      <c r="K38" s="85">
        <v>24887</v>
      </c>
      <c r="L38" s="85"/>
      <c r="M38" s="8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87" customFormat="1" ht="12.75">
      <c r="A39" s="87" t="s">
        <v>177</v>
      </c>
      <c r="B39" s="4" t="s">
        <v>54</v>
      </c>
      <c r="C39" s="4"/>
      <c r="D39" s="4" t="s">
        <v>18</v>
      </c>
      <c r="G39" s="85">
        <v>15.4</v>
      </c>
      <c r="H39" s="85"/>
      <c r="I39" s="85">
        <v>15.6</v>
      </c>
      <c r="J39" s="85"/>
      <c r="K39" s="85">
        <v>16</v>
      </c>
      <c r="L39" s="85"/>
      <c r="M39" s="8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87" customFormat="1" ht="12.75">
      <c r="A40" s="87" t="s">
        <v>177</v>
      </c>
      <c r="B40" s="4" t="s">
        <v>55</v>
      </c>
      <c r="C40" s="4"/>
      <c r="D40" s="4" t="s">
        <v>18</v>
      </c>
      <c r="G40" s="85">
        <v>11.3</v>
      </c>
      <c r="H40" s="85"/>
      <c r="I40" s="85">
        <v>8.3</v>
      </c>
      <c r="J40" s="85"/>
      <c r="K40" s="85">
        <v>7.3</v>
      </c>
      <c r="L40" s="85"/>
      <c r="M40" s="8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87" customFormat="1" ht="12.75">
      <c r="A41" s="87" t="s">
        <v>177</v>
      </c>
      <c r="B41" s="4" t="s">
        <v>51</v>
      </c>
      <c r="C41" s="4"/>
      <c r="D41" s="4" t="s">
        <v>19</v>
      </c>
      <c r="G41" s="85">
        <v>324</v>
      </c>
      <c r="H41" s="85"/>
      <c r="I41" s="85">
        <v>325</v>
      </c>
      <c r="J41" s="85"/>
      <c r="K41" s="85">
        <v>335</v>
      </c>
      <c r="L41" s="85"/>
      <c r="M41" s="85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74"/>
  <sheetViews>
    <sheetView workbookViewId="0" topLeftCell="B1">
      <selection activeCell="D22" sqref="D22"/>
    </sheetView>
  </sheetViews>
  <sheetFormatPr defaultColWidth="9.140625" defaultRowHeight="12.75"/>
  <cols>
    <col min="1" max="1" width="2.421875" style="14" hidden="1" customWidth="1"/>
    <col min="2" max="2" width="20.57421875" style="4" customWidth="1"/>
    <col min="3" max="3" width="4.57421875" style="4" customWidth="1"/>
    <col min="4" max="4" width="8.28125" style="4" customWidth="1"/>
    <col min="5" max="5" width="3.8515625" style="14" customWidth="1"/>
    <col min="6" max="6" width="8.421875" style="19" customWidth="1"/>
    <col min="7" max="7" width="3.8515625" style="16" customWidth="1"/>
    <col min="8" max="8" width="9.00390625" style="14" customWidth="1"/>
    <col min="9" max="9" width="3.8515625" style="14" customWidth="1"/>
    <col min="10" max="10" width="8.8515625" style="14" customWidth="1"/>
    <col min="11" max="11" width="4.28125" style="14" customWidth="1"/>
    <col min="12" max="12" width="8.7109375" style="14" customWidth="1"/>
    <col min="13" max="13" width="3.7109375" style="14" customWidth="1"/>
    <col min="14" max="14" width="8.8515625" style="14" customWidth="1"/>
    <col min="15" max="15" width="3.8515625" style="14" customWidth="1"/>
    <col min="16" max="16" width="8.28125" style="14" customWidth="1"/>
    <col min="17" max="17" width="1.421875" style="14" customWidth="1"/>
    <col min="18" max="18" width="8.140625" style="14" customWidth="1"/>
    <col min="19" max="19" width="1.28515625" style="14" customWidth="1"/>
    <col min="20" max="20" width="8.28125" style="14" customWidth="1"/>
    <col min="21" max="21" width="2.140625" style="14" customWidth="1"/>
    <col min="22" max="22" width="7.7109375" style="14" customWidth="1"/>
    <col min="23" max="23" width="4.7109375" style="14" customWidth="1"/>
    <col min="24" max="24" width="8.140625" style="14" customWidth="1"/>
    <col min="25" max="25" width="4.00390625" style="14" customWidth="1"/>
    <col min="26" max="26" width="8.57421875" style="14" customWidth="1"/>
    <col min="27" max="27" width="3.8515625" style="14" customWidth="1"/>
    <col min="28" max="28" width="9.00390625" style="14" customWidth="1"/>
    <col min="29" max="29" width="3.7109375" style="14" customWidth="1"/>
    <col min="30" max="30" width="9.7109375" style="21" customWidth="1"/>
    <col min="31" max="31" width="7.00390625" style="14" customWidth="1"/>
    <col min="32" max="16384" width="8.8515625" style="14" customWidth="1"/>
  </cols>
  <sheetData>
    <row r="1" spans="2:3" ht="12.75">
      <c r="B1" s="17" t="s">
        <v>195</v>
      </c>
      <c r="C1" s="17"/>
    </row>
    <row r="2" ht="12.75">
      <c r="D2" s="16"/>
    </row>
    <row r="4" spans="1:30" ht="12.75">
      <c r="A4" s="14" t="s">
        <v>59</v>
      </c>
      <c r="B4" s="17" t="s">
        <v>137</v>
      </c>
      <c r="C4" s="4" t="s">
        <v>58</v>
      </c>
      <c r="F4" s="16" t="s">
        <v>166</v>
      </c>
      <c r="H4" s="16" t="s">
        <v>167</v>
      </c>
      <c r="I4" s="16"/>
      <c r="J4" s="16" t="s">
        <v>168</v>
      </c>
      <c r="L4" s="16" t="s">
        <v>166</v>
      </c>
      <c r="M4" s="16"/>
      <c r="N4" s="16" t="s">
        <v>167</v>
      </c>
      <c r="O4" s="16"/>
      <c r="P4" s="16" t="s">
        <v>168</v>
      </c>
      <c r="Q4" s="96"/>
      <c r="R4" s="16" t="s">
        <v>166</v>
      </c>
      <c r="S4" s="16"/>
      <c r="T4" s="16" t="s">
        <v>167</v>
      </c>
      <c r="U4" s="16"/>
      <c r="V4" s="16" t="s">
        <v>168</v>
      </c>
      <c r="W4" s="96"/>
      <c r="X4" s="16" t="s">
        <v>166</v>
      </c>
      <c r="Y4" s="16"/>
      <c r="Z4" s="16" t="s">
        <v>167</v>
      </c>
      <c r="AA4" s="16"/>
      <c r="AB4" s="16" t="s">
        <v>168</v>
      </c>
      <c r="AD4" s="102" t="s">
        <v>169</v>
      </c>
    </row>
    <row r="5" ht="12.75">
      <c r="A5" s="13"/>
    </row>
    <row r="6" spans="1:30" ht="12.75">
      <c r="A6" s="13"/>
      <c r="B6" s="4" t="s">
        <v>225</v>
      </c>
      <c r="H6" s="19"/>
      <c r="J6" s="19"/>
      <c r="X6" s="14" t="s">
        <v>227</v>
      </c>
      <c r="Z6" s="14" t="s">
        <v>227</v>
      </c>
      <c r="AB6" s="14" t="s">
        <v>227</v>
      </c>
      <c r="AD6" s="21" t="s">
        <v>227</v>
      </c>
    </row>
    <row r="7" spans="1:30" ht="12.75">
      <c r="A7" s="13"/>
      <c r="B7" s="4" t="s">
        <v>226</v>
      </c>
      <c r="H7" s="19"/>
      <c r="J7" s="19"/>
      <c r="X7" s="14" t="s">
        <v>62</v>
      </c>
      <c r="Z7" s="14" t="s">
        <v>62</v>
      </c>
      <c r="AB7" s="14" t="s">
        <v>62</v>
      </c>
      <c r="AD7" s="21" t="s">
        <v>62</v>
      </c>
    </row>
    <row r="8" spans="1:30" ht="12.75">
      <c r="A8" s="13"/>
      <c r="B8" s="4" t="s">
        <v>233</v>
      </c>
      <c r="F8" s="19" t="s">
        <v>234</v>
      </c>
      <c r="H8" s="19" t="s">
        <v>234</v>
      </c>
      <c r="J8" s="19" t="s">
        <v>234</v>
      </c>
      <c r="L8" s="14" t="s">
        <v>40</v>
      </c>
      <c r="N8" s="14" t="s">
        <v>40</v>
      </c>
      <c r="P8" s="14" t="s">
        <v>40</v>
      </c>
      <c r="R8" s="14" t="s">
        <v>33</v>
      </c>
      <c r="T8" s="14" t="s">
        <v>33</v>
      </c>
      <c r="V8" s="14" t="s">
        <v>33</v>
      </c>
      <c r="X8" s="14" t="s">
        <v>62</v>
      </c>
      <c r="Z8" s="14" t="s">
        <v>62</v>
      </c>
      <c r="AB8" s="14" t="s">
        <v>62</v>
      </c>
      <c r="AD8" s="21" t="s">
        <v>62</v>
      </c>
    </row>
    <row r="9" spans="2:30" ht="25.5">
      <c r="B9" s="108" t="s">
        <v>20</v>
      </c>
      <c r="C9" s="17"/>
      <c r="D9" s="14"/>
      <c r="F9" s="78" t="s">
        <v>154</v>
      </c>
      <c r="H9" s="78" t="s">
        <v>154</v>
      </c>
      <c r="J9" s="78" t="s">
        <v>154</v>
      </c>
      <c r="K9" s="19"/>
      <c r="L9" s="78" t="s">
        <v>123</v>
      </c>
      <c r="M9" s="16"/>
      <c r="N9" s="78" t="s">
        <v>123</v>
      </c>
      <c r="P9" s="78" t="s">
        <v>123</v>
      </c>
      <c r="Q9" s="17"/>
      <c r="R9" s="96" t="s">
        <v>33</v>
      </c>
      <c r="S9" s="96"/>
      <c r="T9" s="96" t="s">
        <v>33</v>
      </c>
      <c r="U9" s="96"/>
      <c r="V9" s="96" t="s">
        <v>33</v>
      </c>
      <c r="W9" s="17"/>
      <c r="X9" s="96" t="s">
        <v>62</v>
      </c>
      <c r="Y9" s="96"/>
      <c r="Z9" s="96" t="s">
        <v>62</v>
      </c>
      <c r="AA9" s="96"/>
      <c r="AB9" s="96" t="s">
        <v>62</v>
      </c>
      <c r="AD9" s="102" t="s">
        <v>62</v>
      </c>
    </row>
    <row r="10" spans="2:28" ht="12.75">
      <c r="B10" s="4" t="s">
        <v>61</v>
      </c>
      <c r="D10" s="4" t="s">
        <v>239</v>
      </c>
      <c r="H10" s="19"/>
      <c r="J10" s="19"/>
      <c r="L10" s="19">
        <v>44.47</v>
      </c>
      <c r="M10" s="16"/>
      <c r="N10" s="19">
        <v>46.4</v>
      </c>
      <c r="P10" s="19">
        <v>44.55</v>
      </c>
      <c r="Q10" s="4"/>
      <c r="R10" s="19"/>
      <c r="S10" s="16"/>
      <c r="X10" s="7"/>
      <c r="Y10" s="16"/>
      <c r="Z10" s="7"/>
      <c r="AA10" s="19"/>
      <c r="AB10" s="7"/>
    </row>
    <row r="11" spans="2:30" ht="12.75">
      <c r="B11" s="4" t="s">
        <v>115</v>
      </c>
      <c r="D11" s="4" t="s">
        <v>116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9"/>
    </row>
    <row r="12" spans="2:30" ht="12.75">
      <c r="B12" s="4" t="s">
        <v>21</v>
      </c>
      <c r="D12" s="4" t="s">
        <v>22</v>
      </c>
      <c r="F12" s="9"/>
      <c r="G12" s="9"/>
      <c r="H12" s="9"/>
      <c r="I12" s="9"/>
      <c r="J12" s="9"/>
      <c r="K12" s="9"/>
      <c r="L12" s="9">
        <v>10418</v>
      </c>
      <c r="M12" s="9"/>
      <c r="N12" s="9">
        <v>10418</v>
      </c>
      <c r="O12" s="9"/>
      <c r="P12" s="9">
        <v>10418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9"/>
    </row>
    <row r="13" spans="2:30" ht="12.75">
      <c r="B13" s="4" t="s">
        <v>24</v>
      </c>
      <c r="D13" s="4" t="s">
        <v>18</v>
      </c>
      <c r="F13" s="9"/>
      <c r="G13" s="9"/>
      <c r="H13" s="9"/>
      <c r="I13" s="9"/>
      <c r="J13" s="9"/>
      <c r="K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9"/>
    </row>
    <row r="15" spans="2:30" ht="12.75">
      <c r="B15" s="4" t="s">
        <v>24</v>
      </c>
      <c r="D15" s="4" t="s">
        <v>124</v>
      </c>
      <c r="AD15" s="21">
        <v>29585</v>
      </c>
    </row>
    <row r="17" spans="2:30" ht="12.75">
      <c r="B17" s="4" t="s">
        <v>37</v>
      </c>
      <c r="D17" s="4" t="s">
        <v>17</v>
      </c>
      <c r="E17" s="16"/>
      <c r="F17" s="7">
        <f>'emiss 1'!G24</f>
        <v>25681</v>
      </c>
      <c r="H17" s="7">
        <f>'emiss 1'!I24</f>
        <v>25535</v>
      </c>
      <c r="J17" s="7">
        <f>'emiss 1'!K24</f>
        <v>24099</v>
      </c>
      <c r="K17" s="16"/>
      <c r="L17" s="19">
        <f>$F17</f>
        <v>25681</v>
      </c>
      <c r="M17" s="16"/>
      <c r="N17" s="19">
        <f>$H17</f>
        <v>25535</v>
      </c>
      <c r="O17" s="19"/>
      <c r="P17" s="19">
        <f>$J17</f>
        <v>24099</v>
      </c>
      <c r="R17" s="19">
        <f>$F17</f>
        <v>25681</v>
      </c>
      <c r="S17" s="16"/>
      <c r="T17" s="19">
        <f>$H17</f>
        <v>25535</v>
      </c>
      <c r="U17" s="19"/>
      <c r="V17" s="19">
        <f>$J17</f>
        <v>24099</v>
      </c>
      <c r="X17" s="19">
        <f>$F17</f>
        <v>25681</v>
      </c>
      <c r="Y17" s="16"/>
      <c r="Z17" s="19">
        <f>$H17</f>
        <v>25535</v>
      </c>
      <c r="AA17" s="19"/>
      <c r="AB17" s="19">
        <f>$J17</f>
        <v>24099</v>
      </c>
      <c r="AD17" s="21">
        <f>AVERAGE(X17,Z17,AB17)</f>
        <v>25105</v>
      </c>
    </row>
    <row r="18" spans="2:30" ht="12.75">
      <c r="B18" s="4" t="s">
        <v>38</v>
      </c>
      <c r="D18" s="4" t="s">
        <v>18</v>
      </c>
      <c r="E18" s="16"/>
      <c r="F18" s="5">
        <f>'emiss 1'!G25</f>
        <v>16.2</v>
      </c>
      <c r="H18" s="5">
        <f>'emiss 1'!I25</f>
        <v>16.5</v>
      </c>
      <c r="J18" s="5">
        <f>'emiss 1'!K25</f>
        <v>16</v>
      </c>
      <c r="K18" s="16"/>
      <c r="L18" s="19">
        <f>$F18</f>
        <v>16.2</v>
      </c>
      <c r="M18" s="16"/>
      <c r="N18" s="19">
        <f>$H18</f>
        <v>16.5</v>
      </c>
      <c r="O18" s="19"/>
      <c r="P18" s="19">
        <f>$J18</f>
        <v>16</v>
      </c>
      <c r="Q18" s="16"/>
      <c r="R18" s="19">
        <f>$F18</f>
        <v>16.2</v>
      </c>
      <c r="S18" s="16"/>
      <c r="T18" s="19">
        <f>$H18</f>
        <v>16.5</v>
      </c>
      <c r="U18" s="19"/>
      <c r="V18" s="19">
        <f>$J18</f>
        <v>16</v>
      </c>
      <c r="W18" s="16"/>
      <c r="X18" s="19">
        <f>$F18</f>
        <v>16.2</v>
      </c>
      <c r="Y18" s="16"/>
      <c r="Z18" s="19">
        <f>$H18</f>
        <v>16.5</v>
      </c>
      <c r="AA18" s="19"/>
      <c r="AB18" s="19">
        <f>$J18</f>
        <v>16</v>
      </c>
      <c r="AD18" s="21">
        <f>AVERAGE(X18,Z18,AB18)</f>
        <v>16.233333333333334</v>
      </c>
    </row>
    <row r="19" ht="12.75">
      <c r="E19" s="16"/>
    </row>
    <row r="20" spans="2:30" ht="12.75">
      <c r="B20" s="4" t="s">
        <v>232</v>
      </c>
      <c r="D20" s="4" t="s">
        <v>32</v>
      </c>
      <c r="E20" s="16"/>
      <c r="F20" s="5"/>
      <c r="L20" s="18">
        <f>L10*L12*60/1000000</f>
        <v>27.797307599999996</v>
      </c>
      <c r="M20" s="18"/>
      <c r="N20" s="18">
        <f>N10*N12*60/1000000</f>
        <v>29.003712</v>
      </c>
      <c r="O20" s="18"/>
      <c r="P20" s="18">
        <f>P10*P12*60/1000000</f>
        <v>27.847313999999997</v>
      </c>
      <c r="X20" s="18">
        <f>L20</f>
        <v>27.797307599999996</v>
      </c>
      <c r="Z20" s="18">
        <f>N20</f>
        <v>29.003712</v>
      </c>
      <c r="AB20" s="18">
        <f>P20</f>
        <v>27.847313999999997</v>
      </c>
      <c r="AD20" s="21">
        <f>AVERAGE(X20,Z20,AB20)</f>
        <v>28.2161112</v>
      </c>
    </row>
    <row r="21" spans="2:30" ht="12.75">
      <c r="B21" s="4" t="s">
        <v>235</v>
      </c>
      <c r="D21" s="4" t="s">
        <v>32</v>
      </c>
      <c r="E21" s="16"/>
      <c r="F21" s="18"/>
      <c r="X21" s="52">
        <f>X17/9000*60*(21-X18)/21</f>
        <v>39.13295238095239</v>
      </c>
      <c r="Y21" s="21"/>
      <c r="Z21" s="52">
        <f>Z17/9000*60*(21-Z18)/21</f>
        <v>36.47857142857143</v>
      </c>
      <c r="AA21" s="21"/>
      <c r="AB21" s="52">
        <f>AB17/9000*60*(21-AB18)/21</f>
        <v>38.25238095238095</v>
      </c>
      <c r="AD21" s="21">
        <f>AVERAGE(X21,Z21,AB21)</f>
        <v>37.95463492063492</v>
      </c>
    </row>
    <row r="23" ht="12.75">
      <c r="B23" s="49" t="s">
        <v>47</v>
      </c>
    </row>
    <row r="24" spans="2:30" ht="12.75">
      <c r="B24" s="4" t="s">
        <v>24</v>
      </c>
      <c r="D24" s="4" t="s">
        <v>34</v>
      </c>
      <c r="AD24" s="21">
        <f>AD15*1/60*1000000/(AD17*0.0283)*(21-7)/(21-AD$18)</f>
        <v>2038388.286112509</v>
      </c>
    </row>
    <row r="26" spans="1:30" ht="12.75">
      <c r="A26" s="14" t="s">
        <v>59</v>
      </c>
      <c r="B26" s="17" t="s">
        <v>140</v>
      </c>
      <c r="C26" s="4" t="s">
        <v>153</v>
      </c>
      <c r="F26" s="16" t="s">
        <v>166</v>
      </c>
      <c r="H26" s="16" t="s">
        <v>167</v>
      </c>
      <c r="I26" s="16"/>
      <c r="J26" s="16" t="s">
        <v>168</v>
      </c>
      <c r="L26" s="16" t="s">
        <v>166</v>
      </c>
      <c r="M26" s="16"/>
      <c r="N26" s="16" t="s">
        <v>167</v>
      </c>
      <c r="O26" s="16"/>
      <c r="P26" s="16" t="s">
        <v>168</v>
      </c>
      <c r="Q26" s="96"/>
      <c r="R26" s="16" t="s">
        <v>166</v>
      </c>
      <c r="S26" s="16"/>
      <c r="T26" s="16" t="s">
        <v>167</v>
      </c>
      <c r="U26" s="16"/>
      <c r="V26" s="16" t="s">
        <v>168</v>
      </c>
      <c r="W26" s="96"/>
      <c r="X26" s="16" t="s">
        <v>166</v>
      </c>
      <c r="Y26" s="16"/>
      <c r="Z26" s="16" t="s">
        <v>167</v>
      </c>
      <c r="AA26" s="16"/>
      <c r="AB26" s="16" t="s">
        <v>168</v>
      </c>
      <c r="AD26" s="102" t="s">
        <v>169</v>
      </c>
    </row>
    <row r="27" spans="1:7" ht="12.75">
      <c r="A27" s="13"/>
      <c r="D27" s="38"/>
      <c r="F27" s="14"/>
      <c r="G27" s="14"/>
    </row>
    <row r="28" spans="1:30" ht="12.75">
      <c r="A28" s="13"/>
      <c r="B28" s="4" t="s">
        <v>225</v>
      </c>
      <c r="F28" s="19" t="s">
        <v>227</v>
      </c>
      <c r="H28" s="19" t="s">
        <v>227</v>
      </c>
      <c r="J28" s="19" t="s">
        <v>227</v>
      </c>
      <c r="L28" s="14" t="s">
        <v>228</v>
      </c>
      <c r="N28" s="14" t="s">
        <v>228</v>
      </c>
      <c r="P28" s="14" t="s">
        <v>228</v>
      </c>
      <c r="R28" s="14" t="s">
        <v>230</v>
      </c>
      <c r="T28" s="14" t="s">
        <v>230</v>
      </c>
      <c r="V28" s="14" t="s">
        <v>230</v>
      </c>
      <c r="X28" s="14" t="s">
        <v>231</v>
      </c>
      <c r="Z28" s="14" t="s">
        <v>231</v>
      </c>
      <c r="AB28" s="14" t="s">
        <v>231</v>
      </c>
      <c r="AD28" s="21" t="s">
        <v>231</v>
      </c>
    </row>
    <row r="29" spans="1:30" ht="12.75">
      <c r="A29" s="13"/>
      <c r="B29" s="4" t="s">
        <v>226</v>
      </c>
      <c r="F29" s="19" t="s">
        <v>184</v>
      </c>
      <c r="H29" s="19" t="s">
        <v>184</v>
      </c>
      <c r="J29" s="19" t="s">
        <v>184</v>
      </c>
      <c r="L29" s="14" t="s">
        <v>229</v>
      </c>
      <c r="N29" s="14" t="s">
        <v>229</v>
      </c>
      <c r="P29" s="14" t="s">
        <v>229</v>
      </c>
      <c r="R29" s="14" t="s">
        <v>33</v>
      </c>
      <c r="T29" s="14" t="s">
        <v>33</v>
      </c>
      <c r="V29" s="14" t="s">
        <v>33</v>
      </c>
      <c r="X29" s="14" t="s">
        <v>62</v>
      </c>
      <c r="Z29" s="14" t="s">
        <v>62</v>
      </c>
      <c r="AB29" s="14" t="s">
        <v>62</v>
      </c>
      <c r="AD29" s="21" t="s">
        <v>62</v>
      </c>
    </row>
    <row r="30" spans="1:30" ht="12.75">
      <c r="A30" s="13"/>
      <c r="B30" s="4" t="s">
        <v>233</v>
      </c>
      <c r="F30" s="19" t="s">
        <v>234</v>
      </c>
      <c r="H30" s="19" t="s">
        <v>234</v>
      </c>
      <c r="J30" s="19" t="s">
        <v>234</v>
      </c>
      <c r="L30" s="14" t="s">
        <v>40</v>
      </c>
      <c r="N30" s="14" t="s">
        <v>40</v>
      </c>
      <c r="P30" s="14" t="s">
        <v>40</v>
      </c>
      <c r="R30" s="14" t="s">
        <v>33</v>
      </c>
      <c r="T30" s="14" t="s">
        <v>33</v>
      </c>
      <c r="V30" s="14" t="s">
        <v>33</v>
      </c>
      <c r="X30" s="14" t="s">
        <v>62</v>
      </c>
      <c r="Z30" s="14" t="s">
        <v>62</v>
      </c>
      <c r="AB30" s="14" t="s">
        <v>62</v>
      </c>
      <c r="AD30" s="21" t="s">
        <v>62</v>
      </c>
    </row>
    <row r="31" spans="2:30" ht="25.5">
      <c r="B31" s="4" t="s">
        <v>20</v>
      </c>
      <c r="C31" s="17"/>
      <c r="D31" s="14"/>
      <c r="F31" s="78" t="s">
        <v>154</v>
      </c>
      <c r="H31" s="78" t="s">
        <v>154</v>
      </c>
      <c r="J31" s="78" t="s">
        <v>154</v>
      </c>
      <c r="K31" s="19"/>
      <c r="L31" s="78" t="s">
        <v>123</v>
      </c>
      <c r="M31" s="16"/>
      <c r="N31" s="78" t="s">
        <v>123</v>
      </c>
      <c r="P31" s="78" t="s">
        <v>123</v>
      </c>
      <c r="Q31" s="17"/>
      <c r="R31" s="96" t="s">
        <v>33</v>
      </c>
      <c r="S31" s="96"/>
      <c r="T31" s="96" t="s">
        <v>33</v>
      </c>
      <c r="U31" s="96"/>
      <c r="V31" s="96" t="s">
        <v>33</v>
      </c>
      <c r="W31" s="17"/>
      <c r="X31" s="96" t="s">
        <v>62</v>
      </c>
      <c r="Y31" s="96"/>
      <c r="Z31" s="96" t="s">
        <v>62</v>
      </c>
      <c r="AA31" s="96"/>
      <c r="AB31" s="96" t="s">
        <v>62</v>
      </c>
      <c r="AD31" s="102" t="s">
        <v>62</v>
      </c>
    </row>
    <row r="32" spans="2:30" ht="12.75">
      <c r="B32" s="4" t="s">
        <v>61</v>
      </c>
      <c r="D32" s="4" t="s">
        <v>28</v>
      </c>
      <c r="F32" s="19">
        <f>11.55*2000</f>
        <v>23100</v>
      </c>
      <c r="H32" s="19">
        <v>23500</v>
      </c>
      <c r="J32" s="19">
        <f>11.85*2000</f>
        <v>23700</v>
      </c>
      <c r="L32" s="19">
        <v>3117</v>
      </c>
      <c r="M32" s="16"/>
      <c r="N32" s="19">
        <v>3217.2</v>
      </c>
      <c r="P32" s="19">
        <v>3221.4</v>
      </c>
      <c r="Q32" s="4"/>
      <c r="R32" s="19">
        <v>210.5</v>
      </c>
      <c r="S32" s="16"/>
      <c r="T32" s="14">
        <v>226.3</v>
      </c>
      <c r="V32" s="14">
        <v>240.7</v>
      </c>
      <c r="X32" s="7">
        <f>F32+L32+R32</f>
        <v>26427.5</v>
      </c>
      <c r="Y32" s="16"/>
      <c r="Z32" s="7">
        <f>H32+N32+T32</f>
        <v>26943.5</v>
      </c>
      <c r="AA32" s="19"/>
      <c r="AB32" s="7">
        <f>J32+P32+V32</f>
        <v>27162.100000000002</v>
      </c>
      <c r="AD32" s="21">
        <f>AVERAGE(X32,Z32,AB32)</f>
        <v>26844.36666666667</v>
      </c>
    </row>
    <row r="33" spans="2:28" ht="12.75">
      <c r="B33" s="4" t="s">
        <v>115</v>
      </c>
      <c r="D33" s="4" t="s">
        <v>116</v>
      </c>
      <c r="H33" s="19"/>
      <c r="J33" s="19"/>
      <c r="L33" s="19">
        <v>0.936</v>
      </c>
      <c r="M33" s="16"/>
      <c r="N33" s="19">
        <v>0.901</v>
      </c>
      <c r="P33" s="19">
        <v>0.901</v>
      </c>
      <c r="Q33" s="4"/>
      <c r="R33" s="19"/>
      <c r="S33" s="16"/>
      <c r="X33" s="5"/>
      <c r="Y33" s="16"/>
      <c r="Z33" s="5"/>
      <c r="AA33" s="19"/>
      <c r="AB33" s="5"/>
    </row>
    <row r="34" spans="2:28" ht="12.75">
      <c r="B34" s="4" t="s">
        <v>21</v>
      </c>
      <c r="D34" s="4" t="s">
        <v>22</v>
      </c>
      <c r="L34" s="19">
        <v>11156</v>
      </c>
      <c r="M34" s="16"/>
      <c r="N34" s="14">
        <v>11765</v>
      </c>
      <c r="P34" s="14">
        <v>11661</v>
      </c>
      <c r="Q34" s="4"/>
      <c r="R34" s="19"/>
      <c r="S34" s="16"/>
      <c r="X34" s="7"/>
      <c r="Y34" s="16"/>
      <c r="Z34" s="7"/>
      <c r="AA34" s="19"/>
      <c r="AB34" s="7"/>
    </row>
    <row r="35" spans="12:28" ht="12.75">
      <c r="L35" s="19"/>
      <c r="M35" s="16"/>
      <c r="Q35" s="4"/>
      <c r="R35" s="6"/>
      <c r="S35" s="16"/>
      <c r="X35" s="58"/>
      <c r="Y35" s="57"/>
      <c r="Z35" s="58"/>
      <c r="AA35" s="39"/>
      <c r="AB35" s="58"/>
    </row>
    <row r="36" spans="2:30" ht="12.75">
      <c r="B36" s="4" t="s">
        <v>23</v>
      </c>
      <c r="D36" s="4" t="s">
        <v>18</v>
      </c>
      <c r="E36" s="16"/>
      <c r="F36" s="6"/>
      <c r="I36" s="5"/>
      <c r="K36" s="16"/>
      <c r="L36" s="6">
        <v>0.78</v>
      </c>
      <c r="M36" s="16"/>
      <c r="N36" s="14">
        <v>0.73</v>
      </c>
      <c r="O36" s="5"/>
      <c r="P36" s="14">
        <v>1.06</v>
      </c>
      <c r="Q36" s="4"/>
      <c r="R36" s="19"/>
      <c r="S36" s="16"/>
      <c r="U36" s="5"/>
      <c r="X36" s="6"/>
      <c r="Y36" s="97"/>
      <c r="Z36" s="6"/>
      <c r="AA36" s="6"/>
      <c r="AB36" s="6"/>
      <c r="AD36" s="98"/>
    </row>
    <row r="37" spans="2:30" ht="12.75">
      <c r="B37" s="4" t="s">
        <v>24</v>
      </c>
      <c r="D37" s="4" t="s">
        <v>124</v>
      </c>
      <c r="E37" s="16" t="s">
        <v>98</v>
      </c>
      <c r="F37" s="5">
        <f>0.035/100*F32*453.6</f>
        <v>3667.3560000000007</v>
      </c>
      <c r="G37" s="16" t="s">
        <v>98</v>
      </c>
      <c r="H37" s="5">
        <f>0.037/100*H32*453.6</f>
        <v>3944.052</v>
      </c>
      <c r="I37" s="5" t="s">
        <v>98</v>
      </c>
      <c r="J37" s="5">
        <f>0.034/100*J32*453.6</f>
        <v>3655.1088</v>
      </c>
      <c r="L37" s="19">
        <v>5688.63</v>
      </c>
      <c r="M37" s="16"/>
      <c r="N37" s="14">
        <v>5837.3</v>
      </c>
      <c r="O37" s="5"/>
      <c r="P37" s="14">
        <v>4231.3</v>
      </c>
      <c r="Q37" s="4"/>
      <c r="R37" s="19">
        <v>21798.5</v>
      </c>
      <c r="S37" s="16"/>
      <c r="T37" s="19">
        <v>21814</v>
      </c>
      <c r="U37" s="5"/>
      <c r="V37" s="19">
        <v>21802.4</v>
      </c>
      <c r="X37" s="7">
        <f>F37+L37+R37</f>
        <v>31154.486</v>
      </c>
      <c r="Y37" s="16"/>
      <c r="Z37" s="7">
        <f>H37+N37+T37</f>
        <v>31595.352</v>
      </c>
      <c r="AA37" s="19"/>
      <c r="AB37" s="7">
        <f>J37+P37+V37</f>
        <v>29688.808800000003</v>
      </c>
      <c r="AD37" s="98"/>
    </row>
    <row r="38" spans="5:30" ht="12.75">
      <c r="E38" s="16"/>
      <c r="I38" s="5"/>
      <c r="L38" s="19"/>
      <c r="M38" s="16"/>
      <c r="O38" s="5"/>
      <c r="Q38" s="4"/>
      <c r="R38" s="19"/>
      <c r="S38" s="16"/>
      <c r="T38" s="19"/>
      <c r="U38" s="5"/>
      <c r="V38" s="19"/>
      <c r="X38" s="100"/>
      <c r="Y38" s="57"/>
      <c r="Z38" s="5"/>
      <c r="AA38" s="39"/>
      <c r="AB38" s="5"/>
      <c r="AC38" s="99"/>
      <c r="AD38" s="98"/>
    </row>
    <row r="39" spans="2:30" ht="12.75">
      <c r="B39" s="4" t="s">
        <v>100</v>
      </c>
      <c r="D39" s="4" t="s">
        <v>124</v>
      </c>
      <c r="E39" s="16" t="s">
        <v>98</v>
      </c>
      <c r="F39" s="62">
        <f>0.3*F$32/1000000*453.6</f>
        <v>3.1434480000000002</v>
      </c>
      <c r="G39" s="16" t="s">
        <v>98</v>
      </c>
      <c r="H39" s="62">
        <f>0.3*H$32/1000000*453.6</f>
        <v>3.19788</v>
      </c>
      <c r="I39" s="5" t="s">
        <v>98</v>
      </c>
      <c r="J39" s="62">
        <f>0.3*J$32/1000000*453.6</f>
        <v>3.225096</v>
      </c>
      <c r="K39" s="14" t="s">
        <v>98</v>
      </c>
      <c r="L39" s="25">
        <f>L$32*454*1.4/1000000</f>
        <v>1.9811652</v>
      </c>
      <c r="M39" s="16" t="s">
        <v>98</v>
      </c>
      <c r="N39" s="25">
        <f>N$32*454*1.4/1000000</f>
        <v>2.0448523199999995</v>
      </c>
      <c r="O39" s="5" t="s">
        <v>98</v>
      </c>
      <c r="P39" s="25">
        <f>P$32*454*1.5/1000000</f>
        <v>2.1937734000000004</v>
      </c>
      <c r="Q39" s="4"/>
      <c r="R39" s="19"/>
      <c r="S39" s="16"/>
      <c r="T39" s="19"/>
      <c r="U39" s="5"/>
      <c r="V39" s="19"/>
      <c r="X39" s="5">
        <f>F39+L39+R39</f>
        <v>5.124613200000001</v>
      </c>
      <c r="Y39" s="101"/>
      <c r="Z39" s="5">
        <f>H39+N39+T39</f>
        <v>5.24273232</v>
      </c>
      <c r="AA39" s="6"/>
      <c r="AB39" s="5">
        <f>J39+P39+V39</f>
        <v>5.4188694</v>
      </c>
      <c r="AD39" s="98"/>
    </row>
    <row r="40" spans="2:30" ht="12.75">
      <c r="B40" s="4" t="s">
        <v>99</v>
      </c>
      <c r="D40" s="4" t="s">
        <v>124</v>
      </c>
      <c r="E40" s="16"/>
      <c r="F40" s="5">
        <v>174.99</v>
      </c>
      <c r="H40" s="62">
        <v>165.19</v>
      </c>
      <c r="I40" s="5"/>
      <c r="J40" s="62">
        <v>162.33</v>
      </c>
      <c r="K40" s="14" t="s">
        <v>98</v>
      </c>
      <c r="L40" s="25">
        <f>L$32*454*0.5/1000000</f>
        <v>0.707559</v>
      </c>
      <c r="M40" s="97" t="s">
        <v>98</v>
      </c>
      <c r="N40" s="25">
        <f>N$32*454*0.6/1000000</f>
        <v>0.8763652799999999</v>
      </c>
      <c r="O40" s="6" t="s">
        <v>98</v>
      </c>
      <c r="P40" s="25">
        <f>P$32*454*0.6/1000000</f>
        <v>0.87750936</v>
      </c>
      <c r="Q40" s="4"/>
      <c r="R40" s="19">
        <v>467.4</v>
      </c>
      <c r="S40" s="16"/>
      <c r="T40" s="19">
        <v>721.51</v>
      </c>
      <c r="U40" s="5"/>
      <c r="V40" s="19">
        <v>991.07</v>
      </c>
      <c r="X40" s="5">
        <f>F40+L40+R40</f>
        <v>643.097559</v>
      </c>
      <c r="Y40" s="101"/>
      <c r="Z40" s="5">
        <f>H40+N40+T40</f>
        <v>887.57636528</v>
      </c>
      <c r="AA40" s="6"/>
      <c r="AB40" s="5">
        <f>J40+P40+V40</f>
        <v>1154.27750936</v>
      </c>
      <c r="AD40" s="98"/>
    </row>
    <row r="41" spans="2:30" ht="12.75">
      <c r="B41" s="4" t="s">
        <v>101</v>
      </c>
      <c r="D41" s="4" t="s">
        <v>124</v>
      </c>
      <c r="E41" s="16"/>
      <c r="F41" s="5">
        <v>178.13</v>
      </c>
      <c r="H41" s="5">
        <v>174.43</v>
      </c>
      <c r="I41" s="5"/>
      <c r="J41" s="5">
        <v>161.25</v>
      </c>
      <c r="L41" s="9">
        <v>58.27</v>
      </c>
      <c r="M41" s="16"/>
      <c r="N41" s="9">
        <v>55.45</v>
      </c>
      <c r="O41" s="5"/>
      <c r="P41" s="9">
        <v>58.36</v>
      </c>
      <c r="Q41" s="4"/>
      <c r="R41" s="19"/>
      <c r="S41" s="16"/>
      <c r="T41" s="19"/>
      <c r="U41" s="5"/>
      <c r="V41" s="19"/>
      <c r="X41" s="7">
        <f aca="true" t="shared" si="0" ref="X41:X49">F41+L41+R41</f>
        <v>236.4</v>
      </c>
      <c r="Y41" s="7"/>
      <c r="Z41" s="7">
        <f aca="true" t="shared" si="1" ref="Z41:Z49">H41+N41+T41</f>
        <v>229.88</v>
      </c>
      <c r="AA41" s="7"/>
      <c r="AB41" s="7">
        <f aca="true" t="shared" si="2" ref="AB41:AB49">J41+P41+V41</f>
        <v>219.61</v>
      </c>
      <c r="AD41" s="98"/>
    </row>
    <row r="42" spans="2:30" ht="12.75">
      <c r="B42" s="4" t="s">
        <v>102</v>
      </c>
      <c r="D42" s="4" t="s">
        <v>124</v>
      </c>
      <c r="E42" s="16"/>
      <c r="F42" s="62">
        <v>4.4</v>
      </c>
      <c r="H42" s="62">
        <v>5.54</v>
      </c>
      <c r="I42" s="5"/>
      <c r="J42" s="62">
        <v>4.19</v>
      </c>
      <c r="K42" s="14" t="s">
        <v>98</v>
      </c>
      <c r="L42" s="26">
        <f>L$32*454*0.02/1000000</f>
        <v>0.028302360000000002</v>
      </c>
      <c r="M42" s="97" t="s">
        <v>98</v>
      </c>
      <c r="N42" s="26">
        <f>N$32*454*0.02/1000000</f>
        <v>0.029212175999999996</v>
      </c>
      <c r="O42" s="6" t="s">
        <v>98</v>
      </c>
      <c r="P42" s="26">
        <f>P$32*454*0.02/1000000</f>
        <v>0.029250312</v>
      </c>
      <c r="Q42" s="4"/>
      <c r="R42" s="19">
        <v>113.64</v>
      </c>
      <c r="S42" s="16"/>
      <c r="T42" s="19">
        <v>116.45</v>
      </c>
      <c r="U42" s="5"/>
      <c r="V42" s="19">
        <v>108.5</v>
      </c>
      <c r="X42" s="5">
        <f t="shared" si="0"/>
        <v>118.06830236</v>
      </c>
      <c r="Y42" s="101"/>
      <c r="Z42" s="5">
        <f t="shared" si="1"/>
        <v>122.019212176</v>
      </c>
      <c r="AA42" s="6"/>
      <c r="AB42" s="5">
        <f t="shared" si="2"/>
        <v>112.719250312</v>
      </c>
      <c r="AD42" s="98"/>
    </row>
    <row r="43" spans="2:30" ht="12.75">
      <c r="B43" s="4" t="s">
        <v>103</v>
      </c>
      <c r="D43" s="4" t="s">
        <v>124</v>
      </c>
      <c r="E43" s="16"/>
      <c r="F43" s="62">
        <v>0.46</v>
      </c>
      <c r="H43" s="62">
        <v>0.63</v>
      </c>
      <c r="I43" s="5"/>
      <c r="J43" s="62">
        <v>0.51</v>
      </c>
      <c r="L43" s="9">
        <v>0.36</v>
      </c>
      <c r="M43" s="97"/>
      <c r="N43" s="9">
        <v>0.36</v>
      </c>
      <c r="O43" s="6"/>
      <c r="P43" s="9">
        <v>0.38</v>
      </c>
      <c r="Q43" s="4"/>
      <c r="R43" s="19">
        <v>637.58</v>
      </c>
      <c r="S43" s="16"/>
      <c r="T43" s="19">
        <v>657.76</v>
      </c>
      <c r="U43" s="5"/>
      <c r="V43" s="19">
        <v>658.15</v>
      </c>
      <c r="X43" s="5">
        <f t="shared" si="0"/>
        <v>638.4000000000001</v>
      </c>
      <c r="Y43" s="101"/>
      <c r="Z43" s="5">
        <f t="shared" si="1"/>
        <v>658.75</v>
      </c>
      <c r="AA43" s="6"/>
      <c r="AB43" s="5">
        <f t="shared" si="2"/>
        <v>659.04</v>
      </c>
      <c r="AD43" s="98"/>
    </row>
    <row r="44" spans="2:30" ht="12.75">
      <c r="B44" s="4" t="s">
        <v>104</v>
      </c>
      <c r="D44" s="4" t="s">
        <v>124</v>
      </c>
      <c r="E44" s="16"/>
      <c r="F44" s="5">
        <v>275.58</v>
      </c>
      <c r="H44" s="19">
        <v>282.16</v>
      </c>
      <c r="I44" s="5"/>
      <c r="J44" s="6">
        <v>252.63</v>
      </c>
      <c r="L44" s="9">
        <v>4.58</v>
      </c>
      <c r="M44" s="97"/>
      <c r="N44" s="9">
        <v>4.67</v>
      </c>
      <c r="O44" s="6"/>
      <c r="P44" s="9">
        <v>4.67</v>
      </c>
      <c r="Q44" s="4"/>
      <c r="R44" s="19">
        <v>1566.85</v>
      </c>
      <c r="S44" s="16"/>
      <c r="T44" s="19">
        <v>1611.75</v>
      </c>
      <c r="U44" s="5"/>
      <c r="V44" s="19">
        <v>1536.28</v>
      </c>
      <c r="X44" s="7">
        <f t="shared" si="0"/>
        <v>1847.0099999999998</v>
      </c>
      <c r="Y44" s="7"/>
      <c r="Z44" s="7">
        <f t="shared" si="1"/>
        <v>1898.58</v>
      </c>
      <c r="AA44" s="7"/>
      <c r="AB44" s="7">
        <f t="shared" si="2"/>
        <v>1793.58</v>
      </c>
      <c r="AD44" s="98"/>
    </row>
    <row r="45" spans="2:30" ht="12.75">
      <c r="B45" s="4" t="s">
        <v>106</v>
      </c>
      <c r="D45" s="4" t="s">
        <v>124</v>
      </c>
      <c r="E45" s="16"/>
      <c r="F45" s="6">
        <v>186.51</v>
      </c>
      <c r="G45" s="97"/>
      <c r="H45" s="6">
        <v>177.51</v>
      </c>
      <c r="I45" s="6"/>
      <c r="J45" s="6">
        <v>250.48</v>
      </c>
      <c r="L45" s="9">
        <v>4.99</v>
      </c>
      <c r="M45" s="97"/>
      <c r="N45" s="9">
        <v>5.69</v>
      </c>
      <c r="O45" s="6"/>
      <c r="P45" s="9">
        <v>5.98</v>
      </c>
      <c r="Q45" s="4"/>
      <c r="R45" s="7">
        <v>4962</v>
      </c>
      <c r="S45" s="102"/>
      <c r="T45" s="7">
        <v>5317</v>
      </c>
      <c r="U45" s="7"/>
      <c r="V45" s="7">
        <v>5302</v>
      </c>
      <c r="X45" s="7">
        <f t="shared" si="0"/>
        <v>5153.5</v>
      </c>
      <c r="Y45" s="7"/>
      <c r="Z45" s="7">
        <f t="shared" si="1"/>
        <v>5500.2</v>
      </c>
      <c r="AA45" s="7"/>
      <c r="AB45" s="7">
        <f t="shared" si="2"/>
        <v>5558.46</v>
      </c>
      <c r="AD45" s="98"/>
    </row>
    <row r="46" spans="2:30" ht="12.75">
      <c r="B46" s="4" t="s">
        <v>107</v>
      </c>
      <c r="D46" s="4" t="s">
        <v>124</v>
      </c>
      <c r="E46" s="16" t="s">
        <v>98</v>
      </c>
      <c r="F46" s="62">
        <f>0.1*F$32/1000000*453.6</f>
        <v>1.047816</v>
      </c>
      <c r="G46" s="16" t="s">
        <v>98</v>
      </c>
      <c r="H46" s="62">
        <f>0.1*H$32/1000000*453.6</f>
        <v>1.06596</v>
      </c>
      <c r="I46" s="5" t="s">
        <v>98</v>
      </c>
      <c r="J46" s="62">
        <f>0.1*J$32/1000000*453.6</f>
        <v>1.0750320000000002</v>
      </c>
      <c r="K46" s="14" t="s">
        <v>98</v>
      </c>
      <c r="L46" s="26">
        <f>L$32*454*0.1/1000000</f>
        <v>0.14151180000000002</v>
      </c>
      <c r="M46" s="97" t="s">
        <v>98</v>
      </c>
      <c r="N46" s="26">
        <f>N$32*454*0.1/1000000</f>
        <v>0.14606087999999998</v>
      </c>
      <c r="O46" s="6" t="s">
        <v>98</v>
      </c>
      <c r="P46" s="26">
        <f>P$32*454*0.1/1000000</f>
        <v>0.14625156000000003</v>
      </c>
      <c r="Q46" s="4"/>
      <c r="R46" s="19"/>
      <c r="S46" s="16"/>
      <c r="T46" s="19"/>
      <c r="U46" s="5"/>
      <c r="V46" s="19"/>
      <c r="X46" s="62">
        <f t="shared" si="0"/>
        <v>1.1893278</v>
      </c>
      <c r="Y46" s="62"/>
      <c r="Z46" s="62">
        <f t="shared" si="1"/>
        <v>1.21202088</v>
      </c>
      <c r="AA46" s="62"/>
      <c r="AB46" s="62">
        <f t="shared" si="2"/>
        <v>1.2212835600000003</v>
      </c>
      <c r="AD46" s="98"/>
    </row>
    <row r="47" spans="2:30" ht="12.75">
      <c r="B47" s="4" t="s">
        <v>108</v>
      </c>
      <c r="D47" s="4" t="s">
        <v>124</v>
      </c>
      <c r="E47" s="16"/>
      <c r="F47" s="5">
        <f>46*F$32/1000000*453.6</f>
        <v>481.99536</v>
      </c>
      <c r="H47" s="62">
        <f>45*H$32/1000000*453.6</f>
        <v>479.6820000000001</v>
      </c>
      <c r="I47" s="5"/>
      <c r="J47" s="62">
        <f>46*J$32/1000000*453.6</f>
        <v>494.51472000000007</v>
      </c>
      <c r="L47" s="26">
        <f>L$32*454*3.5/1000000</f>
        <v>4.952913</v>
      </c>
      <c r="M47" s="97"/>
      <c r="N47" s="26">
        <f>N$32*454*3/1000000</f>
        <v>4.3818264</v>
      </c>
      <c r="O47" s="6"/>
      <c r="P47" s="26">
        <f>P$32*454*3.1/1000000</f>
        <v>4.5337983600000005</v>
      </c>
      <c r="Q47" s="4"/>
      <c r="R47" s="19"/>
      <c r="S47" s="16"/>
      <c r="T47" s="19"/>
      <c r="U47" s="5"/>
      <c r="V47" s="19"/>
      <c r="X47" s="5">
        <f t="shared" si="0"/>
        <v>486.94827300000003</v>
      </c>
      <c r="Y47" s="101"/>
      <c r="Z47" s="5">
        <f t="shared" si="1"/>
        <v>484.0638264000001</v>
      </c>
      <c r="AA47" s="6"/>
      <c r="AB47" s="5">
        <f t="shared" si="2"/>
        <v>499.04851836000006</v>
      </c>
      <c r="AD47" s="98"/>
    </row>
    <row r="48" spans="2:30" ht="12.75">
      <c r="B48" s="4" t="s">
        <v>110</v>
      </c>
      <c r="D48" s="4" t="s">
        <v>124</v>
      </c>
      <c r="E48" s="16" t="s">
        <v>98</v>
      </c>
      <c r="F48" s="62">
        <f>1*F$32/1000000*453.6</f>
        <v>10.47816</v>
      </c>
      <c r="G48" s="16" t="s">
        <v>98</v>
      </c>
      <c r="H48" s="62">
        <f>1*H$32/1000000*453.6</f>
        <v>10.659600000000001</v>
      </c>
      <c r="I48" s="5" t="s">
        <v>98</v>
      </c>
      <c r="J48" s="62">
        <f>1*J$32/1000000*453.6</f>
        <v>10.75032</v>
      </c>
      <c r="K48" s="14" t="s">
        <v>98</v>
      </c>
      <c r="L48" s="26">
        <f>L$32*454*1/1000000</f>
        <v>1.415118</v>
      </c>
      <c r="M48" s="97"/>
      <c r="N48" s="9">
        <v>2.04</v>
      </c>
      <c r="O48" s="6" t="s">
        <v>98</v>
      </c>
      <c r="P48" s="26">
        <f>P$32*454*1/1000000</f>
        <v>1.4625156000000001</v>
      </c>
      <c r="Q48" s="4"/>
      <c r="R48" s="6"/>
      <c r="S48" s="16"/>
      <c r="T48" s="6"/>
      <c r="U48" s="5"/>
      <c r="V48" s="6"/>
      <c r="X48" s="6">
        <f t="shared" si="0"/>
        <v>11.893278</v>
      </c>
      <c r="Y48" s="6"/>
      <c r="Z48" s="6">
        <f t="shared" si="1"/>
        <v>12.6996</v>
      </c>
      <c r="AA48" s="6"/>
      <c r="AB48" s="6">
        <f t="shared" si="2"/>
        <v>12.2128356</v>
      </c>
      <c r="AD48" s="98"/>
    </row>
    <row r="49" spans="2:30" ht="12.75">
      <c r="B49" s="4" t="s">
        <v>111</v>
      </c>
      <c r="D49" s="4" t="s">
        <v>124</v>
      </c>
      <c r="E49" s="16" t="s">
        <v>98</v>
      </c>
      <c r="F49" s="62">
        <f>1*F$32/1000000*453.6</f>
        <v>10.47816</v>
      </c>
      <c r="G49" s="16" t="s">
        <v>98</v>
      </c>
      <c r="H49" s="62">
        <f>1*H$32/1000000*453.6</f>
        <v>10.659600000000001</v>
      </c>
      <c r="I49" s="5" t="s">
        <v>98</v>
      </c>
      <c r="J49" s="62">
        <f>1*J$32/1000000*453.6</f>
        <v>10.75032</v>
      </c>
      <c r="K49" s="14" t="s">
        <v>98</v>
      </c>
      <c r="L49" s="26">
        <f>L$32*454*1/1000000</f>
        <v>1.415118</v>
      </c>
      <c r="M49" s="97" t="s">
        <v>98</v>
      </c>
      <c r="N49" s="26">
        <f>N$32*454*1/1000000</f>
        <v>1.4606087999999997</v>
      </c>
      <c r="O49" s="6" t="s">
        <v>98</v>
      </c>
      <c r="P49" s="26">
        <f>P$32*454*1/1000000</f>
        <v>1.4625156000000001</v>
      </c>
      <c r="Q49" s="4"/>
      <c r="R49" s="6"/>
      <c r="S49" s="16"/>
      <c r="T49" s="6"/>
      <c r="U49" s="5"/>
      <c r="V49" s="6"/>
      <c r="X49" s="6">
        <f t="shared" si="0"/>
        <v>11.893278</v>
      </c>
      <c r="Y49" s="6"/>
      <c r="Z49" s="6">
        <f t="shared" si="1"/>
        <v>12.1202088</v>
      </c>
      <c r="AA49" s="6"/>
      <c r="AB49" s="6">
        <f t="shared" si="2"/>
        <v>12.2128356</v>
      </c>
      <c r="AD49" s="98"/>
    </row>
    <row r="50" spans="5:30" ht="12.75">
      <c r="E50" s="16"/>
      <c r="I50" s="5"/>
      <c r="L50" s="19"/>
      <c r="M50" s="16"/>
      <c r="O50" s="5"/>
      <c r="Q50" s="4"/>
      <c r="R50" s="19"/>
      <c r="S50" s="16"/>
      <c r="T50" s="19"/>
      <c r="U50" s="5"/>
      <c r="V50" s="19"/>
      <c r="X50" s="5"/>
      <c r="Y50" s="57"/>
      <c r="Z50" s="5"/>
      <c r="AA50" s="39"/>
      <c r="AB50" s="5"/>
      <c r="AC50" s="99"/>
      <c r="AD50" s="98"/>
    </row>
    <row r="51" spans="2:30" ht="12.75">
      <c r="B51" s="4" t="s">
        <v>37</v>
      </c>
      <c r="D51" s="4" t="s">
        <v>17</v>
      </c>
      <c r="E51" s="16"/>
      <c r="F51" s="7">
        <f>'emiss 1'!G70</f>
        <v>23983</v>
      </c>
      <c r="H51" s="7">
        <f>'emiss 1'!I70</f>
        <v>23402</v>
      </c>
      <c r="I51" s="19"/>
      <c r="J51" s="7">
        <f>'emiss 1'!K70</f>
        <v>23507</v>
      </c>
      <c r="K51" s="16"/>
      <c r="L51" s="19">
        <f>$F51</f>
        <v>23983</v>
      </c>
      <c r="M51" s="16"/>
      <c r="N51" s="19">
        <f>$H51</f>
        <v>23402</v>
      </c>
      <c r="O51" s="19"/>
      <c r="P51" s="19">
        <f>$J51</f>
        <v>23507</v>
      </c>
      <c r="R51" s="19">
        <f>$F51</f>
        <v>23983</v>
      </c>
      <c r="S51" s="16"/>
      <c r="T51" s="19">
        <f>$H51</f>
        <v>23402</v>
      </c>
      <c r="U51" s="19"/>
      <c r="V51" s="19">
        <f>$J51</f>
        <v>23507</v>
      </c>
      <c r="X51" s="19">
        <f>$F51</f>
        <v>23983</v>
      </c>
      <c r="Y51" s="16"/>
      <c r="Z51" s="19">
        <f>$H51</f>
        <v>23402</v>
      </c>
      <c r="AA51" s="19"/>
      <c r="AB51" s="19">
        <f>$J51</f>
        <v>23507</v>
      </c>
      <c r="AD51" s="21">
        <f>AVERAGE(X51,Z51,AB51)</f>
        <v>23630.666666666668</v>
      </c>
    </row>
    <row r="52" spans="2:30" ht="12.75">
      <c r="B52" s="4" t="s">
        <v>38</v>
      </c>
      <c r="D52" s="4" t="s">
        <v>18</v>
      </c>
      <c r="E52" s="16"/>
      <c r="F52" s="5">
        <f>'emiss 1'!G71</f>
        <v>15.9</v>
      </c>
      <c r="G52" s="103"/>
      <c r="H52" s="5">
        <f>'emiss 1'!I71</f>
        <v>15.2</v>
      </c>
      <c r="I52" s="5"/>
      <c r="J52" s="5">
        <f>'emiss 1'!K71</f>
        <v>15.2</v>
      </c>
      <c r="K52" s="16"/>
      <c r="L52" s="19">
        <f>$F52</f>
        <v>15.9</v>
      </c>
      <c r="M52" s="16"/>
      <c r="N52" s="19">
        <f>$H52</f>
        <v>15.2</v>
      </c>
      <c r="O52" s="19"/>
      <c r="P52" s="19">
        <f>$J52</f>
        <v>15.2</v>
      </c>
      <c r="Q52" s="16"/>
      <c r="R52" s="19">
        <f>$F52</f>
        <v>15.9</v>
      </c>
      <c r="S52" s="16"/>
      <c r="T52" s="19">
        <f>$H52</f>
        <v>15.2</v>
      </c>
      <c r="U52" s="19"/>
      <c r="V52" s="19">
        <f>$J52</f>
        <v>15.2</v>
      </c>
      <c r="W52" s="16"/>
      <c r="X52" s="19">
        <f>$F52</f>
        <v>15.9</v>
      </c>
      <c r="Y52" s="16"/>
      <c r="Z52" s="19">
        <f>$H52</f>
        <v>15.2</v>
      </c>
      <c r="AA52" s="19"/>
      <c r="AB52" s="19">
        <f>$J52</f>
        <v>15.2</v>
      </c>
      <c r="AD52" s="21">
        <f>AVERAGE(X52,Z52,AB52)</f>
        <v>15.433333333333332</v>
      </c>
    </row>
    <row r="53" spans="5:11" ht="12.75">
      <c r="E53" s="16"/>
      <c r="I53" s="19"/>
      <c r="J53" s="16"/>
      <c r="K53" s="16"/>
    </row>
    <row r="54" spans="2:30" ht="12.75">
      <c r="B54" s="4" t="s">
        <v>232</v>
      </c>
      <c r="D54" s="4" t="s">
        <v>32</v>
      </c>
      <c r="E54" s="16"/>
      <c r="F54" s="5"/>
      <c r="H54" s="5"/>
      <c r="I54" s="19"/>
      <c r="J54" s="5"/>
      <c r="K54" s="16"/>
      <c r="L54" s="5">
        <f>L32*L34/1000000</f>
        <v>34.773252</v>
      </c>
      <c r="N54" s="5">
        <f>N32*N34/1000000</f>
        <v>37.850358</v>
      </c>
      <c r="P54" s="5">
        <f>P32*P34/1000000</f>
        <v>37.5647454</v>
      </c>
      <c r="R54" s="5"/>
      <c r="S54" s="16"/>
      <c r="T54" s="5"/>
      <c r="U54" s="19"/>
      <c r="V54" s="5"/>
      <c r="X54" s="5">
        <f>F54+L54+R54</f>
        <v>34.773252</v>
      </c>
      <c r="Y54" s="103"/>
      <c r="Z54" s="5">
        <f>H54+N54+T54</f>
        <v>37.850358</v>
      </c>
      <c r="AA54" s="5"/>
      <c r="AB54" s="5">
        <f>J54+P54+V54</f>
        <v>37.5647454</v>
      </c>
      <c r="AD54" s="21">
        <f>AVERAGE(X54,Z54,AB54)</f>
        <v>36.7294518</v>
      </c>
    </row>
    <row r="55" spans="2:30" ht="12.75">
      <c r="B55" s="4" t="s">
        <v>235</v>
      </c>
      <c r="D55" s="4" t="s">
        <v>32</v>
      </c>
      <c r="E55" s="16"/>
      <c r="F55" s="18"/>
      <c r="I55" s="5"/>
      <c r="J55" s="16"/>
      <c r="K55" s="16"/>
      <c r="X55" s="52">
        <f>X51/9000*60*(21-X52)/21</f>
        <v>38.82961904761904</v>
      </c>
      <c r="Y55" s="21"/>
      <c r="Z55" s="52">
        <f>Z51/9000*60*(21-Z52)/21</f>
        <v>43.08939682539684</v>
      </c>
      <c r="AA55" s="21"/>
      <c r="AB55" s="52">
        <f>AB51/9000*60*(21-AB52)/21</f>
        <v>43.28273015873016</v>
      </c>
      <c r="AD55" s="21">
        <f>AVERAGE(X55,Z55,AB55)</f>
        <v>41.73391534391535</v>
      </c>
    </row>
    <row r="56" spans="8:30" ht="12.75">
      <c r="H56" s="19"/>
      <c r="J56" s="19"/>
      <c r="X56" s="16"/>
      <c r="Z56" s="16"/>
      <c r="AB56" s="16"/>
      <c r="AD56" s="102"/>
    </row>
    <row r="57" spans="2:30" ht="12.75">
      <c r="B57" s="49" t="s">
        <v>47</v>
      </c>
      <c r="C57" s="49"/>
      <c r="F57" s="16"/>
      <c r="H57" s="16"/>
      <c r="I57" s="16"/>
      <c r="J57" s="16"/>
      <c r="K57" s="19"/>
      <c r="Q57" s="17"/>
      <c r="R57" s="16"/>
      <c r="S57" s="16"/>
      <c r="T57" s="16"/>
      <c r="U57" s="16"/>
      <c r="V57" s="16"/>
      <c r="W57" s="17"/>
      <c r="X57" s="16"/>
      <c r="Y57" s="16"/>
      <c r="Z57" s="16"/>
      <c r="AA57" s="19"/>
      <c r="AB57" s="16"/>
      <c r="AD57" s="102"/>
    </row>
    <row r="58" spans="2:28" ht="12.75">
      <c r="B58" s="4" t="s">
        <v>23</v>
      </c>
      <c r="D58" s="4" t="s">
        <v>39</v>
      </c>
      <c r="F58" s="7"/>
      <c r="G58" s="102"/>
      <c r="H58" s="7"/>
      <c r="I58" s="7"/>
      <c r="J58" s="7"/>
      <c r="L58" s="7">
        <f>L$32*L36/100*1/60*454*1000/(L$51*0.0283)*(21-7)/(21-L$52)</f>
        <v>744.0530890146821</v>
      </c>
      <c r="M58" s="102"/>
      <c r="N58" s="7">
        <f>N$32*N36/100*1/60*454*1000/(N$51*0.0283)*(21-7)/(21-N$52)</f>
        <v>647.6884525391604</v>
      </c>
      <c r="O58" s="7"/>
      <c r="P58" s="7">
        <f>P$32*P36/100*1/60*454*1000/(P$51*0.0283)*(21-7)/(21-P$52)</f>
        <v>937.500528776018</v>
      </c>
      <c r="R58" s="7"/>
      <c r="S58" s="16"/>
      <c r="T58" s="7"/>
      <c r="U58" s="5"/>
      <c r="V58" s="7"/>
      <c r="X58" s="7"/>
      <c r="Y58" s="7"/>
      <c r="Z58" s="7"/>
      <c r="AA58" s="7"/>
      <c r="AB58" s="7"/>
    </row>
    <row r="59" spans="2:30" ht="12.75">
      <c r="B59" s="4" t="s">
        <v>24</v>
      </c>
      <c r="D59" s="4" t="s">
        <v>34</v>
      </c>
      <c r="E59" s="16">
        <v>100</v>
      </c>
      <c r="F59" s="7">
        <f>F37*1/60*1000000/(F$51*0.0283)*(21-7)/(21-F$52)</f>
        <v>247212.10712087844</v>
      </c>
      <c r="G59" s="16">
        <v>100</v>
      </c>
      <c r="H59" s="7">
        <f>H37*1/60*1000000/(H$51*0.0283)*(21-7)/(21-H$52)</f>
        <v>239580.80146677332</v>
      </c>
      <c r="I59" s="16">
        <v>100</v>
      </c>
      <c r="J59" s="7">
        <f>J37*1/60*1000000/(J$51*0.0283)*(21-7)/(21-J$52)</f>
        <v>221037.24444542077</v>
      </c>
      <c r="K59" s="75"/>
      <c r="L59" s="7">
        <f>L37*1/60*1000000/(L$51*0.0283)*(21-7)/(21-L$52)</f>
        <v>383463.78397162486</v>
      </c>
      <c r="M59" s="75"/>
      <c r="N59" s="7">
        <f>N37*1/60*1000000/(N$51*0.0283)*(21-7)/(21-N$52)</f>
        <v>354585.84531897557</v>
      </c>
      <c r="O59" s="53"/>
      <c r="P59" s="7">
        <f>P37*1/60*1000000/(P$51*0.0283)*(21-7)/(21-P$52)</f>
        <v>255881.5465142676</v>
      </c>
      <c r="Q59" s="104"/>
      <c r="R59" s="7">
        <f>R37*1/60*1000000/(R$51*0.0283)*(21-7)/(21-R$52)</f>
        <v>1469410.9644862583</v>
      </c>
      <c r="S59" s="75"/>
      <c r="T59" s="7">
        <f>T37*1/60*1000000/(T$51*0.0283)*(21-7)/(21-T$52)</f>
        <v>1325087.9053309117</v>
      </c>
      <c r="U59" s="53"/>
      <c r="V59" s="7">
        <f>V37*1/60*1000000/(V$51*0.0283)*(21-7)/(21-V$52)</f>
        <v>1318467.5701847344</v>
      </c>
      <c r="W59" s="53">
        <f>SUM((R59*Q59/100),(L59*K59/100),(F59*E59/100))/X59*100</f>
        <v>11.771518233361325</v>
      </c>
      <c r="X59" s="7">
        <f>F59+L59+R59</f>
        <v>2100086.8555787615</v>
      </c>
      <c r="Y59" s="7">
        <f>SUM((T59*S59/100),(N59*M59/100),(H59*G59/100))/Z59*100</f>
        <v>12.483013324238327</v>
      </c>
      <c r="Z59" s="7">
        <f>H59+N59+T59</f>
        <v>1919254.5521166606</v>
      </c>
      <c r="AA59" s="7">
        <f>SUM((V59*U59/100),(P59*O59/100),(J59*I59/100))/AB59*100</f>
        <v>12.311402672376673</v>
      </c>
      <c r="AB59" s="7">
        <f>J59+P59+V59</f>
        <v>1795386.3611444228</v>
      </c>
      <c r="AC59" s="7">
        <f>SUM((V59*U59/100),(P59*O59/100),(J59*I59/100))/AB59*100</f>
        <v>12.311402672376673</v>
      </c>
      <c r="AD59" s="105">
        <f>AVERAGE(X59,Z59,AB59)</f>
        <v>1938242.5896132814</v>
      </c>
    </row>
    <row r="60" spans="5:29" ht="12.75">
      <c r="E60" s="16"/>
      <c r="F60" s="7"/>
      <c r="I60" s="16"/>
      <c r="J60" s="7"/>
      <c r="K60" s="7"/>
      <c r="L60" s="7"/>
      <c r="M60" s="7"/>
      <c r="N60" s="7"/>
      <c r="O60" s="7"/>
      <c r="P60" s="7"/>
      <c r="W60" s="53"/>
      <c r="Y60" s="53"/>
      <c r="AA60" s="53"/>
      <c r="AC60" s="53"/>
    </row>
    <row r="61" spans="2:35" ht="12.75">
      <c r="B61" s="4" t="s">
        <v>100</v>
      </c>
      <c r="D61" s="4" t="s">
        <v>34</v>
      </c>
      <c r="E61" s="16">
        <v>100</v>
      </c>
      <c r="F61" s="7">
        <f aca="true" t="shared" si="3" ref="F61:F71">F39*1/60*1000000/(F$51*0.0283)*(21-7)/(21-F$52)</f>
        <v>211.89609181789575</v>
      </c>
      <c r="G61" s="16">
        <v>100</v>
      </c>
      <c r="H61" s="7">
        <f aca="true" t="shared" si="4" ref="H61:H71">H39*1/60*1000000/(H$51*0.0283)*(21-7)/(21-H$52)</f>
        <v>194.25470389197838</v>
      </c>
      <c r="I61" s="16">
        <v>100</v>
      </c>
      <c r="J61" s="7">
        <f aca="true" t="shared" si="5" ref="J61:J71">J39*1/60*1000000/(J$51*0.0283)*(21-7)/(21-J$52)</f>
        <v>195.0328627459595</v>
      </c>
      <c r="K61" s="14">
        <v>100</v>
      </c>
      <c r="L61" s="7">
        <f aca="true" t="shared" si="6" ref="L61:L71">L39*1/60*1000000/(L$51*0.0283)*(21-7)/(21-L$52)</f>
        <v>133.54799033596856</v>
      </c>
      <c r="M61" s="14">
        <v>100</v>
      </c>
      <c r="N61" s="7">
        <f aca="true" t="shared" si="7" ref="N61:N71">N39*1/60*1000000/(N$51*0.0283)*(21-7)/(21-N$52)</f>
        <v>124.21422377463348</v>
      </c>
      <c r="O61" s="14">
        <v>100</v>
      </c>
      <c r="P61" s="7">
        <f aca="true" t="shared" si="8" ref="P61:P71">P39*1/60*1000000/(P$51*0.0283)*(21-7)/(21-P$52)</f>
        <v>132.66516916641766</v>
      </c>
      <c r="R61" s="7">
        <f aca="true" t="shared" si="9" ref="R61:R71">R39*1/60*1000000/(R$51*0.0283)*(21-7)/(21-R$52)</f>
        <v>0</v>
      </c>
      <c r="S61" s="16"/>
      <c r="T61" s="7">
        <f aca="true" t="shared" si="10" ref="T61:T71">T39*1/60*1000000/(T$51*0.0283)*(21-7)/(21-T$52)</f>
        <v>0</v>
      </c>
      <c r="V61" s="7">
        <f aca="true" t="shared" si="11" ref="V61:V71">V39*1/60*1000000/(V$51*0.0283)*(21-7)/(21-V$52)</f>
        <v>0</v>
      </c>
      <c r="W61" s="53">
        <f>SUM((R61*Q61/100),(L61*K61/100),(F61*E61/100))/X61*100</f>
        <v>100</v>
      </c>
      <c r="X61" s="7">
        <f aca="true" t="shared" si="12" ref="X61:X71">F61+L61+R61</f>
        <v>345.4440821538643</v>
      </c>
      <c r="Y61" s="53">
        <f>SUM((T61*S61/100),(N61*M61/100),(H61*G61/100))/Z61*100</f>
        <v>100</v>
      </c>
      <c r="Z61" s="7">
        <f aca="true" t="shared" si="13" ref="Z61:Z71">H61+N61+T61</f>
        <v>318.4689276666119</v>
      </c>
      <c r="AA61" s="53">
        <f>SUM((V61*U61/100),(P61*O61/100),(J61*I61/100))/AB61*100</f>
        <v>100</v>
      </c>
      <c r="AB61" s="7">
        <f aca="true" t="shared" si="14" ref="AB61:AB71">J61+P61+V61</f>
        <v>327.69803191237713</v>
      </c>
      <c r="AC61" s="53">
        <f>SUM((V61*U61/100),(P61*O61/100),(J61*I61/100))/AB61*100</f>
        <v>100</v>
      </c>
      <c r="AD61" s="105">
        <f aca="true" t="shared" si="15" ref="AD61:AD71">AVERAGE(X61,Z61,AB61)</f>
        <v>330.5370139109511</v>
      </c>
      <c r="AE61" s="7"/>
      <c r="AF61" s="16"/>
      <c r="AG61" s="7"/>
      <c r="AI61" s="7"/>
    </row>
    <row r="62" spans="2:35" ht="12.75">
      <c r="B62" s="4" t="s">
        <v>99</v>
      </c>
      <c r="D62" s="4" t="s">
        <v>34</v>
      </c>
      <c r="E62" s="16"/>
      <c r="F62" s="7">
        <f t="shared" si="3"/>
        <v>11795.867820054149</v>
      </c>
      <c r="H62" s="7">
        <f t="shared" si="4"/>
        <v>10034.439858880229</v>
      </c>
      <c r="I62" s="16"/>
      <c r="J62" s="7">
        <f t="shared" si="5"/>
        <v>9816.664251095659</v>
      </c>
      <c r="K62" s="14">
        <v>100</v>
      </c>
      <c r="L62" s="7">
        <f t="shared" si="6"/>
        <v>47.69571083427449</v>
      </c>
      <c r="M62" s="14">
        <v>100</v>
      </c>
      <c r="N62" s="7">
        <f t="shared" si="7"/>
        <v>53.234667331985776</v>
      </c>
      <c r="O62" s="14">
        <v>100</v>
      </c>
      <c r="P62" s="7">
        <f t="shared" si="8"/>
        <v>53.06606766656706</v>
      </c>
      <c r="R62" s="7">
        <f t="shared" si="9"/>
        <v>31506.878216431276</v>
      </c>
      <c r="S62" s="16"/>
      <c r="T62" s="7">
        <f t="shared" si="10"/>
        <v>43828.00836963905</v>
      </c>
      <c r="V62" s="7">
        <f t="shared" si="11"/>
        <v>59933.47772644228</v>
      </c>
      <c r="W62" s="53"/>
      <c r="X62" s="7">
        <f t="shared" si="12"/>
        <v>43350.441747319695</v>
      </c>
      <c r="Y62" s="53"/>
      <c r="Z62" s="7">
        <f t="shared" si="13"/>
        <v>53915.68289585126</v>
      </c>
      <c r="AA62" s="53"/>
      <c r="AB62" s="7">
        <f t="shared" si="14"/>
        <v>69803.2080452045</v>
      </c>
      <c r="AC62" s="53"/>
      <c r="AD62" s="105">
        <f t="shared" si="15"/>
        <v>55689.77756279182</v>
      </c>
      <c r="AE62" s="7"/>
      <c r="AF62" s="16"/>
      <c r="AG62" s="7"/>
      <c r="AI62" s="7"/>
    </row>
    <row r="63" spans="2:35" ht="12.75">
      <c r="B63" s="4" t="s">
        <v>101</v>
      </c>
      <c r="D63" s="4" t="s">
        <v>34</v>
      </c>
      <c r="E63" s="16"/>
      <c r="F63" s="7">
        <f t="shared" si="3"/>
        <v>12007.53148629205</v>
      </c>
      <c r="H63" s="7">
        <f t="shared" si="4"/>
        <v>10595.722165896717</v>
      </c>
      <c r="I63" s="16"/>
      <c r="J63" s="7">
        <f t="shared" si="5"/>
        <v>9751.352864468521</v>
      </c>
      <c r="L63" s="7">
        <f t="shared" si="6"/>
        <v>3927.9114113638225</v>
      </c>
      <c r="N63" s="7">
        <f t="shared" si="7"/>
        <v>3368.3012904831335</v>
      </c>
      <c r="P63" s="7">
        <f t="shared" si="8"/>
        <v>3529.233818110901</v>
      </c>
      <c r="R63" s="7">
        <f t="shared" si="9"/>
        <v>0</v>
      </c>
      <c r="S63" s="16"/>
      <c r="T63" s="7">
        <f t="shared" si="10"/>
        <v>0</v>
      </c>
      <c r="V63" s="7">
        <f t="shared" si="11"/>
        <v>0</v>
      </c>
      <c r="W63" s="53"/>
      <c r="X63" s="7">
        <f t="shared" si="12"/>
        <v>15935.442897655872</v>
      </c>
      <c r="Y63" s="53"/>
      <c r="Z63" s="7">
        <f t="shared" si="13"/>
        <v>13964.023456379851</v>
      </c>
      <c r="AA63" s="53"/>
      <c r="AB63" s="7">
        <f t="shared" si="14"/>
        <v>13280.586682579422</v>
      </c>
      <c r="AC63" s="53"/>
      <c r="AD63" s="105">
        <f t="shared" si="15"/>
        <v>14393.351012205048</v>
      </c>
      <c r="AE63" s="7"/>
      <c r="AF63" s="16"/>
      <c r="AG63" s="7"/>
      <c r="AI63" s="7"/>
    </row>
    <row r="64" spans="2:35" ht="12.75">
      <c r="B64" s="4" t="s">
        <v>102</v>
      </c>
      <c r="D64" s="4" t="s">
        <v>34</v>
      </c>
      <c r="E64" s="16"/>
      <c r="F64" s="7">
        <f t="shared" si="3"/>
        <v>296.59876797667437</v>
      </c>
      <c r="H64" s="7">
        <f t="shared" si="4"/>
        <v>336.52640485620486</v>
      </c>
      <c r="I64" s="16"/>
      <c r="J64" s="7">
        <f t="shared" si="5"/>
        <v>253.38399071084092</v>
      </c>
      <c r="K64" s="14">
        <v>100</v>
      </c>
      <c r="L64" s="7">
        <f t="shared" si="6"/>
        <v>1.9078284333709798</v>
      </c>
      <c r="M64" s="14">
        <v>100</v>
      </c>
      <c r="N64" s="7">
        <f t="shared" si="7"/>
        <v>1.7744889110661926</v>
      </c>
      <c r="O64" s="14">
        <v>100</v>
      </c>
      <c r="P64" s="7">
        <f t="shared" si="8"/>
        <v>1.7688689222189018</v>
      </c>
      <c r="R64" s="7">
        <f t="shared" si="9"/>
        <v>7660.337271106655</v>
      </c>
      <c r="S64" s="16"/>
      <c r="T64" s="7">
        <f t="shared" si="10"/>
        <v>7073.7364342066885</v>
      </c>
      <c r="V64" s="7">
        <f t="shared" si="11"/>
        <v>6561.3754157819185</v>
      </c>
      <c r="W64" s="53"/>
      <c r="X64" s="7">
        <f t="shared" si="12"/>
        <v>7958.8438675167</v>
      </c>
      <c r="Y64" s="53"/>
      <c r="Z64" s="7">
        <f t="shared" si="13"/>
        <v>7412.03732797396</v>
      </c>
      <c r="AA64" s="53"/>
      <c r="AB64" s="7">
        <f t="shared" si="14"/>
        <v>6816.528275414978</v>
      </c>
      <c r="AC64" s="53"/>
      <c r="AD64" s="105">
        <f t="shared" si="15"/>
        <v>7395.803156968545</v>
      </c>
      <c r="AE64" s="7"/>
      <c r="AF64" s="16"/>
      <c r="AG64" s="7"/>
      <c r="AI64" s="7"/>
    </row>
    <row r="65" spans="2:35" ht="12.75">
      <c r="B65" s="4" t="s">
        <v>103</v>
      </c>
      <c r="D65" s="4" t="s">
        <v>34</v>
      </c>
      <c r="E65" s="16"/>
      <c r="F65" s="7">
        <f t="shared" si="3"/>
        <v>31.008053015743233</v>
      </c>
      <c r="H65" s="7">
        <f t="shared" si="4"/>
        <v>38.2692482056695</v>
      </c>
      <c r="I65" s="16"/>
      <c r="J65" s="7">
        <f t="shared" si="5"/>
        <v>30.841488129481828</v>
      </c>
      <c r="L65" s="7">
        <f t="shared" si="6"/>
        <v>24.26717192536427</v>
      </c>
      <c r="N65" s="7">
        <f t="shared" si="7"/>
        <v>21.86814183181114</v>
      </c>
      <c r="P65" s="7">
        <f t="shared" si="8"/>
        <v>22.979932331770776</v>
      </c>
      <c r="R65" s="7">
        <f t="shared" si="9"/>
        <v>42978.5096560382</v>
      </c>
      <c r="S65" s="16"/>
      <c r="T65" s="7">
        <f t="shared" si="10"/>
        <v>39955.524920255826</v>
      </c>
      <c r="V65" s="7">
        <f t="shared" si="11"/>
        <v>39800.63806356562</v>
      </c>
      <c r="W65" s="53"/>
      <c r="X65" s="7">
        <f t="shared" si="12"/>
        <v>43033.78488097931</v>
      </c>
      <c r="Y65" s="53"/>
      <c r="Z65" s="7">
        <f t="shared" si="13"/>
        <v>40015.66231029331</v>
      </c>
      <c r="AA65" s="53"/>
      <c r="AB65" s="7">
        <f t="shared" si="14"/>
        <v>39854.45948402687</v>
      </c>
      <c r="AC65" s="53"/>
      <c r="AD65" s="105">
        <f t="shared" si="15"/>
        <v>40967.9688917665</v>
      </c>
      <c r="AE65" s="7"/>
      <c r="AF65" s="16"/>
      <c r="AG65" s="7"/>
      <c r="AI65" s="7"/>
    </row>
    <row r="66" spans="2:35" ht="12.75">
      <c r="B66" s="4" t="s">
        <v>104</v>
      </c>
      <c r="D66" s="4" t="s">
        <v>34</v>
      </c>
      <c r="E66" s="16"/>
      <c r="F66" s="7">
        <f t="shared" si="3"/>
        <v>18576.52010886635</v>
      </c>
      <c r="H66" s="7">
        <f t="shared" si="4"/>
        <v>17139.7636090662</v>
      </c>
      <c r="I66" s="16"/>
      <c r="J66" s="7">
        <f t="shared" si="5"/>
        <v>15277.421855198028</v>
      </c>
      <c r="L66" s="7">
        <f t="shared" si="6"/>
        <v>308.73235393935664</v>
      </c>
      <c r="N66" s="7">
        <f t="shared" si="7"/>
        <v>283.6783954293279</v>
      </c>
      <c r="P66" s="7">
        <f t="shared" si="8"/>
        <v>282.4112736562356</v>
      </c>
      <c r="R66" s="7">
        <f t="shared" si="9"/>
        <v>105619.49536460279</v>
      </c>
      <c r="S66" s="16"/>
      <c r="T66" s="7">
        <f t="shared" si="10"/>
        <v>97905.49332617113</v>
      </c>
      <c r="V66" s="7">
        <f t="shared" si="11"/>
        <v>92904.23800698108</v>
      </c>
      <c r="W66" s="53"/>
      <c r="X66" s="7">
        <f t="shared" si="12"/>
        <v>124504.74782740849</v>
      </c>
      <c r="Y66" s="53"/>
      <c r="Z66" s="7">
        <f t="shared" si="13"/>
        <v>115328.93533066666</v>
      </c>
      <c r="AA66" s="53"/>
      <c r="AB66" s="7">
        <f t="shared" si="14"/>
        <v>108464.07113583534</v>
      </c>
      <c r="AC66" s="53"/>
      <c r="AD66" s="105">
        <f t="shared" si="15"/>
        <v>116099.25143130349</v>
      </c>
      <c r="AE66" s="7"/>
      <c r="AF66" s="16"/>
      <c r="AG66" s="7"/>
      <c r="AI66" s="7"/>
    </row>
    <row r="67" spans="2:35" ht="12.75">
      <c r="B67" s="4" t="s">
        <v>106</v>
      </c>
      <c r="D67" s="4" t="s">
        <v>34</v>
      </c>
      <c r="E67" s="16"/>
      <c r="F67" s="7">
        <f t="shared" si="3"/>
        <v>12572.417321665806</v>
      </c>
      <c r="H67" s="7">
        <f t="shared" si="4"/>
        <v>10782.816268235543</v>
      </c>
      <c r="I67" s="16"/>
      <c r="J67" s="7">
        <f t="shared" si="5"/>
        <v>15147.403817005114</v>
      </c>
      <c r="L67" s="7">
        <f t="shared" si="6"/>
        <v>336.3699664099103</v>
      </c>
      <c r="N67" s="7">
        <f t="shared" si="7"/>
        <v>345.6381306194595</v>
      </c>
      <c r="P67" s="7">
        <f t="shared" si="8"/>
        <v>361.6315666947085</v>
      </c>
      <c r="R67" s="7">
        <f t="shared" si="9"/>
        <v>334482.5197046042</v>
      </c>
      <c r="S67" s="16"/>
      <c r="T67" s="7">
        <f t="shared" si="10"/>
        <v>322980.30588816624</v>
      </c>
      <c r="V67" s="7">
        <f t="shared" si="11"/>
        <v>320630.5295343385</v>
      </c>
      <c r="W67" s="53"/>
      <c r="X67" s="7">
        <f t="shared" si="12"/>
        <v>347391.3069926799</v>
      </c>
      <c r="Y67" s="53"/>
      <c r="Z67" s="7">
        <f t="shared" si="13"/>
        <v>334108.7602870212</v>
      </c>
      <c r="AA67" s="53"/>
      <c r="AB67" s="7">
        <f t="shared" si="14"/>
        <v>336139.5649180383</v>
      </c>
      <c r="AC67" s="53"/>
      <c r="AD67" s="105">
        <f t="shared" si="15"/>
        <v>339213.2107325798</v>
      </c>
      <c r="AE67" s="7"/>
      <c r="AF67" s="16"/>
      <c r="AG67" s="7"/>
      <c r="AI67" s="7"/>
    </row>
    <row r="68" spans="2:35" ht="12.75">
      <c r="B68" s="4" t="s">
        <v>107</v>
      </c>
      <c r="D68" s="4" t="s">
        <v>34</v>
      </c>
      <c r="E68" s="16">
        <v>100</v>
      </c>
      <c r="F68" s="7">
        <f t="shared" si="3"/>
        <v>70.63203060596524</v>
      </c>
      <c r="G68" s="16">
        <v>100</v>
      </c>
      <c r="H68" s="7">
        <f t="shared" si="4"/>
        <v>64.7515679639928</v>
      </c>
      <c r="I68" s="16">
        <v>100</v>
      </c>
      <c r="J68" s="7">
        <f t="shared" si="5"/>
        <v>65.01095424865318</v>
      </c>
      <c r="K68" s="14">
        <v>100</v>
      </c>
      <c r="L68" s="7">
        <f t="shared" si="6"/>
        <v>9.5391421668549</v>
      </c>
      <c r="M68" s="14">
        <v>100</v>
      </c>
      <c r="N68" s="7">
        <f t="shared" si="7"/>
        <v>8.872444555330965</v>
      </c>
      <c r="O68" s="14">
        <v>100</v>
      </c>
      <c r="P68" s="7">
        <f t="shared" si="8"/>
        <v>8.844344611094513</v>
      </c>
      <c r="R68" s="7">
        <f t="shared" si="9"/>
        <v>0</v>
      </c>
      <c r="S68" s="16"/>
      <c r="T68" s="7">
        <f t="shared" si="10"/>
        <v>0</v>
      </c>
      <c r="V68" s="7">
        <f t="shared" si="11"/>
        <v>0</v>
      </c>
      <c r="W68" s="53">
        <f>SUM((R68*Q68/100),(L68*K68/100),(F68*E68/100))/X68*100</f>
        <v>100</v>
      </c>
      <c r="X68" s="5">
        <f t="shared" si="12"/>
        <v>80.17117277282014</v>
      </c>
      <c r="Y68" s="53">
        <f>SUM((T68*S68/100),(N68*M68/100),(H68*G68/100))/Z68*100</f>
        <v>100</v>
      </c>
      <c r="Z68" s="5">
        <f t="shared" si="13"/>
        <v>73.62401251932377</v>
      </c>
      <c r="AA68" s="53">
        <f>SUM((V68*U68/100),(P68*O68/100),(J68*I68/100))/AB68*100</f>
        <v>100</v>
      </c>
      <c r="AB68" s="5">
        <f t="shared" si="14"/>
        <v>73.85529885974769</v>
      </c>
      <c r="AC68" s="53">
        <f>SUM((V68*U68/100),(P68*O68/100),(J68*I68/100))/AB68*100</f>
        <v>100</v>
      </c>
      <c r="AD68" s="105">
        <f t="shared" si="15"/>
        <v>75.8834947172972</v>
      </c>
      <c r="AE68" s="7"/>
      <c r="AF68" s="16"/>
      <c r="AG68" s="7"/>
      <c r="AI68" s="7"/>
    </row>
    <row r="69" spans="2:35" ht="12.75">
      <c r="B69" s="4" t="s">
        <v>108</v>
      </c>
      <c r="D69" s="4" t="s">
        <v>34</v>
      </c>
      <c r="E69" s="16"/>
      <c r="F69" s="7">
        <f t="shared" si="3"/>
        <v>32490.73407874401</v>
      </c>
      <c r="H69" s="7">
        <f t="shared" si="4"/>
        <v>29138.20558379676</v>
      </c>
      <c r="I69" s="16"/>
      <c r="J69" s="7">
        <f t="shared" si="5"/>
        <v>29905.038954380456</v>
      </c>
      <c r="L69" s="7">
        <f t="shared" si="6"/>
        <v>333.86997583992144</v>
      </c>
      <c r="N69" s="7">
        <f t="shared" si="7"/>
        <v>266.17333665992896</v>
      </c>
      <c r="P69" s="7">
        <f t="shared" si="8"/>
        <v>274.17468294392984</v>
      </c>
      <c r="R69" s="7">
        <f t="shared" si="9"/>
        <v>0</v>
      </c>
      <c r="S69" s="16"/>
      <c r="T69" s="7">
        <f t="shared" si="10"/>
        <v>0</v>
      </c>
      <c r="V69" s="7">
        <f t="shared" si="11"/>
        <v>0</v>
      </c>
      <c r="W69" s="53"/>
      <c r="X69" s="7">
        <f t="shared" si="12"/>
        <v>32824.604054583935</v>
      </c>
      <c r="Y69" s="53"/>
      <c r="Z69" s="7">
        <f t="shared" si="13"/>
        <v>29404.37892045669</v>
      </c>
      <c r="AA69" s="53"/>
      <c r="AB69" s="7">
        <f t="shared" si="14"/>
        <v>30179.213637324385</v>
      </c>
      <c r="AC69" s="53"/>
      <c r="AD69" s="105">
        <f t="shared" si="15"/>
        <v>30802.73220412167</v>
      </c>
      <c r="AE69" s="7"/>
      <c r="AF69" s="16"/>
      <c r="AG69" s="7"/>
      <c r="AI69" s="7"/>
    </row>
    <row r="70" spans="2:35" ht="12.75">
      <c r="B70" s="4" t="s">
        <v>110</v>
      </c>
      <c r="D70" s="4" t="s">
        <v>34</v>
      </c>
      <c r="E70" s="16">
        <v>100</v>
      </c>
      <c r="F70" s="7">
        <f t="shared" si="3"/>
        <v>706.3203060596525</v>
      </c>
      <c r="G70" s="16">
        <v>100</v>
      </c>
      <c r="H70" s="7">
        <f t="shared" si="4"/>
        <v>647.515679639928</v>
      </c>
      <c r="I70" s="16">
        <v>100</v>
      </c>
      <c r="J70" s="7">
        <f t="shared" si="5"/>
        <v>650.1095424865316</v>
      </c>
      <c r="K70" s="14">
        <v>100</v>
      </c>
      <c r="L70" s="7">
        <f t="shared" si="6"/>
        <v>95.39142166854899</v>
      </c>
      <c r="M70" s="14">
        <v>100</v>
      </c>
      <c r="N70" s="7">
        <f t="shared" si="7"/>
        <v>123.91947038026314</v>
      </c>
      <c r="O70" s="14">
        <v>100</v>
      </c>
      <c r="P70" s="7">
        <f t="shared" si="8"/>
        <v>88.44344611094509</v>
      </c>
      <c r="R70" s="7">
        <f t="shared" si="9"/>
        <v>0</v>
      </c>
      <c r="S70" s="16"/>
      <c r="T70" s="7">
        <f t="shared" si="10"/>
        <v>0</v>
      </c>
      <c r="V70" s="7">
        <f t="shared" si="11"/>
        <v>0</v>
      </c>
      <c r="W70" s="53">
        <f>SUM((R70*Q70/100),(L70*K70/100),(F70*E70/100))/X70*100</f>
        <v>100</v>
      </c>
      <c r="X70" s="7">
        <f t="shared" si="12"/>
        <v>801.7117277282015</v>
      </c>
      <c r="Y70" s="53">
        <f>SUM((T70*S70/100),(N70*M70/100),(H70*G70/100))/Z70*100</f>
        <v>100</v>
      </c>
      <c r="Z70" s="7">
        <f t="shared" si="13"/>
        <v>771.435150020191</v>
      </c>
      <c r="AA70" s="53">
        <f>SUM((V70*U70/100),(P70*O70/100),(J70*I70/100))/AB70*100</f>
        <v>100.00000000000003</v>
      </c>
      <c r="AB70" s="7">
        <f t="shared" si="14"/>
        <v>738.5529885974767</v>
      </c>
      <c r="AC70" s="53">
        <f>SUM((V70*U70/100),(P70*O70/100),(J70*I70/100))/AB70*100</f>
        <v>100.00000000000003</v>
      </c>
      <c r="AD70" s="105">
        <f t="shared" si="15"/>
        <v>770.5666221152896</v>
      </c>
      <c r="AE70" s="7"/>
      <c r="AF70" s="16"/>
      <c r="AG70" s="7"/>
      <c r="AI70" s="7"/>
    </row>
    <row r="71" spans="2:35" ht="12.75">
      <c r="B71" s="4" t="s">
        <v>111</v>
      </c>
      <c r="D71" s="4" t="s">
        <v>34</v>
      </c>
      <c r="E71" s="16">
        <v>100</v>
      </c>
      <c r="F71" s="7">
        <f t="shared" si="3"/>
        <v>706.3203060596525</v>
      </c>
      <c r="G71" s="16">
        <v>100</v>
      </c>
      <c r="H71" s="7">
        <f t="shared" si="4"/>
        <v>647.515679639928</v>
      </c>
      <c r="I71" s="16">
        <v>100</v>
      </c>
      <c r="J71" s="7">
        <f t="shared" si="5"/>
        <v>650.1095424865316</v>
      </c>
      <c r="K71" s="14">
        <v>100</v>
      </c>
      <c r="L71" s="7">
        <f t="shared" si="6"/>
        <v>95.39142166854899</v>
      </c>
      <c r="M71" s="14">
        <v>100</v>
      </c>
      <c r="N71" s="7">
        <f t="shared" si="7"/>
        <v>88.72444555330962</v>
      </c>
      <c r="O71" s="14">
        <v>100</v>
      </c>
      <c r="P71" s="7">
        <f t="shared" si="8"/>
        <v>88.44344611094509</v>
      </c>
      <c r="R71" s="7">
        <f t="shared" si="9"/>
        <v>0</v>
      </c>
      <c r="S71" s="16"/>
      <c r="T71" s="7">
        <f t="shared" si="10"/>
        <v>0</v>
      </c>
      <c r="V71" s="7">
        <f t="shared" si="11"/>
        <v>0</v>
      </c>
      <c r="W71" s="53">
        <f>SUM((R71*Q71/100),(L71*K71/100),(F71*E71/100))/X71*100</f>
        <v>100</v>
      </c>
      <c r="X71" s="7">
        <f t="shared" si="12"/>
        <v>801.7117277282015</v>
      </c>
      <c r="Y71" s="53">
        <f>SUM((T71*S71/100),(N71*M71/100),(H71*G71/100))/Z71*100</f>
        <v>100</v>
      </c>
      <c r="Z71" s="7">
        <f t="shared" si="13"/>
        <v>736.2401251932375</v>
      </c>
      <c r="AA71" s="53">
        <f>SUM((V71*U71/100),(P71*O71/100),(J71*I71/100))/AB71*100</f>
        <v>100.00000000000003</v>
      </c>
      <c r="AB71" s="7">
        <f t="shared" si="14"/>
        <v>738.5529885974767</v>
      </c>
      <c r="AC71" s="53">
        <f>SUM((V71*U71/100),(P71*O71/100),(J71*I71/100))/AB71*100</f>
        <v>100.00000000000003</v>
      </c>
      <c r="AD71" s="105">
        <f t="shared" si="15"/>
        <v>758.834947172972</v>
      </c>
      <c r="AE71" s="7"/>
      <c r="AF71" s="16"/>
      <c r="AG71" s="7"/>
      <c r="AI71" s="7"/>
    </row>
    <row r="72" spans="6:35" ht="12.75">
      <c r="F72" s="7"/>
      <c r="H72" s="7"/>
      <c r="J72" s="7"/>
      <c r="L72" s="7"/>
      <c r="M72" s="16"/>
      <c r="N72" s="7"/>
      <c r="P72" s="7"/>
      <c r="R72" s="7"/>
      <c r="S72" s="16"/>
      <c r="T72" s="7"/>
      <c r="V72" s="7"/>
      <c r="X72" s="7"/>
      <c r="Y72" s="53"/>
      <c r="Z72" s="7"/>
      <c r="AA72" s="58"/>
      <c r="AB72" s="7"/>
      <c r="AE72" s="7"/>
      <c r="AF72" s="16"/>
      <c r="AG72" s="7"/>
      <c r="AI72" s="7"/>
    </row>
    <row r="73" spans="2:35" ht="12.75">
      <c r="B73" s="4" t="s">
        <v>35</v>
      </c>
      <c r="D73" s="4" t="s">
        <v>34</v>
      </c>
      <c r="F73" s="7">
        <f>F65+F67</f>
        <v>12603.425374681548</v>
      </c>
      <c r="H73" s="7">
        <f>H65+H67</f>
        <v>10821.085516441213</v>
      </c>
      <c r="J73" s="7">
        <f>J65+J67</f>
        <v>15178.245305134595</v>
      </c>
      <c r="L73" s="7">
        <f>L65+L67</f>
        <v>360.6371383352746</v>
      </c>
      <c r="M73" s="16"/>
      <c r="N73" s="7">
        <f>N65+N67</f>
        <v>367.50627245127066</v>
      </c>
      <c r="P73" s="7">
        <f>P65+P67</f>
        <v>384.6114990264793</v>
      </c>
      <c r="R73" s="7">
        <f>R65+R67</f>
        <v>377461.02936064237</v>
      </c>
      <c r="S73" s="16"/>
      <c r="T73" s="7">
        <f>T65+T67</f>
        <v>362935.83080842206</v>
      </c>
      <c r="V73" s="7">
        <f>V65+V67</f>
        <v>360431.1675979041</v>
      </c>
      <c r="X73" s="7">
        <f>F73+L73+R73</f>
        <v>390425.09187365917</v>
      </c>
      <c r="Y73" s="53"/>
      <c r="Z73" s="7">
        <f>H73+N73+T73</f>
        <v>374124.4225973145</v>
      </c>
      <c r="AA73" s="7"/>
      <c r="AB73" s="7">
        <f>J73+P73+V73</f>
        <v>375994.0244020652</v>
      </c>
      <c r="AD73" s="21">
        <f>AVERAGE(X73,Z73,AB73)</f>
        <v>380181.1796243463</v>
      </c>
      <c r="AE73" s="7"/>
      <c r="AF73" s="16"/>
      <c r="AG73" s="7"/>
      <c r="AI73" s="7"/>
    </row>
    <row r="74" spans="2:35" ht="12.75">
      <c r="B74" s="4" t="s">
        <v>36</v>
      </c>
      <c r="D74" s="4" t="s">
        <v>34</v>
      </c>
      <c r="F74" s="7">
        <f>F62+F64+F66</f>
        <v>30668.986696897173</v>
      </c>
      <c r="H74" s="7">
        <f>H62+H64+H66</f>
        <v>27510.729872802636</v>
      </c>
      <c r="J74" s="7">
        <f>J62+J64+J66</f>
        <v>25347.47009700453</v>
      </c>
      <c r="L74" s="7">
        <f>L62+L64+L66</f>
        <v>358.33589320700213</v>
      </c>
      <c r="M74" s="16"/>
      <c r="N74" s="7">
        <f>N62+N64+N66</f>
        <v>338.68755167237987</v>
      </c>
      <c r="P74" s="7">
        <f>P62+P64+P66</f>
        <v>337.2462102450216</v>
      </c>
      <c r="R74" s="7">
        <f>R62+R64+R66</f>
        <v>144786.71085214074</v>
      </c>
      <c r="S74" s="16"/>
      <c r="T74" s="7">
        <f>T62+T64+T66</f>
        <v>148807.23813001686</v>
      </c>
      <c r="V74" s="7">
        <f>V62+V64+V66</f>
        <v>159399.09114920528</v>
      </c>
      <c r="X74" s="7">
        <f>F74+L74+R74</f>
        <v>175814.03344224492</v>
      </c>
      <c r="Y74" s="53"/>
      <c r="Z74" s="7">
        <f>H74+N74+T74</f>
        <v>176656.65555449188</v>
      </c>
      <c r="AA74" s="7"/>
      <c r="AB74" s="7">
        <f>J74+P74+V74</f>
        <v>185083.80745645484</v>
      </c>
      <c r="AD74" s="21">
        <f>AVERAGE(X74,Z74,AB74)</f>
        <v>179184.83215106386</v>
      </c>
      <c r="AE74" s="7"/>
      <c r="AF74" s="16"/>
      <c r="AG74" s="7"/>
      <c r="AI74" s="7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5"/>
  <sheetViews>
    <sheetView workbookViewId="0" topLeftCell="B6">
      <pane ySplit="1530" topLeftCell="BM1" activePane="bottomLeft" state="split"/>
      <selection pane="topLeft" activeCell="D22" sqref="D22"/>
      <selection pane="bottomLeft" activeCell="D22" sqref="D22"/>
    </sheetView>
  </sheetViews>
  <sheetFormatPr defaultColWidth="9.140625" defaultRowHeight="12.75"/>
  <cols>
    <col min="1" max="1" width="6.7109375" style="87" hidden="1" customWidth="1"/>
    <col min="2" max="2" width="17.00390625" style="87" customWidth="1"/>
    <col min="3" max="3" width="4.8515625" style="87" customWidth="1"/>
    <col min="4" max="4" width="9.00390625" style="87" customWidth="1"/>
    <col min="5" max="5" width="3.7109375" style="87" customWidth="1"/>
    <col min="6" max="6" width="11.7109375" style="87" bestFit="1" customWidth="1"/>
    <col min="7" max="7" width="3.8515625" style="87" customWidth="1"/>
    <col min="8" max="8" width="11.7109375" style="87" customWidth="1"/>
    <col min="9" max="9" width="4.00390625" style="87" customWidth="1"/>
    <col min="10" max="10" width="11.7109375" style="87" bestFit="1" customWidth="1"/>
    <col min="11" max="11" width="1.8515625" style="87" customWidth="1"/>
    <col min="12" max="12" width="7.57421875" style="87" bestFit="1" customWidth="1"/>
    <col min="13" max="13" width="2.00390625" style="87" customWidth="1"/>
    <col min="14" max="14" width="7.57421875" style="87" bestFit="1" customWidth="1"/>
    <col min="15" max="15" width="2.8515625" style="87" customWidth="1"/>
    <col min="16" max="16" width="7.57421875" style="87" bestFit="1" customWidth="1"/>
    <col min="17" max="17" width="3.7109375" style="87" customWidth="1"/>
    <col min="18" max="18" width="8.00390625" style="87" bestFit="1" customWidth="1"/>
    <col min="19" max="19" width="3.7109375" style="87" customWidth="1"/>
    <col min="20" max="20" width="8.00390625" style="87" bestFit="1" customWidth="1"/>
    <col min="21" max="21" width="3.8515625" style="87" customWidth="1"/>
    <col min="22" max="22" width="8.00390625" style="87" bestFit="1" customWidth="1"/>
    <col min="23" max="23" width="3.8515625" style="87" customWidth="1"/>
    <col min="24" max="24" width="8.00390625" style="87" bestFit="1" customWidth="1"/>
    <col min="25" max="25" width="4.140625" style="87" customWidth="1"/>
    <col min="26" max="26" width="8.00390625" style="87" bestFit="1" customWidth="1"/>
    <col min="27" max="27" width="4.57421875" style="87" customWidth="1"/>
    <col min="28" max="28" width="8.00390625" style="87" bestFit="1" customWidth="1"/>
    <col min="29" max="29" width="4.140625" style="87" customWidth="1"/>
    <col min="30" max="30" width="8.8515625" style="87" bestFit="1" customWidth="1"/>
    <col min="31" max="31" width="2.28125" style="87" customWidth="1"/>
    <col min="32" max="16384" width="9.140625" style="87" customWidth="1"/>
  </cols>
  <sheetData>
    <row r="1" spans="2:3" ht="12.75">
      <c r="B1" s="13" t="s">
        <v>196</v>
      </c>
      <c r="C1" s="13"/>
    </row>
    <row r="4" spans="2:30" ht="12.75">
      <c r="B4" s="13" t="s">
        <v>177</v>
      </c>
      <c r="C4" s="13"/>
      <c r="F4" s="91" t="s">
        <v>166</v>
      </c>
      <c r="G4" s="91"/>
      <c r="H4" s="91" t="s">
        <v>167</v>
      </c>
      <c r="I4" s="91"/>
      <c r="J4" s="91" t="s">
        <v>168</v>
      </c>
      <c r="K4" s="91"/>
      <c r="L4" s="91" t="s">
        <v>166</v>
      </c>
      <c r="M4" s="91"/>
      <c r="N4" s="91" t="s">
        <v>167</v>
      </c>
      <c r="O4" s="91"/>
      <c r="P4" s="91" t="s">
        <v>168</v>
      </c>
      <c r="Q4" s="91"/>
      <c r="R4" s="91" t="s">
        <v>166</v>
      </c>
      <c r="S4" s="91"/>
      <c r="T4" s="91" t="s">
        <v>167</v>
      </c>
      <c r="U4" s="91"/>
      <c r="V4" s="91" t="s">
        <v>168</v>
      </c>
      <c r="W4" s="91"/>
      <c r="X4" s="91" t="s">
        <v>166</v>
      </c>
      <c r="Y4" s="91"/>
      <c r="Z4" s="91" t="s">
        <v>167</v>
      </c>
      <c r="AA4" s="91"/>
      <c r="AB4" s="91" t="s">
        <v>168</v>
      </c>
      <c r="AC4" s="91"/>
      <c r="AD4" s="91" t="s">
        <v>169</v>
      </c>
    </row>
    <row r="6" spans="2:30" ht="12.75">
      <c r="B6" s="87" t="s">
        <v>225</v>
      </c>
      <c r="F6" s="87" t="s">
        <v>227</v>
      </c>
      <c r="H6" s="87" t="s">
        <v>227</v>
      </c>
      <c r="J6" s="87" t="s">
        <v>227</v>
      </c>
      <c r="L6" s="87" t="s">
        <v>228</v>
      </c>
      <c r="N6" s="87" t="s">
        <v>228</v>
      </c>
      <c r="P6" s="87" t="s">
        <v>228</v>
      </c>
      <c r="R6" s="87" t="s">
        <v>230</v>
      </c>
      <c r="T6" s="87" t="s">
        <v>230</v>
      </c>
      <c r="V6" s="87" t="s">
        <v>230</v>
      </c>
      <c r="X6" s="87" t="s">
        <v>231</v>
      </c>
      <c r="Z6" s="87" t="s">
        <v>231</v>
      </c>
      <c r="AB6" s="87" t="s">
        <v>231</v>
      </c>
      <c r="AD6" s="87" t="s">
        <v>231</v>
      </c>
    </row>
    <row r="7" spans="2:30" ht="12.75">
      <c r="B7" s="87" t="s">
        <v>226</v>
      </c>
      <c r="F7" s="87" t="s">
        <v>184</v>
      </c>
      <c r="H7" s="87" t="s">
        <v>184</v>
      </c>
      <c r="J7" s="87" t="s">
        <v>184</v>
      </c>
      <c r="L7" s="87" t="s">
        <v>33</v>
      </c>
      <c r="N7" s="87" t="s">
        <v>33</v>
      </c>
      <c r="P7" s="87" t="s">
        <v>33</v>
      </c>
      <c r="R7" s="87" t="s">
        <v>229</v>
      </c>
      <c r="T7" s="87" t="s">
        <v>229</v>
      </c>
      <c r="V7" s="87" t="s">
        <v>229</v>
      </c>
      <c r="X7" s="87" t="s">
        <v>62</v>
      </c>
      <c r="Z7" s="87" t="s">
        <v>62</v>
      </c>
      <c r="AB7" s="87" t="s">
        <v>62</v>
      </c>
      <c r="AD7" s="87" t="s">
        <v>62</v>
      </c>
    </row>
    <row r="8" spans="2:30" ht="12.75">
      <c r="B8" s="87" t="s">
        <v>233</v>
      </c>
      <c r="F8" s="87" t="s">
        <v>234</v>
      </c>
      <c r="H8" s="87" t="s">
        <v>234</v>
      </c>
      <c r="J8" s="87" t="s">
        <v>234</v>
      </c>
      <c r="L8" s="87" t="s">
        <v>33</v>
      </c>
      <c r="N8" s="87" t="s">
        <v>33</v>
      </c>
      <c r="P8" s="87" t="s">
        <v>33</v>
      </c>
      <c r="R8" s="87" t="s">
        <v>40</v>
      </c>
      <c r="T8" s="87" t="s">
        <v>40</v>
      </c>
      <c r="V8" s="87" t="s">
        <v>40</v>
      </c>
      <c r="X8" s="87" t="s">
        <v>62</v>
      </c>
      <c r="Z8" s="87" t="s">
        <v>62</v>
      </c>
      <c r="AB8" s="87" t="s">
        <v>62</v>
      </c>
      <c r="AD8" s="87" t="s">
        <v>62</v>
      </c>
    </row>
    <row r="9" spans="2:30" ht="12.75">
      <c r="B9" s="87" t="s">
        <v>20</v>
      </c>
      <c r="F9" s="87" t="s">
        <v>184</v>
      </c>
      <c r="H9" s="87" t="s">
        <v>184</v>
      </c>
      <c r="J9" s="87" t="s">
        <v>184</v>
      </c>
      <c r="L9" s="87" t="s">
        <v>33</v>
      </c>
      <c r="N9" s="87" t="s">
        <v>33</v>
      </c>
      <c r="P9" s="87" t="s">
        <v>33</v>
      </c>
      <c r="R9" s="87" t="s">
        <v>185</v>
      </c>
      <c r="T9" s="87" t="s">
        <v>185</v>
      </c>
      <c r="V9" s="87" t="s">
        <v>185</v>
      </c>
      <c r="X9" s="87" t="s">
        <v>62</v>
      </c>
      <c r="Z9" s="87" t="s">
        <v>62</v>
      </c>
      <c r="AB9" s="87" t="s">
        <v>62</v>
      </c>
      <c r="AD9" s="87" t="s">
        <v>62</v>
      </c>
    </row>
    <row r="10" spans="1:22" ht="12.75">
      <c r="A10" s="87" t="s">
        <v>177</v>
      </c>
      <c r="B10" s="87" t="s">
        <v>186</v>
      </c>
      <c r="D10" s="87" t="s">
        <v>28</v>
      </c>
      <c r="F10" s="85">
        <v>20502</v>
      </c>
      <c r="G10" s="85"/>
      <c r="H10" s="85">
        <v>19442</v>
      </c>
      <c r="I10" s="85"/>
      <c r="J10" s="85">
        <v>19886</v>
      </c>
      <c r="K10" s="85"/>
      <c r="L10" s="88">
        <f>11640.5/454</f>
        <v>25.639867841409693</v>
      </c>
      <c r="M10" s="85"/>
      <c r="N10" s="88">
        <f>13783.4/454</f>
        <v>30.359911894273125</v>
      </c>
      <c r="O10" s="85"/>
      <c r="P10" s="88">
        <f>13665.6/454</f>
        <v>30.100440528634362</v>
      </c>
      <c r="Q10" s="85"/>
      <c r="R10" s="88">
        <f>1486810/454</f>
        <v>3274.911894273128</v>
      </c>
      <c r="S10" s="88"/>
      <c r="T10" s="88">
        <f>1485767/454</f>
        <v>3272.614537444934</v>
      </c>
      <c r="U10" s="88"/>
      <c r="V10" s="88">
        <f>1482682/454</f>
        <v>3265.819383259912</v>
      </c>
    </row>
    <row r="11" spans="1:22" ht="12.75">
      <c r="A11" s="87" t="s">
        <v>177</v>
      </c>
      <c r="B11" s="87" t="s">
        <v>187</v>
      </c>
      <c r="D11" s="87" t="s">
        <v>22</v>
      </c>
      <c r="F11" s="85"/>
      <c r="G11" s="85"/>
      <c r="H11" s="85"/>
      <c r="I11" s="85"/>
      <c r="J11" s="85"/>
      <c r="K11" s="85"/>
      <c r="L11" s="85">
        <v>0</v>
      </c>
      <c r="M11" s="85"/>
      <c r="N11" s="85">
        <v>0</v>
      </c>
      <c r="O11" s="85"/>
      <c r="P11" s="85">
        <v>0</v>
      </c>
      <c r="Q11" s="85"/>
      <c r="R11" s="89">
        <f>R12*1000000/R10</f>
        <v>10504.099380552996</v>
      </c>
      <c r="S11" s="85"/>
      <c r="T11" s="89">
        <f>T12*1000000/T10</f>
        <v>19097.880084831606</v>
      </c>
      <c r="U11" s="85"/>
      <c r="V11" s="89">
        <f>V12*1000000/V10</f>
        <v>10441.483743648336</v>
      </c>
    </row>
    <row r="12" spans="2:30" ht="12.75">
      <c r="B12" s="87" t="s">
        <v>232</v>
      </c>
      <c r="D12" s="87" t="s">
        <v>32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>
        <v>34.4</v>
      </c>
      <c r="S12" s="85"/>
      <c r="T12" s="85">
        <v>62.5</v>
      </c>
      <c r="U12" s="85"/>
      <c r="V12" s="85">
        <v>34.1</v>
      </c>
      <c r="X12" s="87">
        <f>R12</f>
        <v>34.4</v>
      </c>
      <c r="Z12" s="87">
        <f>T12</f>
        <v>62.5</v>
      </c>
      <c r="AB12" s="87">
        <f>V12</f>
        <v>34.1</v>
      </c>
      <c r="AD12" s="86">
        <f>AVERAGE(X12,Z12,AB12)</f>
        <v>43.666666666666664</v>
      </c>
    </row>
    <row r="13" spans="1:22" ht="12.75">
      <c r="A13" s="87" t="s">
        <v>177</v>
      </c>
      <c r="B13" s="87" t="s">
        <v>24</v>
      </c>
      <c r="D13" s="87" t="s">
        <v>28</v>
      </c>
      <c r="F13" s="106">
        <v>5.346155</v>
      </c>
      <c r="G13" s="106"/>
      <c r="H13" s="106">
        <v>5.16008676</v>
      </c>
      <c r="I13" s="106"/>
      <c r="J13" s="106">
        <v>5.0639662</v>
      </c>
      <c r="K13" s="85"/>
      <c r="L13" s="85"/>
      <c r="M13" s="85"/>
      <c r="N13" s="85"/>
      <c r="O13" s="85"/>
      <c r="P13" s="85"/>
      <c r="Q13" s="85"/>
      <c r="R13" s="106">
        <v>73.58050914</v>
      </c>
      <c r="S13" s="106"/>
      <c r="T13" s="106">
        <v>69.41668112</v>
      </c>
      <c r="U13" s="106"/>
      <c r="V13" s="106">
        <v>68.78748828</v>
      </c>
    </row>
    <row r="14" spans="1:22" ht="12.75">
      <c r="A14" s="87" t="s">
        <v>177</v>
      </c>
      <c r="B14" s="87" t="s">
        <v>100</v>
      </c>
      <c r="D14" s="87" t="s">
        <v>28</v>
      </c>
      <c r="F14" s="85">
        <v>0</v>
      </c>
      <c r="G14" s="85"/>
      <c r="H14" s="85">
        <v>0</v>
      </c>
      <c r="I14" s="85"/>
      <c r="J14" s="85">
        <v>0</v>
      </c>
      <c r="K14" s="85"/>
      <c r="L14" s="85"/>
      <c r="M14" s="85"/>
      <c r="N14" s="85"/>
      <c r="O14" s="85"/>
      <c r="P14" s="85"/>
      <c r="Q14" s="85"/>
      <c r="R14" s="106">
        <v>0.08201112</v>
      </c>
      <c r="S14" s="85"/>
      <c r="T14" s="106">
        <v>0.01344806</v>
      </c>
      <c r="U14" s="85"/>
      <c r="V14" s="106">
        <v>0.0066138</v>
      </c>
    </row>
    <row r="15" spans="1:22" ht="12.75">
      <c r="A15" s="87" t="s">
        <v>177</v>
      </c>
      <c r="B15" s="87" t="s">
        <v>99</v>
      </c>
      <c r="D15" s="87" t="s">
        <v>28</v>
      </c>
      <c r="F15" s="106">
        <v>0.4706821</v>
      </c>
      <c r="G15" s="85"/>
      <c r="H15" s="106">
        <v>0.55644104</v>
      </c>
      <c r="I15" s="85"/>
      <c r="J15" s="106">
        <v>0.40255996</v>
      </c>
      <c r="K15" s="85"/>
      <c r="L15" s="106">
        <v>0.56900726</v>
      </c>
      <c r="M15" s="84"/>
      <c r="N15" s="106">
        <v>0.56503898</v>
      </c>
      <c r="O15" s="106"/>
      <c r="P15" s="106">
        <v>0.55974794</v>
      </c>
      <c r="Q15" s="85"/>
      <c r="R15" s="106">
        <v>0.01521174</v>
      </c>
      <c r="S15" s="85">
        <v>1</v>
      </c>
      <c r="T15" s="106">
        <v>0.00529104</v>
      </c>
      <c r="U15" s="85">
        <v>1</v>
      </c>
      <c r="V15" s="106">
        <v>0.00529104</v>
      </c>
    </row>
    <row r="16" spans="1:22" ht="12.75">
      <c r="A16" s="87" t="s">
        <v>177</v>
      </c>
      <c r="B16" s="87" t="s">
        <v>101</v>
      </c>
      <c r="D16" s="87" t="s">
        <v>28</v>
      </c>
      <c r="F16" s="106">
        <v>0.39374156</v>
      </c>
      <c r="G16" s="85"/>
      <c r="H16" s="106">
        <v>0.28351156</v>
      </c>
      <c r="I16" s="85"/>
      <c r="J16" s="106">
        <v>0.17548616</v>
      </c>
      <c r="K16" s="85"/>
      <c r="L16" s="106"/>
      <c r="M16" s="85"/>
      <c r="N16" s="106"/>
      <c r="O16" s="106"/>
      <c r="P16" s="106"/>
      <c r="Q16" s="85"/>
      <c r="R16" s="106">
        <v>0.7572801</v>
      </c>
      <c r="S16" s="85"/>
      <c r="T16" s="106">
        <v>0.066138</v>
      </c>
      <c r="U16" s="85"/>
      <c r="V16" s="106">
        <v>0.11045046</v>
      </c>
    </row>
    <row r="17" spans="1:22" ht="12.75">
      <c r="A17" s="87" t="s">
        <v>177</v>
      </c>
      <c r="B17" s="87" t="s">
        <v>102</v>
      </c>
      <c r="D17" s="87" t="s">
        <v>28</v>
      </c>
      <c r="F17" s="106">
        <v>0.02932118</v>
      </c>
      <c r="G17" s="85"/>
      <c r="H17" s="106">
        <v>0.0275575</v>
      </c>
      <c r="I17" s="85"/>
      <c r="J17" s="106">
        <v>0.02623474</v>
      </c>
      <c r="K17" s="85"/>
      <c r="L17" s="106">
        <v>0.06194926</v>
      </c>
      <c r="M17" s="85"/>
      <c r="N17" s="106">
        <v>0.11993024</v>
      </c>
      <c r="O17" s="106"/>
      <c r="P17" s="106">
        <v>0.11397782</v>
      </c>
      <c r="Q17" s="85">
        <v>1</v>
      </c>
      <c r="R17" s="106">
        <v>0.00308644</v>
      </c>
      <c r="S17" s="85">
        <v>1</v>
      </c>
      <c r="T17" s="106">
        <v>0.0033069</v>
      </c>
      <c r="U17" s="85">
        <v>1</v>
      </c>
      <c r="V17" s="106">
        <v>0.00308644</v>
      </c>
    </row>
    <row r="18" spans="1:22" ht="12.75">
      <c r="A18" s="87" t="s">
        <v>177</v>
      </c>
      <c r="B18" s="87" t="s">
        <v>103</v>
      </c>
      <c r="D18" s="87" t="s">
        <v>28</v>
      </c>
      <c r="F18" s="106">
        <v>0.2105393</v>
      </c>
      <c r="G18" s="85"/>
      <c r="H18" s="106">
        <v>0.3141555</v>
      </c>
      <c r="I18" s="85"/>
      <c r="J18" s="106">
        <v>0.21009838</v>
      </c>
      <c r="K18" s="85"/>
      <c r="L18" s="106">
        <v>1.7239972</v>
      </c>
      <c r="M18" s="85"/>
      <c r="N18" s="106">
        <v>1.75001148</v>
      </c>
      <c r="O18" s="106"/>
      <c r="P18" s="106">
        <v>1.72487904</v>
      </c>
      <c r="Q18" s="85"/>
      <c r="R18" s="106">
        <v>0.06591754</v>
      </c>
      <c r="S18" s="85"/>
      <c r="T18" s="106">
        <v>0.04387154</v>
      </c>
      <c r="U18" s="85"/>
      <c r="V18" s="106">
        <v>0.04387154</v>
      </c>
    </row>
    <row r="19" spans="1:22" ht="12.75">
      <c r="A19" s="87" t="s">
        <v>177</v>
      </c>
      <c r="B19" s="87" t="s">
        <v>104</v>
      </c>
      <c r="D19" s="87" t="s">
        <v>28</v>
      </c>
      <c r="F19" s="106">
        <v>0.31768286</v>
      </c>
      <c r="G19" s="85"/>
      <c r="H19" s="106">
        <v>0.47773682</v>
      </c>
      <c r="I19" s="85"/>
      <c r="J19" s="106">
        <v>0.11882794</v>
      </c>
      <c r="K19" s="85"/>
      <c r="L19" s="106">
        <v>1.06283766</v>
      </c>
      <c r="M19" s="85"/>
      <c r="N19" s="106">
        <v>1.12941658</v>
      </c>
      <c r="O19" s="106"/>
      <c r="P19" s="106">
        <v>1.1541081</v>
      </c>
      <c r="Q19" s="85"/>
      <c r="R19" s="106">
        <v>0.51786054</v>
      </c>
      <c r="S19" s="85"/>
      <c r="T19" s="106">
        <v>0.05820144</v>
      </c>
      <c r="U19" s="85"/>
      <c r="V19" s="106">
        <v>0.088184</v>
      </c>
    </row>
    <row r="20" spans="1:22" ht="12.75">
      <c r="A20" s="87" t="s">
        <v>177</v>
      </c>
      <c r="B20" s="87" t="s">
        <v>181</v>
      </c>
      <c r="D20" s="87" t="s">
        <v>28</v>
      </c>
      <c r="F20" s="106"/>
      <c r="G20" s="85"/>
      <c r="H20" s="106"/>
      <c r="I20" s="85"/>
      <c r="J20" s="106"/>
      <c r="K20" s="85"/>
      <c r="L20" s="106">
        <v>1.06283766</v>
      </c>
      <c r="M20" s="85"/>
      <c r="N20" s="106">
        <v>1.12941658</v>
      </c>
      <c r="O20" s="106"/>
      <c r="P20" s="106">
        <v>1.1541081</v>
      </c>
      <c r="Q20" s="85"/>
      <c r="R20" s="106"/>
      <c r="S20" s="85"/>
      <c r="T20" s="106"/>
      <c r="U20" s="85"/>
      <c r="V20" s="106"/>
    </row>
    <row r="21" spans="1:22" ht="12.75">
      <c r="A21" s="87" t="s">
        <v>177</v>
      </c>
      <c r="B21" s="87" t="s">
        <v>106</v>
      </c>
      <c r="D21" s="87" t="s">
        <v>28</v>
      </c>
      <c r="F21" s="106">
        <v>0.42173998</v>
      </c>
      <c r="G21" s="85"/>
      <c r="H21" s="106">
        <v>0.48082326</v>
      </c>
      <c r="I21" s="85"/>
      <c r="J21" s="106">
        <v>0.5004442</v>
      </c>
      <c r="K21" s="85"/>
      <c r="L21" s="106">
        <v>22.17871692</v>
      </c>
      <c r="M21" s="85"/>
      <c r="N21" s="106">
        <v>26.82248636</v>
      </c>
      <c r="O21" s="106"/>
      <c r="P21" s="106">
        <v>26.57446886</v>
      </c>
      <c r="Q21" s="85"/>
      <c r="R21" s="106">
        <v>0.6161857</v>
      </c>
      <c r="S21" s="85"/>
      <c r="T21" s="106">
        <v>0.0540127</v>
      </c>
      <c r="U21" s="85"/>
      <c r="V21" s="106">
        <v>0.11309598</v>
      </c>
    </row>
    <row r="22" spans="1:22" ht="12.75">
      <c r="A22" s="87" t="s">
        <v>177</v>
      </c>
      <c r="B22" s="87" t="s">
        <v>107</v>
      </c>
      <c r="D22" s="87" t="s">
        <v>28</v>
      </c>
      <c r="E22" s="87">
        <v>1</v>
      </c>
      <c r="F22" s="106">
        <f>0.08/1000000*F10</f>
        <v>0.00164016</v>
      </c>
      <c r="G22" s="85">
        <v>1</v>
      </c>
      <c r="H22" s="106">
        <f>0.084/1000000*H10</f>
        <v>0.0016331280000000002</v>
      </c>
      <c r="I22" s="85">
        <v>1</v>
      </c>
      <c r="J22" s="106">
        <f>0.092/1000000*J10</f>
        <v>0.0018295120000000002</v>
      </c>
      <c r="K22" s="85"/>
      <c r="L22" s="85"/>
      <c r="M22" s="85"/>
      <c r="N22" s="85"/>
      <c r="O22" s="85"/>
      <c r="P22" s="85"/>
      <c r="Q22" s="85">
        <v>1</v>
      </c>
      <c r="R22" s="106">
        <v>0.00022046</v>
      </c>
      <c r="S22" s="85">
        <v>1</v>
      </c>
      <c r="T22" s="106">
        <v>0.00022046</v>
      </c>
      <c r="U22" s="85">
        <v>1</v>
      </c>
      <c r="V22" s="106">
        <v>0.00022046</v>
      </c>
    </row>
    <row r="23" spans="1:22" ht="12.75">
      <c r="A23" s="87" t="s">
        <v>177</v>
      </c>
      <c r="B23" s="87" t="s">
        <v>110</v>
      </c>
      <c r="D23" s="87" t="s">
        <v>28</v>
      </c>
      <c r="F23" s="85">
        <v>0</v>
      </c>
      <c r="G23" s="85"/>
      <c r="H23" s="85">
        <v>0</v>
      </c>
      <c r="I23" s="85"/>
      <c r="J23" s="85">
        <v>0</v>
      </c>
      <c r="K23" s="85"/>
      <c r="L23" s="85"/>
      <c r="M23" s="85"/>
      <c r="N23" s="85"/>
      <c r="O23" s="85"/>
      <c r="P23" s="85"/>
      <c r="Q23" s="85"/>
      <c r="R23" s="106">
        <v>0.01675496</v>
      </c>
      <c r="S23" s="85">
        <v>1</v>
      </c>
      <c r="T23" s="106">
        <v>0.01080254</v>
      </c>
      <c r="U23" s="85"/>
      <c r="V23" s="106">
        <v>0.01080254</v>
      </c>
    </row>
    <row r="24" spans="1:22" ht="12.75">
      <c r="A24" s="87" t="s">
        <v>177</v>
      </c>
      <c r="B24" s="87" t="s">
        <v>111</v>
      </c>
      <c r="D24" s="87" t="s">
        <v>28</v>
      </c>
      <c r="F24" s="85">
        <v>0</v>
      </c>
      <c r="G24" s="85"/>
      <c r="H24" s="85">
        <v>0</v>
      </c>
      <c r="I24" s="85"/>
      <c r="J24" s="85">
        <v>0</v>
      </c>
      <c r="K24" s="85"/>
      <c r="L24" s="85"/>
      <c r="M24" s="85"/>
      <c r="N24" s="85"/>
      <c r="O24" s="85"/>
      <c r="P24" s="85"/>
      <c r="Q24" s="85">
        <v>1</v>
      </c>
      <c r="R24" s="106">
        <v>0.0022046</v>
      </c>
      <c r="S24" s="85">
        <v>1</v>
      </c>
      <c r="T24" s="106">
        <v>0.0022046</v>
      </c>
      <c r="U24" s="85">
        <v>1</v>
      </c>
      <c r="V24" s="106">
        <v>0.0022046</v>
      </c>
    </row>
    <row r="26" spans="2:30" ht="12.75">
      <c r="B26" s="87" t="s">
        <v>188</v>
      </c>
      <c r="F26" s="87">
        <f>'emiss 2'!$G$32</f>
        <v>22649</v>
      </c>
      <c r="H26" s="87">
        <f>'emiss 2'!$I$32</f>
        <v>23565</v>
      </c>
      <c r="J26" s="87">
        <f>'emiss 2'!$K$32</f>
        <v>22687</v>
      </c>
      <c r="L26" s="87">
        <f>'emiss 2'!$G$32</f>
        <v>22649</v>
      </c>
      <c r="N26" s="87">
        <f>'emiss 2'!$I$32</f>
        <v>23565</v>
      </c>
      <c r="P26" s="87">
        <f>'emiss 2'!$K$32</f>
        <v>22687</v>
      </c>
      <c r="R26" s="87">
        <f>'emiss 2'!$G$32</f>
        <v>22649</v>
      </c>
      <c r="T26" s="87">
        <f>'emiss 2'!$I$32</f>
        <v>23565</v>
      </c>
      <c r="V26" s="87">
        <f>'emiss 2'!$K$32</f>
        <v>22687</v>
      </c>
      <c r="X26" s="87">
        <f>F26</f>
        <v>22649</v>
      </c>
      <c r="Z26" s="87">
        <f>H26</f>
        <v>23565</v>
      </c>
      <c r="AB26" s="87">
        <f>J26</f>
        <v>22687</v>
      </c>
      <c r="AD26" s="87">
        <f>AVERAGE(X26,Z26,AB26)</f>
        <v>22967</v>
      </c>
    </row>
    <row r="27" spans="2:30" ht="12.75">
      <c r="B27" s="87" t="s">
        <v>38</v>
      </c>
      <c r="F27" s="87">
        <f>'emiss 2'!$G$33</f>
        <v>15.4</v>
      </c>
      <c r="H27" s="87">
        <f>'emiss 2'!$I$33</f>
        <v>15.6</v>
      </c>
      <c r="J27" s="87">
        <f>'emiss 2'!$K$33</f>
        <v>15.7</v>
      </c>
      <c r="L27" s="87">
        <f>'emiss 2'!$G$33</f>
        <v>15.4</v>
      </c>
      <c r="N27" s="87">
        <f>'emiss 2'!$I$33</f>
        <v>15.6</v>
      </c>
      <c r="P27" s="87">
        <f>'emiss 2'!$K$33</f>
        <v>15.7</v>
      </c>
      <c r="R27" s="87">
        <f>'emiss 2'!$G$33</f>
        <v>15.4</v>
      </c>
      <c r="T27" s="87">
        <f>'emiss 2'!$I$33</f>
        <v>15.6</v>
      </c>
      <c r="V27" s="87">
        <f>'emiss 2'!$K$33</f>
        <v>15.7</v>
      </c>
      <c r="X27" s="87">
        <f>F27</f>
        <v>15.4</v>
      </c>
      <c r="Z27" s="87">
        <f>H27</f>
        <v>15.6</v>
      </c>
      <c r="AB27" s="87">
        <f>J27</f>
        <v>15.7</v>
      </c>
      <c r="AD27" s="88">
        <f>AVERAGE(X27,Z27,AB27)</f>
        <v>15.566666666666668</v>
      </c>
    </row>
    <row r="29" spans="2:30" ht="12.75">
      <c r="B29" s="4" t="s">
        <v>235</v>
      </c>
      <c r="C29" s="4"/>
      <c r="D29" s="4" t="s">
        <v>32</v>
      </c>
      <c r="X29" s="52">
        <f>X26/9000*60*(21-X27)/21</f>
        <v>40.26488888888889</v>
      </c>
      <c r="Z29" s="52">
        <f>Z26/9000*60*(21-Z27)/21</f>
        <v>40.39714285714286</v>
      </c>
      <c r="AB29" s="52">
        <f>AB26/9000*60*(21-AB27)/21</f>
        <v>38.17177777777778</v>
      </c>
      <c r="AD29" s="52">
        <f>AD26/9000*60*(21-AD27)/21</f>
        <v>39.61503703703703</v>
      </c>
    </row>
    <row r="31" ht="12.75">
      <c r="B31" s="87" t="s">
        <v>189</v>
      </c>
    </row>
    <row r="32" spans="2:30" ht="12.75">
      <c r="B32" s="87" t="s">
        <v>24</v>
      </c>
      <c r="D32" s="87" t="s">
        <v>34</v>
      </c>
      <c r="F32" s="89">
        <f>F13*454*1000000*14/(21-F$27)/0.0283/60/F$26</f>
        <v>157779.54156328767</v>
      </c>
      <c r="H32" s="89">
        <f>H13*454*1000000*14/(21-H$27)/0.0283/60/H$26</f>
        <v>151789.59509894933</v>
      </c>
      <c r="J32" s="89">
        <f aca="true" t="shared" si="0" ref="J32:J43">J13*454*1000000*14/(21-J$27)/0.0283/60/J$26</f>
        <v>157646.40093219696</v>
      </c>
      <c r="L32" s="89">
        <f aca="true" t="shared" si="1" ref="L32:L43">L13*454*1000000*14/(21-L$27)/0.0283/60/L$26</f>
        <v>0</v>
      </c>
      <c r="N32" s="89">
        <f aca="true" t="shared" si="2" ref="N32:N43">N13*454*1000000*14/(21-N$27)/0.0283/60/N$26</f>
        <v>0</v>
      </c>
      <c r="P32" s="89">
        <f aca="true" t="shared" si="3" ref="P32:P43">P13*454*1000000*14/(21-P$27)/0.0283/60/P$26</f>
        <v>0</v>
      </c>
      <c r="Q32" s="85"/>
      <c r="R32" s="89">
        <f aca="true" t="shared" si="4" ref="R32:R43">R13*454*1000000*14/(21-R$27)/0.0283/60/R$26</f>
        <v>2171560.4953658283</v>
      </c>
      <c r="S32" s="85"/>
      <c r="T32" s="89">
        <f aca="true" t="shared" si="5" ref="T32:T43">T13*454*1000000*14/(21-T$27)/0.0283/60/T$26</f>
        <v>2041967.5889941198</v>
      </c>
      <c r="U32" s="85"/>
      <c r="V32" s="89">
        <f aca="true" t="shared" si="6" ref="V32:V43">V13*454*1000000*14/(21-V$27)/0.0283/60/V$26</f>
        <v>2141424.237094568</v>
      </c>
      <c r="X32" s="89">
        <f>R32+L32+F32</f>
        <v>2329340.036929116</v>
      </c>
      <c r="Z32" s="89">
        <f>T32+N32+H32</f>
        <v>2193757.1840930693</v>
      </c>
      <c r="AB32" s="89">
        <f>V32+P32+J32</f>
        <v>2299070.638026765</v>
      </c>
      <c r="AD32" s="89">
        <f>AVERAGE(X32,Z32,AB32)</f>
        <v>2274055.9530163165</v>
      </c>
    </row>
    <row r="33" spans="2:30" ht="12.75">
      <c r="B33" s="87" t="s">
        <v>100</v>
      </c>
      <c r="D33" s="87" t="s">
        <v>34</v>
      </c>
      <c r="F33" s="89">
        <f aca="true" t="shared" si="7" ref="F33:H43">F14*454*1000000*14/(21-F$27)/0.0283/60/F$26</f>
        <v>0</v>
      </c>
      <c r="H33" s="89">
        <f t="shared" si="7"/>
        <v>0</v>
      </c>
      <c r="J33" s="89">
        <f t="shared" si="0"/>
        <v>0</v>
      </c>
      <c r="L33" s="89">
        <f t="shared" si="1"/>
        <v>0</v>
      </c>
      <c r="N33" s="89">
        <f t="shared" si="2"/>
        <v>0</v>
      </c>
      <c r="P33" s="89">
        <f t="shared" si="3"/>
        <v>0</v>
      </c>
      <c r="Q33" s="85"/>
      <c r="R33" s="89">
        <f t="shared" si="4"/>
        <v>2420.370699445073</v>
      </c>
      <c r="S33" s="85"/>
      <c r="T33" s="89">
        <f t="shared" si="5"/>
        <v>395.58939165324733</v>
      </c>
      <c r="U33" s="85"/>
      <c r="V33" s="89">
        <f t="shared" si="6"/>
        <v>205.89429812650886</v>
      </c>
      <c r="X33" s="89">
        <f aca="true" t="shared" si="8" ref="X33:X43">R33+L33+F33</f>
        <v>2420.370699445073</v>
      </c>
      <c r="Z33" s="89">
        <f aca="true" t="shared" si="9" ref="Z33:Z43">T33+N33+H33</f>
        <v>395.58939165324733</v>
      </c>
      <c r="AB33" s="89">
        <f aca="true" t="shared" si="10" ref="AB33:AB42">V33+P33+J33</f>
        <v>205.89429812650886</v>
      </c>
      <c r="AD33" s="89">
        <f aca="true" t="shared" si="11" ref="AD33:AD45">AVERAGE(X33,Z33,AB33)</f>
        <v>1007.2847964082765</v>
      </c>
    </row>
    <row r="34" spans="2:30" ht="12.75">
      <c r="B34" s="87" t="s">
        <v>99</v>
      </c>
      <c r="D34" s="87" t="s">
        <v>34</v>
      </c>
      <c r="F34" s="89">
        <f t="shared" si="7"/>
        <v>13891.106030417284</v>
      </c>
      <c r="H34" s="89">
        <f t="shared" si="7"/>
        <v>16368.321713652396</v>
      </c>
      <c r="J34" s="89">
        <f t="shared" si="0"/>
        <v>12532.099612633507</v>
      </c>
      <c r="L34" s="89">
        <f t="shared" si="1"/>
        <v>16792.948320612184</v>
      </c>
      <c r="N34" s="89">
        <f t="shared" si="2"/>
        <v>16621.2395214307</v>
      </c>
      <c r="P34" s="89">
        <f t="shared" si="3"/>
        <v>17425.520764773533</v>
      </c>
      <c r="Q34" s="85"/>
      <c r="R34" s="89">
        <f t="shared" si="4"/>
        <v>448.9397265099731</v>
      </c>
      <c r="S34" s="85">
        <v>100</v>
      </c>
      <c r="T34" s="89">
        <f t="shared" si="5"/>
        <v>155.64172786357273</v>
      </c>
      <c r="U34" s="85">
        <v>100</v>
      </c>
      <c r="V34" s="89">
        <f t="shared" si="6"/>
        <v>164.71543850120707</v>
      </c>
      <c r="X34" s="89">
        <f t="shared" si="8"/>
        <v>31132.994077539443</v>
      </c>
      <c r="Y34" s="87">
        <f>SUM((T34*S34/100),(N34*M34/100),(H34*G34/100))/Z34*100</f>
        <v>0.46957542555272946</v>
      </c>
      <c r="Z34" s="89">
        <f t="shared" si="9"/>
        <v>33145.20296294667</v>
      </c>
      <c r="AA34" s="87">
        <f>SUM((V34*U34/100),(P34*O34/100),(J34*I34/100))/AB34*100</f>
        <v>0.5468215994531783</v>
      </c>
      <c r="AB34" s="89">
        <f t="shared" si="10"/>
        <v>30122.33581590825</v>
      </c>
      <c r="AC34" s="87">
        <f>SUM((AB34*AA34/100),(Z34*Y34/100),(X34*W34/100))/AD34*100/3</f>
        <v>0.33935948947673755</v>
      </c>
      <c r="AD34" s="89">
        <f t="shared" si="11"/>
        <v>31466.844285464787</v>
      </c>
    </row>
    <row r="35" spans="2:30" ht="12.75">
      <c r="B35" s="87" t="s">
        <v>101</v>
      </c>
      <c r="D35" s="87" t="s">
        <v>34</v>
      </c>
      <c r="F35" s="89">
        <f t="shared" si="7"/>
        <v>11620.381906475537</v>
      </c>
      <c r="H35" s="89">
        <f t="shared" si="7"/>
        <v>8339.80258468977</v>
      </c>
      <c r="J35" s="89">
        <f t="shared" si="0"/>
        <v>5463.062043623368</v>
      </c>
      <c r="L35" s="89">
        <f t="shared" si="1"/>
        <v>0</v>
      </c>
      <c r="N35" s="89">
        <f t="shared" si="2"/>
        <v>0</v>
      </c>
      <c r="P35" s="89">
        <f t="shared" si="3"/>
        <v>0</v>
      </c>
      <c r="Q35" s="85"/>
      <c r="R35" s="89">
        <f t="shared" si="4"/>
        <v>22349.390732779102</v>
      </c>
      <c r="S35" s="85"/>
      <c r="T35" s="89">
        <f t="shared" si="5"/>
        <v>1945.5215982946593</v>
      </c>
      <c r="U35" s="85"/>
      <c r="V35" s="89">
        <f t="shared" si="6"/>
        <v>3438.434778712698</v>
      </c>
      <c r="X35" s="89">
        <f t="shared" si="8"/>
        <v>33969.77263925464</v>
      </c>
      <c r="Z35" s="89">
        <f t="shared" si="9"/>
        <v>10285.32418298443</v>
      </c>
      <c r="AB35" s="89">
        <f t="shared" si="10"/>
        <v>8901.496822336067</v>
      </c>
      <c r="AD35" s="89">
        <f t="shared" si="11"/>
        <v>17718.86454819171</v>
      </c>
    </row>
    <row r="36" spans="2:30" ht="12.75">
      <c r="B36" s="87" t="s">
        <v>102</v>
      </c>
      <c r="D36" s="87" t="s">
        <v>34</v>
      </c>
      <c r="F36" s="89">
        <f t="shared" si="7"/>
        <v>865.3475887800931</v>
      </c>
      <c r="H36" s="89">
        <f t="shared" si="7"/>
        <v>810.633999289441</v>
      </c>
      <c r="J36" s="89">
        <f t="shared" si="0"/>
        <v>816.7140492351518</v>
      </c>
      <c r="L36" s="89">
        <f t="shared" si="1"/>
        <v>1828.2907702797459</v>
      </c>
      <c r="N36" s="89">
        <f t="shared" si="2"/>
        <v>3527.879164907649</v>
      </c>
      <c r="P36" s="89">
        <f t="shared" si="3"/>
        <v>3548.2450710468356</v>
      </c>
      <c r="Q36" s="85">
        <v>100</v>
      </c>
      <c r="R36" s="89">
        <f t="shared" si="4"/>
        <v>91.08921987158877</v>
      </c>
      <c r="S36" s="85">
        <v>100</v>
      </c>
      <c r="T36" s="89">
        <f t="shared" si="5"/>
        <v>97.27607991473296</v>
      </c>
      <c r="U36" s="85">
        <v>100</v>
      </c>
      <c r="V36" s="89">
        <f t="shared" si="6"/>
        <v>96.08400579237079</v>
      </c>
      <c r="W36" s="87">
        <f>SUM((R36*Q36/100),(L36*K36/100),(F36*E36/100))/X36*100</f>
        <v>3.2710280373831786</v>
      </c>
      <c r="X36" s="89">
        <f t="shared" si="8"/>
        <v>2784.7275789314276</v>
      </c>
      <c r="Y36" s="87">
        <f>SUM((T36*S36/100),(N36*M36/100),(H36*G36/100))/Z36*100</f>
        <v>2.192982456140351</v>
      </c>
      <c r="Z36" s="89">
        <f t="shared" si="9"/>
        <v>4435.789244111823</v>
      </c>
      <c r="AA36" s="87">
        <f>SUM((V36*U36/100),(P36*O36/100),(J36*I36/100))/AB36*100</f>
        <v>2.1538461538461537</v>
      </c>
      <c r="AB36" s="89">
        <f t="shared" si="10"/>
        <v>4461.043126074358</v>
      </c>
      <c r="AC36" s="87">
        <f aca="true" t="shared" si="12" ref="AC36:AC45">SUM((AB36*AA36/100),(Z36*Y36/100),(X36*W36/100))/AD36*100/3</f>
        <v>2.435028427861461</v>
      </c>
      <c r="AD36" s="89">
        <f t="shared" si="11"/>
        <v>3893.8533163725356</v>
      </c>
    </row>
    <row r="37" spans="2:30" ht="12.75">
      <c r="B37" s="87" t="s">
        <v>103</v>
      </c>
      <c r="D37" s="87" t="s">
        <v>34</v>
      </c>
      <c r="F37" s="89">
        <f t="shared" si="7"/>
        <v>6213.5860698119495</v>
      </c>
      <c r="H37" s="89">
        <f t="shared" si="7"/>
        <v>9241.227591899627</v>
      </c>
      <c r="J37" s="89">
        <f t="shared" si="0"/>
        <v>6540.575537152097</v>
      </c>
      <c r="L37" s="89">
        <f t="shared" si="1"/>
        <v>50879.835671130284</v>
      </c>
      <c r="N37" s="89">
        <f t="shared" si="2"/>
        <v>51478.50149087667</v>
      </c>
      <c r="P37" s="89">
        <f t="shared" si="3"/>
        <v>53697.23295139351</v>
      </c>
      <c r="Q37" s="85"/>
      <c r="R37" s="89">
        <f t="shared" si="4"/>
        <v>1945.4054815432169</v>
      </c>
      <c r="S37" s="85"/>
      <c r="T37" s="89">
        <f t="shared" si="5"/>
        <v>1290.5293268687903</v>
      </c>
      <c r="U37" s="85"/>
      <c r="V37" s="89">
        <f t="shared" si="6"/>
        <v>1365.765510905842</v>
      </c>
      <c r="X37" s="89">
        <f t="shared" si="8"/>
        <v>59038.82722248545</v>
      </c>
      <c r="Z37" s="89">
        <f t="shared" si="9"/>
        <v>62010.25840964509</v>
      </c>
      <c r="AB37" s="89">
        <f t="shared" si="10"/>
        <v>61603.573999451444</v>
      </c>
      <c r="AD37" s="89">
        <f t="shared" si="11"/>
        <v>60884.219877193995</v>
      </c>
    </row>
    <row r="38" spans="2:30" ht="12.75">
      <c r="B38" s="87" t="s">
        <v>104</v>
      </c>
      <c r="D38" s="87" t="s">
        <v>34</v>
      </c>
      <c r="F38" s="89">
        <f t="shared" si="7"/>
        <v>9375.683273925673</v>
      </c>
      <c r="H38" s="89">
        <f t="shared" si="7"/>
        <v>14053.151011681754</v>
      </c>
      <c r="J38" s="89">
        <f t="shared" si="0"/>
        <v>3699.2342230062754</v>
      </c>
      <c r="L38" s="89">
        <f t="shared" si="1"/>
        <v>31367.22350006639</v>
      </c>
      <c r="N38" s="89">
        <f t="shared" si="2"/>
        <v>33223.02382687846</v>
      </c>
      <c r="P38" s="89">
        <f t="shared" si="3"/>
        <v>35928.555023075794</v>
      </c>
      <c r="Q38" s="85"/>
      <c r="R38" s="89">
        <f t="shared" si="4"/>
        <v>15283.469819883003</v>
      </c>
      <c r="S38" s="85"/>
      <c r="T38" s="89">
        <f t="shared" si="5"/>
        <v>1712.0590064992998</v>
      </c>
      <c r="U38" s="85"/>
      <c r="V38" s="89">
        <f t="shared" si="6"/>
        <v>2745.257308353451</v>
      </c>
      <c r="X38" s="89">
        <f t="shared" si="8"/>
        <v>56026.376593875066</v>
      </c>
      <c r="Z38" s="89">
        <f t="shared" si="9"/>
        <v>48988.23384505951</v>
      </c>
      <c r="AB38" s="89">
        <f t="shared" si="10"/>
        <v>42373.046554435525</v>
      </c>
      <c r="AD38" s="89">
        <f t="shared" si="11"/>
        <v>49129.218997790034</v>
      </c>
    </row>
    <row r="39" spans="2:30" ht="12.75">
      <c r="B39" s="87" t="s">
        <v>181</v>
      </c>
      <c r="D39" s="87" t="s">
        <v>34</v>
      </c>
      <c r="F39" s="89">
        <f t="shared" si="7"/>
        <v>0</v>
      </c>
      <c r="H39" s="89">
        <f t="shared" si="7"/>
        <v>0</v>
      </c>
      <c r="J39" s="89">
        <f t="shared" si="0"/>
        <v>0</v>
      </c>
      <c r="L39" s="89">
        <f t="shared" si="1"/>
        <v>31367.22350006639</v>
      </c>
      <c r="N39" s="89">
        <f t="shared" si="2"/>
        <v>33223.02382687846</v>
      </c>
      <c r="P39" s="89">
        <f t="shared" si="3"/>
        <v>35928.555023075794</v>
      </c>
      <c r="Q39" s="85"/>
      <c r="R39" s="89">
        <f t="shared" si="4"/>
        <v>0</v>
      </c>
      <c r="S39" s="85"/>
      <c r="T39" s="89">
        <f t="shared" si="5"/>
        <v>0</v>
      </c>
      <c r="U39" s="85"/>
      <c r="V39" s="89">
        <f t="shared" si="6"/>
        <v>0</v>
      </c>
      <c r="X39" s="89">
        <f t="shared" si="8"/>
        <v>31367.22350006639</v>
      </c>
      <c r="Z39" s="89">
        <f t="shared" si="9"/>
        <v>33223.02382687846</v>
      </c>
      <c r="AB39" s="89">
        <f t="shared" si="10"/>
        <v>35928.555023075794</v>
      </c>
      <c r="AD39" s="89">
        <f t="shared" si="11"/>
        <v>33506.26745000688</v>
      </c>
    </row>
    <row r="40" spans="2:30" ht="12.75">
      <c r="B40" s="87" t="s">
        <v>106</v>
      </c>
      <c r="D40" s="87" t="s">
        <v>34</v>
      </c>
      <c r="F40" s="89">
        <f t="shared" si="7"/>
        <v>12446.69125816781</v>
      </c>
      <c r="H40" s="89">
        <f t="shared" si="7"/>
        <v>14143.94201960217</v>
      </c>
      <c r="J40" s="89">
        <f t="shared" si="0"/>
        <v>15579.335224905835</v>
      </c>
      <c r="L40" s="89">
        <f t="shared" si="1"/>
        <v>654554.121251541</v>
      </c>
      <c r="N40" s="89">
        <f t="shared" si="2"/>
        <v>789012.7692603931</v>
      </c>
      <c r="P40" s="89">
        <f t="shared" si="3"/>
        <v>827290.1530155833</v>
      </c>
      <c r="Q40" s="85"/>
      <c r="R40" s="89">
        <f t="shared" si="4"/>
        <v>18185.312110077895</v>
      </c>
      <c r="S40" s="85"/>
      <c r="T40" s="89">
        <f t="shared" si="5"/>
        <v>1588.8426386073045</v>
      </c>
      <c r="U40" s="85"/>
      <c r="V40" s="89">
        <f t="shared" si="6"/>
        <v>3520.7924979633</v>
      </c>
      <c r="X40" s="89">
        <f t="shared" si="8"/>
        <v>685186.1246197867</v>
      </c>
      <c r="Z40" s="89">
        <f t="shared" si="9"/>
        <v>804745.5539186025</v>
      </c>
      <c r="AB40" s="89">
        <f t="shared" si="10"/>
        <v>846390.2807384524</v>
      </c>
      <c r="AD40" s="89">
        <f t="shared" si="11"/>
        <v>778773.986425614</v>
      </c>
    </row>
    <row r="41" spans="2:30" ht="12.75">
      <c r="B41" s="87" t="s">
        <v>107</v>
      </c>
      <c r="D41" s="87" t="s">
        <v>34</v>
      </c>
      <c r="E41" s="87">
        <v>100</v>
      </c>
      <c r="F41" s="89">
        <f t="shared" si="7"/>
        <v>48.40557239557064</v>
      </c>
      <c r="G41" s="87">
        <v>100</v>
      </c>
      <c r="H41" s="89">
        <f t="shared" si="7"/>
        <v>48.04024610329553</v>
      </c>
      <c r="I41" s="87">
        <v>100</v>
      </c>
      <c r="J41" s="89">
        <f t="shared" si="0"/>
        <v>56.954563058154996</v>
      </c>
      <c r="L41" s="89">
        <f t="shared" si="1"/>
        <v>0</v>
      </c>
      <c r="N41" s="89">
        <f t="shared" si="2"/>
        <v>0</v>
      </c>
      <c r="P41" s="89">
        <f t="shared" si="3"/>
        <v>0</v>
      </c>
      <c r="Q41" s="85">
        <v>100</v>
      </c>
      <c r="R41" s="89">
        <f t="shared" si="4"/>
        <v>6.506372847970626</v>
      </c>
      <c r="S41" s="85">
        <v>100</v>
      </c>
      <c r="T41" s="89">
        <f t="shared" si="5"/>
        <v>6.485071994315529</v>
      </c>
      <c r="U41" s="85">
        <v>100</v>
      </c>
      <c r="V41" s="89">
        <f t="shared" si="6"/>
        <v>6.863143270883627</v>
      </c>
      <c r="W41" s="87">
        <f>SUM((R41*Q41/100),(L41*K41/100),(F41*E41/100))/X41*100</f>
        <v>100</v>
      </c>
      <c r="X41" s="89">
        <f t="shared" si="8"/>
        <v>54.91194524354126</v>
      </c>
      <c r="Y41" s="87">
        <f>SUM((T41*S41/100),(N41*M41/100),(H41*G41/100))/Z41*100</f>
        <v>100</v>
      </c>
      <c r="Z41" s="89">
        <f t="shared" si="9"/>
        <v>54.52531809761106</v>
      </c>
      <c r="AA41" s="87">
        <f>SUM((V41*U41/100),(P41*O41/100),(J41*I41/100))/AB41*100</f>
        <v>100.00000000000003</v>
      </c>
      <c r="AB41" s="89">
        <f t="shared" si="10"/>
        <v>63.81770632903862</v>
      </c>
      <c r="AC41" s="87">
        <f t="shared" si="12"/>
        <v>100</v>
      </c>
      <c r="AD41" s="89">
        <f t="shared" si="11"/>
        <v>57.75165655673032</v>
      </c>
    </row>
    <row r="42" spans="2:30" ht="12.75">
      <c r="B42" s="87" t="s">
        <v>110</v>
      </c>
      <c r="D42" s="87" t="s">
        <v>34</v>
      </c>
      <c r="F42" s="89">
        <f t="shared" si="7"/>
        <v>0</v>
      </c>
      <c r="H42" s="89">
        <f t="shared" si="7"/>
        <v>0</v>
      </c>
      <c r="J42" s="89">
        <f t="shared" si="0"/>
        <v>0</v>
      </c>
      <c r="L42" s="89">
        <f t="shared" si="1"/>
        <v>0</v>
      </c>
      <c r="N42" s="89">
        <f t="shared" si="2"/>
        <v>0</v>
      </c>
      <c r="P42" s="89">
        <f t="shared" si="3"/>
        <v>0</v>
      </c>
      <c r="Q42" s="85"/>
      <c r="R42" s="89">
        <f t="shared" si="4"/>
        <v>494.48433644576744</v>
      </c>
      <c r="S42" s="85">
        <v>100</v>
      </c>
      <c r="T42" s="89">
        <f t="shared" si="5"/>
        <v>317.76852772146094</v>
      </c>
      <c r="U42" s="85"/>
      <c r="V42" s="89">
        <f t="shared" si="6"/>
        <v>336.2940202732977</v>
      </c>
      <c r="X42" s="89">
        <f t="shared" si="8"/>
        <v>494.48433644576744</v>
      </c>
      <c r="Y42" s="87">
        <f>SUM((T42*S42/100),(N42*M42/100),(H42*G42/100))/Z42*100</f>
        <v>100</v>
      </c>
      <c r="Z42" s="89">
        <f t="shared" si="9"/>
        <v>317.76852772146094</v>
      </c>
      <c r="AB42" s="89">
        <f t="shared" si="10"/>
        <v>336.2940202732977</v>
      </c>
      <c r="AC42" s="87">
        <f t="shared" si="12"/>
        <v>27.667005328759444</v>
      </c>
      <c r="AD42" s="89">
        <f t="shared" si="11"/>
        <v>382.8489614801754</v>
      </c>
    </row>
    <row r="43" spans="2:30" ht="12.75">
      <c r="B43" s="87" t="s">
        <v>111</v>
      </c>
      <c r="D43" s="87" t="s">
        <v>34</v>
      </c>
      <c r="F43" s="89">
        <f t="shared" si="7"/>
        <v>0</v>
      </c>
      <c r="H43" s="89">
        <f t="shared" si="7"/>
        <v>0</v>
      </c>
      <c r="J43" s="89">
        <f t="shared" si="0"/>
        <v>0</v>
      </c>
      <c r="L43" s="89">
        <f t="shared" si="1"/>
        <v>0</v>
      </c>
      <c r="N43" s="89">
        <f t="shared" si="2"/>
        <v>0</v>
      </c>
      <c r="P43" s="89">
        <f t="shared" si="3"/>
        <v>0</v>
      </c>
      <c r="Q43" s="85">
        <v>100</v>
      </c>
      <c r="R43" s="89">
        <f t="shared" si="4"/>
        <v>65.06372847970626</v>
      </c>
      <c r="S43" s="85">
        <v>100</v>
      </c>
      <c r="T43" s="89">
        <f t="shared" si="5"/>
        <v>64.85071994315528</v>
      </c>
      <c r="U43" s="85">
        <v>100</v>
      </c>
      <c r="V43" s="89">
        <f t="shared" si="6"/>
        <v>68.63143270883627</v>
      </c>
      <c r="W43" s="87">
        <f>SUM((R43*Q43/100),(L43*K43/100),(F43*E43/100))/X43*100</f>
        <v>100</v>
      </c>
      <c r="X43" s="89">
        <f t="shared" si="8"/>
        <v>65.06372847970626</v>
      </c>
      <c r="Y43" s="87">
        <f>SUM((T43*S43/100),(N43*M43/100),(H43*G43/100))/Z43*100</f>
        <v>100</v>
      </c>
      <c r="Z43" s="89">
        <f t="shared" si="9"/>
        <v>64.85071994315528</v>
      </c>
      <c r="AA43" s="87">
        <f>SUM((V43*U43/100),(P43*O43/100),(J43*I43/100))/AB43*100</f>
        <v>100</v>
      </c>
      <c r="AB43" s="89">
        <f>V43+P43+J43</f>
        <v>68.63143270883627</v>
      </c>
      <c r="AC43" s="87">
        <f t="shared" si="12"/>
        <v>100</v>
      </c>
      <c r="AD43" s="89">
        <f t="shared" si="11"/>
        <v>66.1819603772326</v>
      </c>
    </row>
    <row r="44" spans="2:30" ht="12.75">
      <c r="B44" s="87" t="s">
        <v>35</v>
      </c>
      <c r="D44" s="87" t="s">
        <v>34</v>
      </c>
      <c r="F44" s="89">
        <f>F40+F37</f>
        <v>18660.27732797976</v>
      </c>
      <c r="H44" s="89">
        <f>H40+H37</f>
        <v>23385.1696115018</v>
      </c>
      <c r="J44" s="89">
        <f>J40+J37</f>
        <v>22119.91076205793</v>
      </c>
      <c r="L44" s="89">
        <f>L40+L37</f>
        <v>705433.9569226713</v>
      </c>
      <c r="N44" s="89">
        <f>N40+N37</f>
        <v>840491.2707512698</v>
      </c>
      <c r="P44" s="89">
        <f>P40+P37</f>
        <v>880987.3859669768</v>
      </c>
      <c r="R44" s="89">
        <f>R40+R37</f>
        <v>20130.717591621113</v>
      </c>
      <c r="T44" s="89">
        <f>T40+T37</f>
        <v>2879.371965476095</v>
      </c>
      <c r="V44" s="89">
        <f>V40+V37</f>
        <v>4886.558008869142</v>
      </c>
      <c r="X44" s="89">
        <f>R44+L44+F44</f>
        <v>744224.9518422722</v>
      </c>
      <c r="Z44" s="89">
        <f>T44+N44+H44</f>
        <v>866755.8123282476</v>
      </c>
      <c r="AB44" s="89">
        <f>V44+P44+J44</f>
        <v>907993.8547379039</v>
      </c>
      <c r="AD44" s="89">
        <f t="shared" si="11"/>
        <v>839658.206302808</v>
      </c>
    </row>
    <row r="45" spans="2:30" ht="12.75">
      <c r="B45" s="87" t="s">
        <v>36</v>
      </c>
      <c r="D45" s="87" t="s">
        <v>34</v>
      </c>
      <c r="F45" s="89">
        <f>F34+F36+F38</f>
        <v>24132.13689312305</v>
      </c>
      <c r="H45" s="89">
        <f>H34+H36+H38</f>
        <v>31232.10672462359</v>
      </c>
      <c r="J45" s="89">
        <f>J34+J36+J38</f>
        <v>17048.047884874934</v>
      </c>
      <c r="L45" s="89">
        <f>L34+L36+L38</f>
        <v>49988.46259095832</v>
      </c>
      <c r="N45" s="89">
        <f>N34+N36+N38</f>
        <v>53372.14251321681</v>
      </c>
      <c r="P45" s="89">
        <f>P34+P36+P38</f>
        <v>56902.320858896164</v>
      </c>
      <c r="Q45" s="87">
        <f>R36/R45*100</f>
        <v>0.575657894736842</v>
      </c>
      <c r="R45" s="89">
        <f>R34+R36+R38</f>
        <v>15823.498766264565</v>
      </c>
      <c r="S45" s="87">
        <f>SUM(T34,T36)/T45*100</f>
        <v>12.871287128712872</v>
      </c>
      <c r="T45" s="89">
        <f>T34+T36+T38</f>
        <v>1964.9768142776056</v>
      </c>
      <c r="U45" s="87">
        <f>SUM(V34,V36)/V45*100</f>
        <v>8.67579908675799</v>
      </c>
      <c r="V45" s="89">
        <f>V34+V36+V38</f>
        <v>3006.056752647029</v>
      </c>
      <c r="W45" s="87">
        <f>SUM((R45*Q45/100),(L45*K45/100),(F45*E45/100))/X45*100</f>
        <v>0.10127314814814817</v>
      </c>
      <c r="X45" s="89">
        <f>R45+L45+F45</f>
        <v>89944.09825034594</v>
      </c>
      <c r="Y45" s="87">
        <f>SUM((T45*S45/100),(N45*M45/100),(H45*G45/100))/Z45*100</f>
        <v>0.2921567158588659</v>
      </c>
      <c r="Z45" s="89">
        <f>T45+N45+H45</f>
        <v>86569.226052118</v>
      </c>
      <c r="AA45" s="87">
        <f>SUM((V45*U45/100),(P45*O45/100),(J45*I45/100))/AB45*100</f>
        <v>0.3388923570855258</v>
      </c>
      <c r="AB45" s="89">
        <f>V45+P45+J45</f>
        <v>76956.42549641812</v>
      </c>
      <c r="AC45" s="87">
        <f t="shared" si="12"/>
        <v>0.23861090817478683</v>
      </c>
      <c r="AD45" s="89">
        <f t="shared" si="11"/>
        <v>84489.91659962735</v>
      </c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B1">
      <selection activeCell="D22" sqref="D22"/>
    </sheetView>
  </sheetViews>
  <sheetFormatPr defaultColWidth="9.140625" defaultRowHeight="12.75"/>
  <cols>
    <col min="1" max="1" width="3.7109375" style="0" hidden="1" customWidth="1"/>
    <col min="2" max="2" width="38.8515625" style="0" customWidth="1"/>
    <col min="3" max="3" width="6.421875" style="0" customWidth="1"/>
    <col min="4" max="4" width="3.140625" style="0" customWidth="1"/>
    <col min="5" max="5" width="6.7109375" style="0" customWidth="1"/>
    <col min="6" max="6" width="7.28125" style="0" customWidth="1"/>
    <col min="7" max="7" width="7.7109375" style="0" customWidth="1"/>
  </cols>
  <sheetData>
    <row r="1" spans="2:6" ht="12.75">
      <c r="B1" s="2" t="s">
        <v>42</v>
      </c>
      <c r="C1" s="9"/>
      <c r="D1" s="9"/>
      <c r="E1" s="9"/>
      <c r="F1" s="9"/>
    </row>
    <row r="2" spans="2:8" ht="12.75">
      <c r="B2" s="9"/>
      <c r="C2" s="9" t="s">
        <v>12</v>
      </c>
      <c r="D2" s="9"/>
      <c r="E2" s="9" t="s">
        <v>166</v>
      </c>
      <c r="F2" s="9" t="s">
        <v>167</v>
      </c>
      <c r="G2" t="s">
        <v>168</v>
      </c>
      <c r="H2" t="s">
        <v>169</v>
      </c>
    </row>
    <row r="3" spans="2:4" ht="12.75">
      <c r="B3" s="9"/>
      <c r="C3" s="9"/>
      <c r="D3" s="9"/>
    </row>
    <row r="4" spans="1:6" ht="12.75">
      <c r="A4" t="s">
        <v>59</v>
      </c>
      <c r="B4" s="2" t="s">
        <v>137</v>
      </c>
      <c r="C4" s="9" t="s">
        <v>58</v>
      </c>
      <c r="D4" s="9"/>
      <c r="E4" s="9"/>
      <c r="F4" s="9"/>
    </row>
    <row r="5" spans="2:6" ht="12.75">
      <c r="B5" s="2"/>
      <c r="D5" s="9"/>
      <c r="E5" s="9"/>
      <c r="F5" s="9"/>
    </row>
    <row r="6" spans="2:8" ht="12.75">
      <c r="B6" s="9" t="s">
        <v>158</v>
      </c>
      <c r="C6" s="9" t="s">
        <v>19</v>
      </c>
      <c r="D6" s="9"/>
      <c r="E6" s="9">
        <v>1085</v>
      </c>
      <c r="F6" s="9">
        <v>1085</v>
      </c>
      <c r="G6">
        <v>1054</v>
      </c>
      <c r="H6" s="77">
        <f>AVERAGE(E6:G6)</f>
        <v>1074.6666666666667</v>
      </c>
    </row>
    <row r="7" spans="2:8" ht="12.75">
      <c r="B7" s="9" t="s">
        <v>164</v>
      </c>
      <c r="C7" s="9" t="s">
        <v>19</v>
      </c>
      <c r="D7" s="9"/>
      <c r="E7" s="9">
        <v>816</v>
      </c>
      <c r="F7" s="9">
        <v>807</v>
      </c>
      <c r="G7">
        <v>800</v>
      </c>
      <c r="H7" s="77">
        <f>AVERAGE(E7:G7)</f>
        <v>807.6666666666666</v>
      </c>
    </row>
    <row r="8" spans="2:8" ht="12.75">
      <c r="B8" s="9" t="s">
        <v>163</v>
      </c>
      <c r="C8" s="9" t="s">
        <v>19</v>
      </c>
      <c r="D8" s="9"/>
      <c r="E8" s="9">
        <v>434</v>
      </c>
      <c r="F8" s="9">
        <v>436</v>
      </c>
      <c r="G8">
        <v>446</v>
      </c>
      <c r="H8" s="77">
        <f>AVERAGE(E8:G8)</f>
        <v>438.6666666666667</v>
      </c>
    </row>
    <row r="9" spans="2:6" ht="12.75">
      <c r="B9" s="9"/>
      <c r="C9" s="9"/>
      <c r="D9" s="9"/>
      <c r="E9" s="9"/>
      <c r="F9" s="9"/>
    </row>
    <row r="10" spans="1:6" ht="12.75">
      <c r="A10" t="s">
        <v>59</v>
      </c>
      <c r="B10" s="2" t="s">
        <v>140</v>
      </c>
      <c r="C10" s="9" t="s">
        <v>153</v>
      </c>
      <c r="D10" s="9"/>
      <c r="E10" s="9"/>
      <c r="F10" s="9"/>
    </row>
    <row r="11" spans="2:6" ht="12.75">
      <c r="B11" s="2"/>
      <c r="C11" s="54"/>
      <c r="D11" s="9"/>
      <c r="E11" s="9"/>
      <c r="F11" s="9"/>
    </row>
    <row r="12" spans="2:8" ht="12.75">
      <c r="B12" s="9" t="s">
        <v>157</v>
      </c>
      <c r="C12" s="9" t="s">
        <v>19</v>
      </c>
      <c r="D12" s="9"/>
      <c r="E12" s="9">
        <v>2269</v>
      </c>
      <c r="F12" s="9">
        <v>2527</v>
      </c>
      <c r="G12">
        <v>2459</v>
      </c>
      <c r="H12" s="77">
        <f>AVERAGE(E12:G12)</f>
        <v>2418.3333333333335</v>
      </c>
    </row>
    <row r="13" spans="2:8" ht="12.75">
      <c r="B13" s="9" t="s">
        <v>125</v>
      </c>
      <c r="C13" s="9" t="s">
        <v>19</v>
      </c>
      <c r="D13" s="9"/>
      <c r="E13" s="9">
        <v>410</v>
      </c>
      <c r="F13" s="9">
        <v>437</v>
      </c>
      <c r="G13">
        <v>444</v>
      </c>
      <c r="H13" s="77">
        <f>AVERAGE(E13:G13)</f>
        <v>430.3333333333333</v>
      </c>
    </row>
    <row r="14" spans="2:8" ht="12.75">
      <c r="B14" s="9" t="s">
        <v>126</v>
      </c>
      <c r="C14" s="9" t="s">
        <v>117</v>
      </c>
      <c r="D14" s="9"/>
      <c r="E14" s="9">
        <v>2.45</v>
      </c>
      <c r="F14" s="9">
        <v>3.09</v>
      </c>
      <c r="G14" s="79">
        <v>3</v>
      </c>
      <c r="H14" s="77">
        <f>AVERAGE(E14:G14)</f>
        <v>2.8466666666666662</v>
      </c>
    </row>
    <row r="15" spans="2:9" ht="12.75">
      <c r="B15" s="9" t="s">
        <v>134</v>
      </c>
      <c r="C15" s="9" t="s">
        <v>117</v>
      </c>
      <c r="D15" s="9"/>
      <c r="E15" s="9">
        <v>0.04</v>
      </c>
      <c r="F15" s="9">
        <v>0.03</v>
      </c>
      <c r="G15">
        <v>0.03</v>
      </c>
      <c r="H15" s="76">
        <f>AVERAGE(E15:G15)</f>
        <v>0.03333333333333333</v>
      </c>
      <c r="I15" s="90" t="s">
        <v>170</v>
      </c>
    </row>
    <row r="16" spans="2:6" ht="12.75">
      <c r="B16" s="9"/>
      <c r="C16" s="9"/>
      <c r="D16" s="9"/>
      <c r="E16" s="9"/>
      <c r="F16" s="9"/>
    </row>
    <row r="17" spans="2:6" ht="12.75">
      <c r="B17" s="9"/>
      <c r="C17" s="9"/>
      <c r="D17" s="9"/>
      <c r="E17" s="9"/>
      <c r="F17" s="9"/>
    </row>
    <row r="18" spans="2:6" ht="12.75">
      <c r="B18" s="2"/>
      <c r="C18" s="54"/>
      <c r="D18" s="9"/>
      <c r="E18" s="9"/>
      <c r="F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2" spans="2:5" ht="12.75">
      <c r="B22" s="9"/>
      <c r="C22" s="9"/>
      <c r="D22" s="9"/>
      <c r="E22" s="9"/>
    </row>
    <row r="23" spans="2:5" ht="14.25">
      <c r="B23" s="9"/>
      <c r="C23" s="9"/>
      <c r="D23" s="3"/>
      <c r="E23" s="9"/>
    </row>
    <row r="24" spans="2:5" ht="14.25">
      <c r="B24" s="9"/>
      <c r="C24" s="9"/>
      <c r="D24" s="3"/>
      <c r="E24" s="9"/>
    </row>
    <row r="26" spans="2:5" ht="12.75">
      <c r="B26" s="2"/>
      <c r="C26" s="9"/>
      <c r="D26" s="9"/>
      <c r="E26" s="9"/>
    </row>
    <row r="27" spans="2:5" ht="12.75">
      <c r="B27" s="2"/>
      <c r="C27" s="54"/>
      <c r="D27" s="9"/>
      <c r="E27" s="9"/>
    </row>
    <row r="28" spans="2:5" ht="12.75">
      <c r="B28" s="9"/>
      <c r="C28" s="9"/>
      <c r="D28" s="9"/>
      <c r="E28" s="9"/>
    </row>
    <row r="29" spans="2:5" ht="12.75">
      <c r="B29" s="9"/>
      <c r="C29" s="9"/>
      <c r="D29" s="9"/>
      <c r="E29" s="9"/>
    </row>
    <row r="30" spans="2:5" ht="12.75">
      <c r="B30" s="9"/>
      <c r="C30" s="9"/>
      <c r="D30" s="9"/>
      <c r="E30" s="9"/>
    </row>
    <row r="31" spans="2:5" ht="12.75">
      <c r="B31" s="9"/>
      <c r="C31" s="9"/>
      <c r="D31" s="9"/>
      <c r="E31" s="9"/>
    </row>
    <row r="32" spans="2:5" ht="14.25">
      <c r="B32" s="9"/>
      <c r="C32" s="9"/>
      <c r="D32" s="3"/>
      <c r="E32" s="9"/>
    </row>
    <row r="35" spans="2:5" ht="12.75">
      <c r="B35" s="2"/>
      <c r="C35" s="9"/>
      <c r="D35" s="9"/>
      <c r="E35" s="9"/>
    </row>
    <row r="36" spans="2:5" ht="12.75">
      <c r="B36" s="2"/>
      <c r="C36" s="54"/>
      <c r="D36" s="9"/>
      <c r="E36" s="9"/>
    </row>
    <row r="37" spans="2:5" ht="12.75">
      <c r="B37" s="9"/>
      <c r="C37" s="9"/>
      <c r="D37" s="9"/>
      <c r="E37" s="9"/>
    </row>
    <row r="38" spans="2:5" ht="12.75">
      <c r="B38" s="9"/>
      <c r="C38" s="9"/>
      <c r="D38" s="9"/>
      <c r="E38" s="9"/>
    </row>
    <row r="39" spans="2:5" ht="12.75">
      <c r="B39" s="9"/>
      <c r="C39" s="9"/>
      <c r="D39" s="9"/>
      <c r="E39" s="9"/>
    </row>
    <row r="40" spans="2:5" ht="12.75">
      <c r="B40" s="9"/>
      <c r="C40" s="9"/>
      <c r="D40" s="9"/>
      <c r="E40" s="9"/>
    </row>
    <row r="41" spans="2:5" ht="14.25">
      <c r="B41" s="9"/>
      <c r="C41" s="9"/>
      <c r="D41" s="3"/>
      <c r="E41" s="9"/>
    </row>
    <row r="44" spans="2:5" ht="12.75">
      <c r="B44" s="2"/>
      <c r="C44" s="9"/>
      <c r="D44" s="9"/>
      <c r="E44" s="9"/>
    </row>
    <row r="45" spans="2:5" ht="12.75">
      <c r="B45" s="2"/>
      <c r="C45" s="54"/>
      <c r="D45" s="9"/>
      <c r="E45" s="9"/>
    </row>
    <row r="46" spans="2:5" ht="12.75">
      <c r="B46" s="9"/>
      <c r="C46" s="9"/>
      <c r="D46" s="9"/>
      <c r="E46" s="9"/>
    </row>
    <row r="47" spans="2:5" ht="12.75">
      <c r="B47" s="9"/>
      <c r="C47" s="9"/>
      <c r="D47" s="9"/>
      <c r="E47" s="9"/>
    </row>
    <row r="48" spans="2:5" ht="12.75">
      <c r="B48" s="9"/>
      <c r="C48" s="9"/>
      <c r="D48" s="9"/>
      <c r="E48" s="9"/>
    </row>
    <row r="49" spans="2:5" ht="12.75">
      <c r="B49" s="9"/>
      <c r="C49" s="9"/>
      <c r="D49" s="9"/>
      <c r="E49" s="9"/>
    </row>
    <row r="50" spans="2:5" ht="14.25">
      <c r="B50" s="9"/>
      <c r="C50" s="9"/>
      <c r="D50" s="3"/>
      <c r="E50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C1">
      <selection activeCell="D22" sqref="D2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3.7109375" style="0" customWidth="1"/>
    <col min="4" max="4" width="8.140625" style="0" customWidth="1"/>
  </cols>
  <sheetData>
    <row r="1" ht="12.75">
      <c r="C1" s="2" t="s">
        <v>42</v>
      </c>
    </row>
    <row r="3" spans="3:7" ht="12.75">
      <c r="C3" s="13" t="s">
        <v>177</v>
      </c>
      <c r="E3" s="90" t="s">
        <v>166</v>
      </c>
      <c r="F3" s="90" t="s">
        <v>167</v>
      </c>
      <c r="G3" s="90" t="s">
        <v>168</v>
      </c>
    </row>
    <row r="5" spans="1:31" s="87" customFormat="1" ht="12.75">
      <c r="A5" s="87" t="s">
        <v>177</v>
      </c>
      <c r="B5" s="87" t="s">
        <v>197</v>
      </c>
      <c r="C5" s="87" t="s">
        <v>198</v>
      </c>
      <c r="D5" s="87" t="s">
        <v>199</v>
      </c>
      <c r="E5" s="85">
        <v>2261.8</v>
      </c>
      <c r="F5" s="85">
        <v>2252.6</v>
      </c>
      <c r="G5" s="85">
        <v>2245.7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22" s="87" customFormat="1" ht="12.75">
      <c r="A6" s="87" t="s">
        <v>177</v>
      </c>
      <c r="B6" s="87" t="s">
        <v>197</v>
      </c>
      <c r="C6" s="87" t="s">
        <v>201</v>
      </c>
      <c r="D6" s="87" t="s">
        <v>199</v>
      </c>
      <c r="E6" s="85">
        <v>430.7</v>
      </c>
      <c r="F6" s="85">
        <v>430.7</v>
      </c>
      <c r="G6" s="85">
        <v>430.7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3" s="87" customFormat="1" ht="12.75">
      <c r="A7" s="87" t="s">
        <v>177</v>
      </c>
      <c r="B7" s="87" t="s">
        <v>197</v>
      </c>
      <c r="C7" s="87" t="s">
        <v>202</v>
      </c>
      <c r="D7" s="87" t="s">
        <v>200</v>
      </c>
      <c r="E7" s="85">
        <v>6.783</v>
      </c>
      <c r="F7" s="85">
        <v>6.297</v>
      </c>
      <c r="G7" s="85">
        <v>5.129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2004-02-25T18:47:52Z</cp:lastPrinted>
  <dcterms:created xsi:type="dcterms:W3CDTF">2000-01-10T00:44:42Z</dcterms:created>
  <dcterms:modified xsi:type="dcterms:W3CDTF">2004-02-25T18:49:33Z</dcterms:modified>
  <cp:category/>
  <cp:version/>
  <cp:contentType/>
  <cp:contentStatus/>
</cp:coreProperties>
</file>