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854" activeTab="4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1" sheetId="8" r:id="rId8"/>
    <sheet name="process 2" sheetId="9" r:id="rId9"/>
    <sheet name="df c10" sheetId="10" r:id="rId10"/>
    <sheet name="df c11" sheetId="11" r:id="rId11"/>
    <sheet name="df c12" sheetId="12" r:id="rId12"/>
    <sheet name="df c1" sheetId="13" r:id="rId13"/>
  </sheets>
  <definedNames>
    <definedName name="_xlnm.Print_Titles" localSheetId="9">'df c10'!$A:$B</definedName>
    <definedName name="_xlnm.Print_Titles" localSheetId="10">'df c11'!$A:$B</definedName>
    <definedName name="_xlnm.Print_Titles" localSheetId="11">'df c12'!$A:$B</definedName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<sst xmlns="http://schemas.openxmlformats.org/spreadsheetml/2006/main" count="1997" uniqueCount="307">
  <si>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</si>
  <si>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</si>
  <si>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</si>
  <si>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</si>
  <si>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</si>
  <si>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</si>
  <si>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</si>
  <si>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</si>
  <si>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</si>
  <si>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</si>
  <si>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</si>
  <si>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</si>
  <si>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</si>
  <si>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</si>
  <si>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</si>
  <si>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</si>
  <si>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</si>
  <si>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</si>
  <si>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</si>
  <si>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</si>
  <si>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</si>
  <si>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</si>
  <si>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</si>
  <si>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</si>
  <si>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</si>
  <si>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</si>
  <si>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</si>
  <si>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</si>
  <si>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</si>
  <si>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</si>
  <si>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</si>
  <si>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</si>
  <si>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</si>
  <si>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</si>
  <si>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</si>
  <si>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</si>
  <si>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</si>
  <si>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</si>
  <si>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</si>
  <si>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</si>
  <si>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</si>
  <si>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</si>
  <si>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</si>
  <si>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</si>
  <si>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</si>
  <si>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</si>
  <si>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</si>
  <si>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Feedrate Calculations</t>
  </si>
  <si>
    <t>Cond Avg</t>
  </si>
  <si>
    <t>Feedstream Description</t>
  </si>
  <si>
    <t>Chlorine</t>
  </si>
  <si>
    <t>HCl</t>
  </si>
  <si>
    <t>Cl2</t>
  </si>
  <si>
    <t>DRE</t>
  </si>
  <si>
    <t>lb/hr</t>
  </si>
  <si>
    <t>Run 1</t>
  </si>
  <si>
    <t>Run 3</t>
  </si>
  <si>
    <r>
      <t>o</t>
    </r>
    <r>
      <rPr>
        <sz val="10"/>
        <rFont val="Arial"/>
        <family val="2"/>
      </rPr>
      <t>F</t>
    </r>
  </si>
  <si>
    <t>MMBtu/hr</t>
  </si>
  <si>
    <t>ug/dscm</t>
  </si>
  <si>
    <t>SVM</t>
  </si>
  <si>
    <t>LVM</t>
  </si>
  <si>
    <t>O2 (%)</t>
  </si>
  <si>
    <t>TEQ Cond Avg</t>
  </si>
  <si>
    <t>Total Cond Avg</t>
  </si>
  <si>
    <t>Stack Gas Flowrate</t>
  </si>
  <si>
    <t>Oxygen</t>
  </si>
  <si>
    <t>mg/dscm</t>
  </si>
  <si>
    <t>HW</t>
  </si>
  <si>
    <t>ng/dscm</t>
  </si>
  <si>
    <t>Combustor Characteristics</t>
  </si>
  <si>
    <t>7% O2</t>
  </si>
  <si>
    <t>Process Information</t>
  </si>
  <si>
    <t>1/2 ND</t>
  </si>
  <si>
    <t>PCDD/PCDF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</si>
  <si>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</si>
  <si>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</si>
  <si>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</si>
  <si>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</si>
  <si>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</si>
  <si>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Feedrate MTEC Calculations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</si>
  <si>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</si>
  <si>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</si>
  <si>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</si>
  <si>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</si>
  <si>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</si>
  <si>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</si>
  <si>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Beryllium</t>
  </si>
  <si>
    <t>Mercury</t>
  </si>
  <si>
    <t>Comments</t>
  </si>
  <si>
    <t xml:space="preserve">   O2</t>
  </si>
  <si>
    <t xml:space="preserve">   Moisture</t>
  </si>
  <si>
    <t>Chromium</t>
  </si>
  <si>
    <t>Sampling Train</t>
  </si>
  <si>
    <t>Trial burn</t>
  </si>
  <si>
    <t>*</t>
  </si>
  <si>
    <t>Thermal Feedrate</t>
  </si>
  <si>
    <t>Feed Rate</t>
  </si>
  <si>
    <t>HWC Burn Status (Date if Terminated)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</si>
  <si>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</si>
  <si>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</si>
  <si>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</si>
  <si>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</si>
  <si>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</si>
  <si>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</si>
  <si>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</si>
  <si>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HpCDF</t>
  </si>
  <si>
    <t>PCDD/PCDF (ng in sample)</t>
  </si>
  <si>
    <t>Metals</t>
  </si>
  <si>
    <t>nd</t>
  </si>
  <si>
    <t>Detected in sample volume (pg)</t>
  </si>
  <si>
    <t>JACADS</t>
  </si>
  <si>
    <t>TT</t>
  </si>
  <si>
    <t>TTO570090001</t>
  </si>
  <si>
    <t>Metal Parts Furnace (MPF)</t>
  </si>
  <si>
    <t>JP5 fuel oil</t>
  </si>
  <si>
    <t>1st chamber is air lock feed.  2nd chamber is refractory lined hearth furnace.  3rd chamber is waste discharge air lock.  Waste feed and removed in tray batches.</t>
  </si>
  <si>
    <t>3 chamber roller hearth unit, afterburner</t>
  </si>
  <si>
    <t>WQ/VS/PBS/DM</t>
  </si>
  <si>
    <t>Halogenated plastic wastes</t>
  </si>
  <si>
    <t>Run 4</t>
  </si>
  <si>
    <t>Run 5</t>
  </si>
  <si>
    <t>470C10, 3/16/01-3/19-01</t>
  </si>
  <si>
    <t>JACADS Metal Parts Furnace Halogenated Waste Performance Test, March 2001</t>
  </si>
  <si>
    <t>Washington Demilitarization Company</t>
  </si>
  <si>
    <t>METCO</t>
  </si>
  <si>
    <t>n</t>
  </si>
  <si>
    <t>mg/dscf</t>
  </si>
  <si>
    <t>HF</t>
  </si>
  <si>
    <t>PM, HCl/Cl2, HF</t>
  </si>
  <si>
    <t>Total Chlorine</t>
  </si>
  <si>
    <t>Phase I ID No.</t>
  </si>
  <si>
    <t>Johnston Atoll</t>
  </si>
  <si>
    <t>Silver</t>
  </si>
  <si>
    <t>Aluminum</t>
  </si>
  <si>
    <t>Arsenic</t>
  </si>
  <si>
    <t>Barium</t>
  </si>
  <si>
    <t>Boron</t>
  </si>
  <si>
    <t>Cadmium</t>
  </si>
  <si>
    <t>Copper</t>
  </si>
  <si>
    <t>Manganese</t>
  </si>
  <si>
    <t>Nickel</t>
  </si>
  <si>
    <t>Phosphorus</t>
  </si>
  <si>
    <t>Antimony</t>
  </si>
  <si>
    <t>Selenium</t>
  </si>
  <si>
    <t>Tin</t>
  </si>
  <si>
    <t>Thallium</t>
  </si>
  <si>
    <t>Vanadium</t>
  </si>
  <si>
    <t>Zinc</t>
  </si>
  <si>
    <t>ug/dscf</t>
  </si>
  <si>
    <t>CO (RA)</t>
  </si>
  <si>
    <t>CO (max inst)</t>
  </si>
  <si>
    <t>Comb Chamb Temp</t>
  </si>
  <si>
    <t>Afterburner Temp</t>
  </si>
  <si>
    <t>Comb Cham Pressure</t>
  </si>
  <si>
    <t>in H2O</t>
  </si>
  <si>
    <t>VS Pressure Drop</t>
  </si>
  <si>
    <t>gpm</t>
  </si>
  <si>
    <t>VS Brine Flow</t>
  </si>
  <si>
    <t>PBS Pressure Drop</t>
  </si>
  <si>
    <t>PBS Liquor Flow</t>
  </si>
  <si>
    <t>PBS Clean Liquor pH</t>
  </si>
  <si>
    <t>Brine pH</t>
  </si>
  <si>
    <t>Raytheon Engineers and Constructors</t>
  </si>
  <si>
    <t>Halogenated plastic wastes (personal protective equipment, neoprene, teflon), 4.2" HD mortar projectiles</t>
  </si>
  <si>
    <t>470C11</t>
  </si>
  <si>
    <t>470C10</t>
  </si>
  <si>
    <t>Trial burn, low temp, no metals spiking</t>
  </si>
  <si>
    <t>JACADS, Johnston Atoll</t>
  </si>
  <si>
    <t>JACADS Metal Parts Furnace 4.2-Inch Agent HD Mortar Projectiles Trial Burn Report, August 1999</t>
  </si>
  <si>
    <t>HD</t>
  </si>
  <si>
    <t xml:space="preserve">Agent HD </t>
  </si>
  <si>
    <t>c</t>
  </si>
  <si>
    <t>cc</t>
  </si>
  <si>
    <t>nd.02</t>
  </si>
  <si>
    <t>470C11, 3/18,20,21, 27, 1999</t>
  </si>
  <si>
    <t>Run 2</t>
  </si>
  <si>
    <t xml:space="preserve">POHC </t>
  </si>
  <si>
    <t>Agent GB</t>
  </si>
  <si>
    <t>POHC Feedrate</t>
  </si>
  <si>
    <t>Emission Rate</t>
  </si>
  <si>
    <t>&gt;</t>
  </si>
  <si>
    <t>Note: gas velocity to be increased to account for other 2 incinerators (LIC &amp; DFS)</t>
  </si>
  <si>
    <t>PM, metals, HCl, Cl2, HF, D/F, CO, DRE, SVOC, VOC, no metals spiking</t>
  </si>
  <si>
    <t>Note: Run-by-run feedrate data not included in main report; see App. C</t>
  </si>
  <si>
    <t>7%O2</t>
  </si>
  <si>
    <t xml:space="preserve">RCRA </t>
  </si>
  <si>
    <t>PM, HCl/Cl2/HF, metals, PCDD/PCDF, VOC/SVOC, PCB, total organics, limited feed analysis</t>
  </si>
  <si>
    <t>Halogenated waste trial burn, no metals spiking nor DRE</t>
  </si>
  <si>
    <t xml:space="preserve">Checked (c) and/or corrected (cc) </t>
  </si>
  <si>
    <t>No data</t>
  </si>
  <si>
    <t>February 20, 23 and March 1, 3, 1998</t>
  </si>
  <si>
    <t>Trial burn burn, GB-8inch M426 feed</t>
  </si>
  <si>
    <t>470C12</t>
  </si>
  <si>
    <t>Cobalt</t>
  </si>
  <si>
    <t>Phosphorous</t>
  </si>
  <si>
    <t>Detected in concentration (ug/dscm)</t>
  </si>
  <si>
    <t>PM, HCl/Cl2, metals, PCDD/F</t>
  </si>
  <si>
    <t>PCDD/PCDF (ng/dscm in sample)</t>
  </si>
  <si>
    <t>Report Name/Date</t>
  </si>
  <si>
    <t>Report Prepare</t>
  </si>
  <si>
    <t>Testing Firm</t>
  </si>
  <si>
    <t>Testing Dates</t>
  </si>
  <si>
    <t>Condition Descr</t>
  </si>
  <si>
    <t>Content</t>
  </si>
  <si>
    <t>470C1</t>
  </si>
  <si>
    <t>RCRA Trial Burn Report for HD - Mustard Ton Containers - Metals Parts Furnace at the Johnston Atoll Chemical Agent Disposal System, December 16, 1992</t>
  </si>
  <si>
    <t>United Engineers and Constructors</t>
  </si>
  <si>
    <t>Southern Research Institute</t>
  </si>
  <si>
    <t>Cond Descr</t>
  </si>
  <si>
    <t>Trial burn, steady state condition</t>
  </si>
  <si>
    <t>August 18-26, 1992</t>
  </si>
  <si>
    <t>R1</t>
  </si>
  <si>
    <t>R2</t>
  </si>
  <si>
    <t>R3</t>
  </si>
  <si>
    <t>R4</t>
  </si>
  <si>
    <t/>
  </si>
  <si>
    <t>PM/HCl</t>
  </si>
  <si>
    <t>SVOC</t>
  </si>
  <si>
    <t>HD (Mustard Agent)</t>
  </si>
  <si>
    <t>HD mustard agent liquid</t>
  </si>
  <si>
    <t>Feedrate</t>
  </si>
  <si>
    <t>lbs/hr</t>
  </si>
  <si>
    <t>Wt Fact</t>
  </si>
  <si>
    <t>Full ND</t>
  </si>
  <si>
    <t>4D 2378</t>
  </si>
  <si>
    <t>4D Total</t>
  </si>
  <si>
    <t>5D 12378</t>
  </si>
  <si>
    <t>6D 123478</t>
  </si>
  <si>
    <t>6D 123678</t>
  </si>
  <si>
    <t>6D 123789</t>
  </si>
  <si>
    <t>7D 1234678</t>
  </si>
  <si>
    <t>7D Total</t>
  </si>
  <si>
    <t>8D</t>
  </si>
  <si>
    <t>4F 2378</t>
  </si>
  <si>
    <t>4F Total</t>
  </si>
  <si>
    <t>5F 12378</t>
  </si>
  <si>
    <t>5F 23478</t>
  </si>
  <si>
    <t>5F Total</t>
  </si>
  <si>
    <t>6F 123478</t>
  </si>
  <si>
    <t>6F 123678</t>
  </si>
  <si>
    <t>6F 123789</t>
  </si>
  <si>
    <t>6F 234678</t>
  </si>
  <si>
    <t>6F Total</t>
  </si>
  <si>
    <t>7F 1234678</t>
  </si>
  <si>
    <t>7F 1234789</t>
  </si>
  <si>
    <t>7F Total</t>
  </si>
  <si>
    <t>8F</t>
  </si>
  <si>
    <t>Total PCDD/PCDF</t>
  </si>
  <si>
    <t>TEQ cond avg</t>
  </si>
  <si>
    <t>Condition Description</t>
  </si>
  <si>
    <t>Stack Gas Emissions 1</t>
  </si>
  <si>
    <t>Stack Gas Emissions 2</t>
  </si>
  <si>
    <t>Feedstream 2</t>
  </si>
  <si>
    <t>Feedstream</t>
  </si>
  <si>
    <t>47010</t>
  </si>
  <si>
    <t>F</t>
  </si>
  <si>
    <t>47011</t>
  </si>
  <si>
    <t>47012</t>
  </si>
  <si>
    <t>WS pH</t>
  </si>
  <si>
    <t>Process Information 2</t>
  </si>
  <si>
    <t>Kiln Temperature</t>
  </si>
  <si>
    <t>Afterburner Temperature</t>
  </si>
  <si>
    <t>WS Temperature</t>
  </si>
  <si>
    <t>Water quench, venturi scrubber (variable throat), packed bed scrubber, demister</t>
  </si>
  <si>
    <t>Solid</t>
  </si>
  <si>
    <t>Combustor Class</t>
  </si>
  <si>
    <t>Combustor Type</t>
  </si>
  <si>
    <t>Moving hearth</t>
  </si>
  <si>
    <t>E1</t>
  </si>
  <si>
    <t>E2</t>
  </si>
  <si>
    <t>E3</t>
  </si>
  <si>
    <t>Chromium (Hex)</t>
  </si>
  <si>
    <t>Cond Dates</t>
  </si>
  <si>
    <t>March 15-19, 2001</t>
  </si>
  <si>
    <t>March 18, 20, 21, 27 1999</t>
  </si>
  <si>
    <t>Number of Sister Facilities</t>
  </si>
  <si>
    <t>APCS Detailed Acronym</t>
  </si>
  <si>
    <t>APCS General Class</t>
  </si>
  <si>
    <t>WQ, HEWS, LEWS</t>
  </si>
  <si>
    <t>Oil</t>
  </si>
  <si>
    <t>source</t>
  </si>
  <si>
    <t>cond</t>
  </si>
  <si>
    <t>emiss 1</t>
  </si>
  <si>
    <t>emiss 2</t>
  </si>
  <si>
    <t>feed 1</t>
  </si>
  <si>
    <t>feed 2</t>
  </si>
  <si>
    <t>process 1</t>
  </si>
  <si>
    <t>process 2</t>
  </si>
  <si>
    <t>df c10</t>
  </si>
  <si>
    <t>df c11</t>
  </si>
  <si>
    <t>df c12</t>
  </si>
  <si>
    <t>df c1</t>
  </si>
  <si>
    <t>Onsite incinerator, DoD government, chem demil</t>
  </si>
  <si>
    <t>HC (RA)</t>
  </si>
  <si>
    <t>Feedstream Number</t>
  </si>
  <si>
    <t>Feed Class</t>
  </si>
  <si>
    <t>F1</t>
  </si>
  <si>
    <t>F2</t>
  </si>
  <si>
    <t>F3</t>
  </si>
  <si>
    <t>Solid HW</t>
  </si>
  <si>
    <t>Feed Class 2</t>
  </si>
  <si>
    <t>MF</t>
  </si>
  <si>
    <t>Estimated Firing Rate</t>
  </si>
  <si>
    <t>GB Trial Burn Report, Trial Burn of the MPF Incinerator, Johnston Atoll Chemical Agent Dispoal System, Johnston Island, July 1998</t>
  </si>
  <si>
    <t>N</t>
  </si>
  <si>
    <t>No longer burning waste; shutdown after all hazardous waste on island was treated.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</si>
</sst>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E+00"/>
    <numFmt numFmtId="178" formatCode="mm/dd/yy"/>
  </numFmts>
  <fonts count="7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167" fontId="0" fillId="0" borderId="0" xfId="0" applyNumberFormat="1" applyAlignment="1">
      <alignment/>
    </xf>
    <xf numFmtId="11" fontId="0" fillId="0" borderId="0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70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17" fontId="0" fillId="0" borderId="0" xfId="0" applyNumberFormat="1" applyFont="1" applyAlignment="1">
      <alignment horizontal="left"/>
    </xf>
    <xf numFmtId="17" fontId="0" fillId="0" borderId="0" xfId="0" applyNumberFormat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176" fontId="0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9" sqref="A9"/>
    </sheetView>
  </sheetViews>
  <sheetFormatPr defaultColWidth="9.140625" defaultRowHeight="12.75"/>
  <sheetData>
    <row r="1" ht="12.75">
      <c r="A1" t="s">
        <v>281</v>
      </c>
    </row>
    <row r="2" ht="12.75">
      <c r="A2" t="s">
        <v>282</v>
      </c>
    </row>
    <row r="3" ht="12.75">
      <c r="A3" t="s">
        <v>283</v>
      </c>
    </row>
    <row r="4" ht="12.75">
      <c r="A4" t="s">
        <v>284</v>
      </c>
    </row>
    <row r="5" ht="12.75">
      <c r="A5" t="s">
        <v>285</v>
      </c>
    </row>
    <row r="6" ht="12.75">
      <c r="A6" t="s">
        <v>286</v>
      </c>
    </row>
    <row r="7" ht="12.75">
      <c r="A7" t="s">
        <v>287</v>
      </c>
    </row>
    <row r="8" ht="12.75">
      <c r="A8" t="s">
        <v>288</v>
      </c>
    </row>
    <row r="9" ht="12.75">
      <c r="A9" t="s">
        <v>289</v>
      </c>
    </row>
    <row r="10" ht="12.75">
      <c r="A10" t="s">
        <v>290</v>
      </c>
    </row>
    <row r="11" ht="12.75">
      <c r="A11" t="s">
        <v>291</v>
      </c>
    </row>
    <row r="12" ht="12.75">
      <c r="A12" t="s">
        <v>292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76"/>
  <sheetViews>
    <sheetView zoomScale="75" zoomScaleNormal="75" workbookViewId="0" topLeftCell="A10">
      <selection activeCell="T40" sqref="T40"/>
    </sheetView>
  </sheetViews>
  <sheetFormatPr defaultColWidth="9.140625" defaultRowHeight="12.75"/>
  <cols>
    <col min="1" max="1" width="1.7109375" style="0" customWidth="1"/>
    <col min="2" max="2" width="23.00390625" style="0" customWidth="1"/>
    <col min="3" max="3" width="7.57421875" style="0" customWidth="1"/>
    <col min="4" max="4" width="6.28125" style="0" customWidth="1"/>
    <col min="5" max="5" width="9.421875" style="0" customWidth="1"/>
    <col min="6" max="6" width="9.8515625" style="0" customWidth="1"/>
    <col min="8" max="8" width="9.8515625" style="0" customWidth="1"/>
    <col min="9" max="9" width="7.421875" style="52" customWidth="1"/>
    <col min="11" max="11" width="9.28125" style="0" customWidth="1"/>
    <col min="13" max="13" width="9.28125" style="0" customWidth="1"/>
    <col min="14" max="14" width="6.140625" style="0" customWidth="1"/>
    <col min="16" max="16" width="9.00390625" style="0" customWidth="1"/>
    <col min="18" max="18" width="9.00390625" style="0" customWidth="1"/>
    <col min="19" max="19" width="7.28125" style="0" customWidth="1"/>
    <col min="21" max="21" width="9.00390625" style="0" customWidth="1"/>
    <col min="23" max="23" width="9.00390625" style="0" customWidth="1"/>
  </cols>
  <sheetData>
    <row r="1" spans="1:23" ht="12.75">
      <c r="A1" s="42" t="s">
        <v>74</v>
      </c>
      <c r="B1" s="27"/>
      <c r="C1" s="27"/>
      <c r="D1" s="27"/>
      <c r="E1" s="35"/>
      <c r="F1" s="36"/>
      <c r="G1" s="35"/>
      <c r="H1" s="36"/>
      <c r="I1" s="39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ht="12.75">
      <c r="A2" s="27" t="s">
        <v>305</v>
      </c>
      <c r="B2" s="27"/>
      <c r="C2" s="27"/>
      <c r="D2" s="27"/>
      <c r="E2" s="35"/>
      <c r="F2" s="36"/>
      <c r="G2" s="35"/>
      <c r="H2" s="36"/>
      <c r="I2" s="39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12.75">
      <c r="A3" s="27" t="s">
        <v>20</v>
      </c>
      <c r="B3" s="27"/>
      <c r="C3" s="9" t="s">
        <v>168</v>
      </c>
      <c r="D3" s="9"/>
      <c r="E3" s="35"/>
      <c r="F3" s="36"/>
      <c r="G3" s="35"/>
      <c r="H3" s="36"/>
      <c r="I3" s="39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2.75">
      <c r="A4" s="27" t="s">
        <v>21</v>
      </c>
      <c r="B4" s="27"/>
      <c r="C4" s="9" t="str">
        <f>cond!C4</f>
        <v>470C10</v>
      </c>
      <c r="D4" s="9"/>
      <c r="E4" s="37" t="str">
        <f>cond!C11</f>
        <v>Halogenated waste trial burn, no metals spiking nor DRE</v>
      </c>
      <c r="F4" s="38"/>
      <c r="G4" s="37"/>
      <c r="H4" s="38"/>
      <c r="I4" s="39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ht="12.75">
      <c r="A5" s="27" t="s">
        <v>22</v>
      </c>
      <c r="B5" s="27"/>
      <c r="C5" s="13" t="s">
        <v>122</v>
      </c>
      <c r="D5" s="13"/>
      <c r="E5" s="13"/>
      <c r="F5" s="13"/>
      <c r="G5" s="13"/>
      <c r="H5" s="13"/>
      <c r="I5" s="47"/>
      <c r="J5" s="13"/>
      <c r="K5" s="35"/>
      <c r="L5" s="13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ht="12.75">
      <c r="A6" s="27"/>
      <c r="B6" s="27"/>
      <c r="C6" s="29"/>
      <c r="D6" s="29"/>
      <c r="E6" s="39"/>
      <c r="F6" s="36"/>
      <c r="G6" s="39"/>
      <c r="H6" s="36"/>
      <c r="I6" s="39"/>
      <c r="J6" s="39"/>
      <c r="K6" s="35"/>
      <c r="L6" s="39"/>
      <c r="M6" s="35"/>
      <c r="N6" s="35"/>
      <c r="O6" s="39"/>
      <c r="P6" s="35"/>
      <c r="Q6" s="39"/>
      <c r="R6" s="35"/>
      <c r="S6" s="35"/>
      <c r="T6" s="39"/>
      <c r="U6" s="35"/>
      <c r="V6" s="39"/>
      <c r="W6" s="35"/>
    </row>
    <row r="7" spans="1:23" ht="12.75">
      <c r="A7" s="27"/>
      <c r="B7" s="27"/>
      <c r="C7" s="29" t="s">
        <v>23</v>
      </c>
      <c r="D7" s="29"/>
      <c r="E7" s="40" t="s">
        <v>55</v>
      </c>
      <c r="F7" s="40"/>
      <c r="G7" s="40"/>
      <c r="H7" s="40"/>
      <c r="I7" s="12"/>
      <c r="J7" s="40" t="s">
        <v>56</v>
      </c>
      <c r="K7" s="40"/>
      <c r="L7" s="40"/>
      <c r="M7" s="40"/>
      <c r="N7" s="12"/>
      <c r="O7" s="40" t="s">
        <v>120</v>
      </c>
      <c r="P7" s="40"/>
      <c r="Q7" s="40"/>
      <c r="R7" s="40"/>
      <c r="S7" s="12"/>
      <c r="T7" s="40" t="s">
        <v>121</v>
      </c>
      <c r="U7" s="40"/>
      <c r="V7" s="40"/>
      <c r="W7" s="40"/>
    </row>
    <row r="8" spans="1:23" ht="12.75">
      <c r="A8" s="27"/>
      <c r="B8" s="27"/>
      <c r="C8" s="29" t="s">
        <v>24</v>
      </c>
      <c r="D8" s="27"/>
      <c r="E8" s="39" t="s">
        <v>25</v>
      </c>
      <c r="F8" s="38" t="s">
        <v>26</v>
      </c>
      <c r="G8" s="39" t="s">
        <v>25</v>
      </c>
      <c r="H8" s="38" t="s">
        <v>26</v>
      </c>
      <c r="I8" s="39"/>
      <c r="J8" s="39" t="s">
        <v>25</v>
      </c>
      <c r="K8" s="39" t="s">
        <v>27</v>
      </c>
      <c r="L8" s="39" t="s">
        <v>25</v>
      </c>
      <c r="M8" s="39" t="s">
        <v>27</v>
      </c>
      <c r="N8" s="35"/>
      <c r="O8" s="39" t="s">
        <v>25</v>
      </c>
      <c r="P8" s="39" t="s">
        <v>27</v>
      </c>
      <c r="Q8" s="39" t="s">
        <v>25</v>
      </c>
      <c r="R8" s="39" t="s">
        <v>27</v>
      </c>
      <c r="S8" s="35"/>
      <c r="T8" s="39" t="s">
        <v>25</v>
      </c>
      <c r="U8" s="39" t="s">
        <v>27</v>
      </c>
      <c r="V8" s="39" t="s">
        <v>25</v>
      </c>
      <c r="W8" s="39" t="s">
        <v>27</v>
      </c>
    </row>
    <row r="9" spans="1:23" ht="12.75">
      <c r="A9" s="27"/>
      <c r="B9" s="27"/>
      <c r="C9" s="29"/>
      <c r="D9" s="27"/>
      <c r="E9" s="39" t="s">
        <v>224</v>
      </c>
      <c r="F9" s="39" t="s">
        <v>224</v>
      </c>
      <c r="G9" s="39" t="s">
        <v>73</v>
      </c>
      <c r="H9" s="38" t="s">
        <v>73</v>
      </c>
      <c r="I9" s="39"/>
      <c r="J9" s="39" t="s">
        <v>224</v>
      </c>
      <c r="K9" s="39" t="s">
        <v>224</v>
      </c>
      <c r="L9" s="39" t="s">
        <v>73</v>
      </c>
      <c r="M9" s="38" t="s">
        <v>73</v>
      </c>
      <c r="N9" s="35"/>
      <c r="O9" s="39" t="s">
        <v>224</v>
      </c>
      <c r="P9" s="39" t="s">
        <v>224</v>
      </c>
      <c r="Q9" s="39" t="s">
        <v>73</v>
      </c>
      <c r="R9" s="38" t="s">
        <v>73</v>
      </c>
      <c r="S9" s="35"/>
      <c r="T9" s="39" t="s">
        <v>224</v>
      </c>
      <c r="U9" s="39" t="s">
        <v>224</v>
      </c>
      <c r="V9" s="39" t="s">
        <v>73</v>
      </c>
      <c r="W9" s="38" t="s">
        <v>73</v>
      </c>
    </row>
    <row r="10" spans="1:23" ht="12.75">
      <c r="A10" s="27" t="s">
        <v>110</v>
      </c>
      <c r="B10" s="27"/>
      <c r="C10" s="27"/>
      <c r="D10" s="27"/>
      <c r="E10" s="35"/>
      <c r="F10" s="36"/>
      <c r="G10" s="35"/>
      <c r="H10" s="36"/>
      <c r="I10" s="39"/>
      <c r="J10" s="35"/>
      <c r="K10" s="35"/>
      <c r="L10" s="35"/>
      <c r="M10" s="35"/>
      <c r="N10" s="35"/>
      <c r="O10" s="30"/>
      <c r="P10" s="35"/>
      <c r="Q10" s="35"/>
      <c r="R10" s="35"/>
      <c r="S10" s="35"/>
      <c r="T10" s="30"/>
      <c r="U10" s="35"/>
      <c r="V10" s="35"/>
      <c r="W10" s="35"/>
    </row>
    <row r="11" spans="1:23" ht="12.75">
      <c r="A11" s="27"/>
      <c r="B11" s="27" t="s">
        <v>28</v>
      </c>
      <c r="C11" s="29">
        <v>1</v>
      </c>
      <c r="D11" t="s">
        <v>109</v>
      </c>
      <c r="E11" s="5">
        <v>21</v>
      </c>
      <c r="F11" s="30">
        <f aca="true" t="shared" si="0" ref="F11:H35">IF(E11="","",E11*$C11)</f>
        <v>21</v>
      </c>
      <c r="G11" s="30">
        <f aca="true" t="shared" si="1" ref="G11:G35">IF(E11=0,"",IF(D11="nd",E11/2,E11))</f>
        <v>10.5</v>
      </c>
      <c r="H11" s="30">
        <f t="shared" si="0"/>
        <v>10.5</v>
      </c>
      <c r="I11" t="s">
        <v>109</v>
      </c>
      <c r="J11" s="5">
        <v>18</v>
      </c>
      <c r="K11" s="30">
        <f aca="true" t="shared" si="2" ref="K11:M35">IF(J11="","",J11*$C11)</f>
        <v>18</v>
      </c>
      <c r="L11" s="30">
        <f aca="true" t="shared" si="3" ref="L11:L35">IF(J11=0,"",IF(I11="nd",J11/2,J11))</f>
        <v>9</v>
      </c>
      <c r="M11" s="30">
        <f t="shared" si="2"/>
        <v>9</v>
      </c>
      <c r="O11" s="5">
        <v>18.2</v>
      </c>
      <c r="P11" s="30">
        <f aca="true" t="shared" si="4" ref="P11:P35">IF(O11="","",O11*$C11)</f>
        <v>18.2</v>
      </c>
      <c r="Q11" s="30">
        <f aca="true" t="shared" si="5" ref="Q11:Q35">IF(O11=0,"",IF(N11="nd",O11/2,O11))</f>
        <v>18.2</v>
      </c>
      <c r="R11" s="30">
        <f aca="true" t="shared" si="6" ref="R11:R35">IF(Q11="","",Q11*$C11)</f>
        <v>18.2</v>
      </c>
      <c r="T11" s="5">
        <v>20</v>
      </c>
      <c r="U11" s="30">
        <f aca="true" t="shared" si="7" ref="U11:W35">IF(T11="","",T11*$C11)</f>
        <v>20</v>
      </c>
      <c r="V11" s="30">
        <f aca="true" t="shared" si="8" ref="V11:V35">IF(T11=0,"",IF(S11="nd",T11/2,T11))</f>
        <v>20</v>
      </c>
      <c r="W11" s="30">
        <f t="shared" si="7"/>
        <v>20</v>
      </c>
    </row>
    <row r="12" spans="1:23" ht="12.75">
      <c r="A12" s="27"/>
      <c r="B12" s="27" t="s">
        <v>99</v>
      </c>
      <c r="C12" s="29">
        <v>0</v>
      </c>
      <c r="D12" t="s">
        <v>109</v>
      </c>
      <c r="E12" s="5">
        <v>29</v>
      </c>
      <c r="F12" s="30">
        <f t="shared" si="0"/>
        <v>0</v>
      </c>
      <c r="G12" s="30">
        <f t="shared" si="1"/>
        <v>14.5</v>
      </c>
      <c r="H12" s="30">
        <f t="shared" si="0"/>
        <v>0</v>
      </c>
      <c r="I12" t="s">
        <v>109</v>
      </c>
      <c r="J12" s="5">
        <v>48</v>
      </c>
      <c r="K12" s="30">
        <f t="shared" si="2"/>
        <v>0</v>
      </c>
      <c r="L12" s="30">
        <f t="shared" si="3"/>
        <v>24</v>
      </c>
      <c r="M12" s="30">
        <f t="shared" si="2"/>
        <v>0</v>
      </c>
      <c r="O12" s="5">
        <v>29.6</v>
      </c>
      <c r="P12" s="30">
        <f t="shared" si="4"/>
        <v>0</v>
      </c>
      <c r="Q12" s="30">
        <f t="shared" si="5"/>
        <v>29.6</v>
      </c>
      <c r="R12" s="30">
        <f t="shared" si="6"/>
        <v>0</v>
      </c>
      <c r="T12" s="5">
        <v>55</v>
      </c>
      <c r="U12" s="30">
        <f t="shared" si="7"/>
        <v>0</v>
      </c>
      <c r="V12" s="30">
        <f t="shared" si="8"/>
        <v>55</v>
      </c>
      <c r="W12" s="30">
        <f t="shared" si="7"/>
        <v>0</v>
      </c>
    </row>
    <row r="13" spans="1:23" ht="12.75">
      <c r="A13" s="27"/>
      <c r="B13" s="27" t="s">
        <v>29</v>
      </c>
      <c r="C13" s="29">
        <v>0.5</v>
      </c>
      <c r="D13" t="s">
        <v>109</v>
      </c>
      <c r="E13" s="5">
        <v>38</v>
      </c>
      <c r="F13" s="30">
        <f t="shared" si="0"/>
        <v>19</v>
      </c>
      <c r="G13" s="30">
        <f t="shared" si="1"/>
        <v>19</v>
      </c>
      <c r="H13" s="30">
        <f t="shared" si="0"/>
        <v>9.5</v>
      </c>
      <c r="I13" t="s">
        <v>109</v>
      </c>
      <c r="J13" s="5">
        <v>33</v>
      </c>
      <c r="K13" s="30">
        <f t="shared" si="2"/>
        <v>16.5</v>
      </c>
      <c r="L13" s="30">
        <f t="shared" si="3"/>
        <v>16.5</v>
      </c>
      <c r="M13" s="30">
        <f t="shared" si="2"/>
        <v>8.25</v>
      </c>
      <c r="O13" s="5">
        <v>30</v>
      </c>
      <c r="P13" s="30">
        <f t="shared" si="4"/>
        <v>15</v>
      </c>
      <c r="Q13" s="30">
        <f t="shared" si="5"/>
        <v>30</v>
      </c>
      <c r="R13" s="30">
        <f t="shared" si="6"/>
        <v>15</v>
      </c>
      <c r="T13" s="5">
        <v>33</v>
      </c>
      <c r="U13" s="30">
        <f t="shared" si="7"/>
        <v>16.5</v>
      </c>
      <c r="V13" s="30">
        <f t="shared" si="8"/>
        <v>33</v>
      </c>
      <c r="W13" s="30">
        <f t="shared" si="7"/>
        <v>16.5</v>
      </c>
    </row>
    <row r="14" spans="1:23" ht="12.75">
      <c r="A14" s="27"/>
      <c r="B14" s="27" t="s">
        <v>100</v>
      </c>
      <c r="C14" s="29">
        <v>0</v>
      </c>
      <c r="D14" t="s">
        <v>109</v>
      </c>
      <c r="E14" s="5">
        <v>38</v>
      </c>
      <c r="F14" s="30">
        <f t="shared" si="0"/>
        <v>0</v>
      </c>
      <c r="G14" s="30">
        <f t="shared" si="1"/>
        <v>19</v>
      </c>
      <c r="H14" s="30">
        <f t="shared" si="0"/>
        <v>0</v>
      </c>
      <c r="I14" t="s">
        <v>109</v>
      </c>
      <c r="J14" s="5">
        <v>33</v>
      </c>
      <c r="K14" s="30">
        <f t="shared" si="2"/>
        <v>0</v>
      </c>
      <c r="L14" s="30">
        <f t="shared" si="3"/>
        <v>16.5</v>
      </c>
      <c r="M14" s="30">
        <f t="shared" si="2"/>
        <v>0</v>
      </c>
      <c r="O14" s="5">
        <v>30</v>
      </c>
      <c r="P14" s="30">
        <f t="shared" si="4"/>
        <v>0</v>
      </c>
      <c r="Q14" s="30">
        <f t="shared" si="5"/>
        <v>30</v>
      </c>
      <c r="R14" s="30">
        <f t="shared" si="6"/>
        <v>0</v>
      </c>
      <c r="T14" s="5">
        <v>33</v>
      </c>
      <c r="U14" s="30">
        <f t="shared" si="7"/>
        <v>0</v>
      </c>
      <c r="V14" s="30">
        <f t="shared" si="8"/>
        <v>33</v>
      </c>
      <c r="W14" s="30">
        <f t="shared" si="7"/>
        <v>0</v>
      </c>
    </row>
    <row r="15" spans="1:23" ht="12.75">
      <c r="A15" s="27"/>
      <c r="B15" s="27" t="s">
        <v>30</v>
      </c>
      <c r="C15" s="29">
        <v>0.1</v>
      </c>
      <c r="D15" t="s">
        <v>109</v>
      </c>
      <c r="E15" s="5">
        <v>26</v>
      </c>
      <c r="F15" s="30">
        <f t="shared" si="0"/>
        <v>2.6</v>
      </c>
      <c r="G15" s="30">
        <f t="shared" si="1"/>
        <v>13</v>
      </c>
      <c r="H15" s="30">
        <f t="shared" si="0"/>
        <v>1.3</v>
      </c>
      <c r="I15" t="s">
        <v>109</v>
      </c>
      <c r="J15" s="5">
        <v>21.2</v>
      </c>
      <c r="K15" s="30">
        <f t="shared" si="2"/>
        <v>2.12</v>
      </c>
      <c r="L15" s="30">
        <f t="shared" si="3"/>
        <v>10.6</v>
      </c>
      <c r="M15" s="30">
        <f t="shared" si="2"/>
        <v>1.06</v>
      </c>
      <c r="O15" s="5">
        <v>19.2</v>
      </c>
      <c r="P15" s="30">
        <f t="shared" si="4"/>
        <v>1.92</v>
      </c>
      <c r="Q15" s="30">
        <f t="shared" si="5"/>
        <v>19.2</v>
      </c>
      <c r="R15" s="30">
        <f t="shared" si="6"/>
        <v>1.92</v>
      </c>
      <c r="T15" s="5">
        <v>19.1</v>
      </c>
      <c r="U15" s="30">
        <f t="shared" si="7"/>
        <v>1.9100000000000001</v>
      </c>
      <c r="V15" s="30">
        <f t="shared" si="8"/>
        <v>19.1</v>
      </c>
      <c r="W15" s="30">
        <f t="shared" si="7"/>
        <v>1.9100000000000001</v>
      </c>
    </row>
    <row r="16" spans="1:23" ht="12.75">
      <c r="A16" s="27"/>
      <c r="B16" s="27" t="s">
        <v>31</v>
      </c>
      <c r="C16" s="29">
        <v>0.1</v>
      </c>
      <c r="D16" t="s">
        <v>109</v>
      </c>
      <c r="E16" s="5">
        <v>26</v>
      </c>
      <c r="F16" s="30">
        <f t="shared" si="0"/>
        <v>2.6</v>
      </c>
      <c r="G16" s="30">
        <f t="shared" si="1"/>
        <v>13</v>
      </c>
      <c r="H16" s="30">
        <f t="shared" si="0"/>
        <v>1.3</v>
      </c>
      <c r="I16" t="s">
        <v>109</v>
      </c>
      <c r="J16" s="5">
        <v>21.3</v>
      </c>
      <c r="K16" s="30">
        <f t="shared" si="2"/>
        <v>2.1300000000000003</v>
      </c>
      <c r="L16" s="30">
        <f t="shared" si="3"/>
        <v>10.65</v>
      </c>
      <c r="M16" s="30">
        <f t="shared" si="2"/>
        <v>1.0650000000000002</v>
      </c>
      <c r="O16" s="5">
        <v>19.3</v>
      </c>
      <c r="P16" s="30">
        <f t="shared" si="4"/>
        <v>1.9300000000000002</v>
      </c>
      <c r="Q16" s="30">
        <f t="shared" si="5"/>
        <v>19.3</v>
      </c>
      <c r="R16" s="30">
        <f t="shared" si="6"/>
        <v>1.9300000000000002</v>
      </c>
      <c r="T16" s="5">
        <v>19.3</v>
      </c>
      <c r="U16" s="30">
        <f t="shared" si="7"/>
        <v>1.9300000000000002</v>
      </c>
      <c r="V16" s="30">
        <f t="shared" si="8"/>
        <v>19.3</v>
      </c>
      <c r="W16" s="30">
        <f t="shared" si="7"/>
        <v>1.9300000000000002</v>
      </c>
    </row>
    <row r="17" spans="1:23" ht="12.75">
      <c r="A17" s="27"/>
      <c r="B17" s="27" t="s">
        <v>32</v>
      </c>
      <c r="C17" s="29">
        <v>0.1</v>
      </c>
      <c r="D17" t="s">
        <v>109</v>
      </c>
      <c r="E17" s="5">
        <v>24</v>
      </c>
      <c r="F17" s="30">
        <f t="shared" si="0"/>
        <v>2.4000000000000004</v>
      </c>
      <c r="G17" s="30">
        <f t="shared" si="1"/>
        <v>12</v>
      </c>
      <c r="H17" s="30">
        <f t="shared" si="0"/>
        <v>1.2000000000000002</v>
      </c>
      <c r="I17" t="s">
        <v>109</v>
      </c>
      <c r="J17" s="5">
        <v>19.7</v>
      </c>
      <c r="K17" s="30">
        <f t="shared" si="2"/>
        <v>1.97</v>
      </c>
      <c r="L17" s="30">
        <f t="shared" si="3"/>
        <v>9.85</v>
      </c>
      <c r="M17" s="30">
        <f t="shared" si="2"/>
        <v>0.985</v>
      </c>
      <c r="O17" s="5">
        <v>17.9</v>
      </c>
      <c r="P17" s="30">
        <f t="shared" si="4"/>
        <v>1.79</v>
      </c>
      <c r="Q17" s="30">
        <f t="shared" si="5"/>
        <v>17.9</v>
      </c>
      <c r="R17" s="30">
        <f t="shared" si="6"/>
        <v>1.79</v>
      </c>
      <c r="T17" s="5">
        <v>17.9</v>
      </c>
      <c r="U17" s="30">
        <f t="shared" si="7"/>
        <v>1.79</v>
      </c>
      <c r="V17" s="30">
        <f t="shared" si="8"/>
        <v>17.9</v>
      </c>
      <c r="W17" s="30">
        <f t="shared" si="7"/>
        <v>1.79</v>
      </c>
    </row>
    <row r="18" spans="1:23" ht="12.75">
      <c r="A18" s="27"/>
      <c r="B18" s="27" t="s">
        <v>101</v>
      </c>
      <c r="C18" s="29">
        <v>0</v>
      </c>
      <c r="D18" t="s">
        <v>109</v>
      </c>
      <c r="E18" s="5">
        <v>26</v>
      </c>
      <c r="F18" s="30">
        <f t="shared" si="0"/>
        <v>0</v>
      </c>
      <c r="G18" s="30">
        <f t="shared" si="1"/>
        <v>13</v>
      </c>
      <c r="H18" s="30">
        <f t="shared" si="0"/>
        <v>0</v>
      </c>
      <c r="I18" t="s">
        <v>109</v>
      </c>
      <c r="J18" s="5">
        <v>21.3</v>
      </c>
      <c r="K18" s="30">
        <f t="shared" si="2"/>
        <v>0</v>
      </c>
      <c r="L18" s="30">
        <f t="shared" si="3"/>
        <v>10.65</v>
      </c>
      <c r="M18" s="30">
        <f t="shared" si="2"/>
        <v>0</v>
      </c>
      <c r="O18" s="5">
        <v>19.3</v>
      </c>
      <c r="P18" s="30">
        <f t="shared" si="4"/>
        <v>0</v>
      </c>
      <c r="Q18" s="30">
        <f t="shared" si="5"/>
        <v>19.3</v>
      </c>
      <c r="R18" s="30">
        <f t="shared" si="6"/>
        <v>0</v>
      </c>
      <c r="T18" s="5">
        <v>19.3</v>
      </c>
      <c r="U18" s="30">
        <f t="shared" si="7"/>
        <v>0</v>
      </c>
      <c r="V18" s="30">
        <f t="shared" si="8"/>
        <v>19.3</v>
      </c>
      <c r="W18" s="30">
        <f t="shared" si="7"/>
        <v>0</v>
      </c>
    </row>
    <row r="19" spans="1:23" ht="12.75">
      <c r="A19" s="27"/>
      <c r="B19" s="27" t="s">
        <v>33</v>
      </c>
      <c r="C19" s="29">
        <v>0.01</v>
      </c>
      <c r="D19" t="s">
        <v>109</v>
      </c>
      <c r="E19" s="5">
        <v>28</v>
      </c>
      <c r="F19" s="30">
        <f t="shared" si="0"/>
        <v>0.28</v>
      </c>
      <c r="G19" s="30">
        <f t="shared" si="1"/>
        <v>14</v>
      </c>
      <c r="H19" s="30">
        <f t="shared" si="0"/>
        <v>0.14</v>
      </c>
      <c r="I19" t="s">
        <v>109</v>
      </c>
      <c r="J19" s="5">
        <v>25.2</v>
      </c>
      <c r="K19" s="30">
        <f t="shared" si="2"/>
        <v>0.252</v>
      </c>
      <c r="L19" s="30">
        <f t="shared" si="3"/>
        <v>12.6</v>
      </c>
      <c r="M19" s="30">
        <f t="shared" si="2"/>
        <v>0.126</v>
      </c>
      <c r="O19" s="5">
        <v>19.8</v>
      </c>
      <c r="P19" s="30">
        <f t="shared" si="4"/>
        <v>0.198</v>
      </c>
      <c r="Q19" s="30">
        <f t="shared" si="5"/>
        <v>19.8</v>
      </c>
      <c r="R19" s="30">
        <f t="shared" si="6"/>
        <v>0.198</v>
      </c>
      <c r="T19" s="5">
        <v>23.3</v>
      </c>
      <c r="U19" s="30">
        <f t="shared" si="7"/>
        <v>0.233</v>
      </c>
      <c r="V19" s="30">
        <f t="shared" si="8"/>
        <v>23.3</v>
      </c>
      <c r="W19" s="30">
        <f t="shared" si="7"/>
        <v>0.233</v>
      </c>
    </row>
    <row r="20" spans="1:23" ht="12.75">
      <c r="A20" s="27"/>
      <c r="B20" s="27" t="s">
        <v>102</v>
      </c>
      <c r="C20" s="29">
        <v>0</v>
      </c>
      <c r="D20" t="s">
        <v>109</v>
      </c>
      <c r="E20" s="5">
        <v>28</v>
      </c>
      <c r="F20" s="30">
        <f t="shared" si="0"/>
        <v>0</v>
      </c>
      <c r="G20" s="30">
        <f t="shared" si="1"/>
        <v>14</v>
      </c>
      <c r="H20" s="30">
        <f t="shared" si="0"/>
        <v>0</v>
      </c>
      <c r="I20" t="s">
        <v>109</v>
      </c>
      <c r="J20" s="5">
        <v>25.2</v>
      </c>
      <c r="K20" s="30">
        <f t="shared" si="2"/>
        <v>0</v>
      </c>
      <c r="L20" s="30">
        <f t="shared" si="3"/>
        <v>12.6</v>
      </c>
      <c r="M20" s="30">
        <f t="shared" si="2"/>
        <v>0</v>
      </c>
      <c r="O20" s="5">
        <v>21.8</v>
      </c>
      <c r="P20" s="30">
        <f t="shared" si="4"/>
        <v>0</v>
      </c>
      <c r="Q20" s="30">
        <f t="shared" si="5"/>
        <v>21.8</v>
      </c>
      <c r="R20" s="30">
        <f t="shared" si="6"/>
        <v>0</v>
      </c>
      <c r="T20" s="5">
        <v>23.3</v>
      </c>
      <c r="U20" s="30">
        <f t="shared" si="7"/>
        <v>0</v>
      </c>
      <c r="V20" s="30">
        <f t="shared" si="8"/>
        <v>23.3</v>
      </c>
      <c r="W20" s="30">
        <f t="shared" si="7"/>
        <v>0</v>
      </c>
    </row>
    <row r="21" spans="1:23" ht="12.75">
      <c r="A21" s="27"/>
      <c r="B21" s="27" t="s">
        <v>34</v>
      </c>
      <c r="C21" s="29">
        <v>0.001</v>
      </c>
      <c r="D21" t="s">
        <v>109</v>
      </c>
      <c r="E21" s="5">
        <v>31</v>
      </c>
      <c r="F21" s="30">
        <f t="shared" si="0"/>
        <v>0.031</v>
      </c>
      <c r="G21" s="30">
        <f t="shared" si="1"/>
        <v>15.5</v>
      </c>
      <c r="H21" s="30">
        <f t="shared" si="0"/>
        <v>0.0155</v>
      </c>
      <c r="I21" t="s">
        <v>109</v>
      </c>
      <c r="J21" s="5">
        <v>29</v>
      </c>
      <c r="K21" s="30">
        <f t="shared" si="2"/>
        <v>0.029</v>
      </c>
      <c r="L21" s="30">
        <f t="shared" si="3"/>
        <v>14.5</v>
      </c>
      <c r="M21" s="30">
        <f t="shared" si="2"/>
        <v>0.0145</v>
      </c>
      <c r="O21" s="5">
        <v>201</v>
      </c>
      <c r="P21" s="30">
        <f t="shared" si="4"/>
        <v>0.201</v>
      </c>
      <c r="Q21" s="30">
        <f t="shared" si="5"/>
        <v>201</v>
      </c>
      <c r="R21" s="30">
        <f t="shared" si="6"/>
        <v>0.201</v>
      </c>
      <c r="T21" s="5">
        <v>32</v>
      </c>
      <c r="U21" s="30">
        <f t="shared" si="7"/>
        <v>0.032</v>
      </c>
      <c r="V21" s="30">
        <f t="shared" si="8"/>
        <v>32</v>
      </c>
      <c r="W21" s="30">
        <f t="shared" si="7"/>
        <v>0.032</v>
      </c>
    </row>
    <row r="22" spans="1:23" ht="12.75">
      <c r="A22" s="27"/>
      <c r="B22" s="27" t="s">
        <v>35</v>
      </c>
      <c r="C22" s="29">
        <v>0.1</v>
      </c>
      <c r="D22" t="s">
        <v>109</v>
      </c>
      <c r="E22" s="5">
        <v>26.6</v>
      </c>
      <c r="F22" s="30">
        <f t="shared" si="0"/>
        <v>2.66</v>
      </c>
      <c r="G22" s="30">
        <f t="shared" si="1"/>
        <v>13.3</v>
      </c>
      <c r="H22" s="30">
        <f t="shared" si="0"/>
        <v>1.33</v>
      </c>
      <c r="I22" t="s">
        <v>109</v>
      </c>
      <c r="J22" s="5">
        <v>34.3</v>
      </c>
      <c r="K22" s="30">
        <f t="shared" si="2"/>
        <v>3.4299999999999997</v>
      </c>
      <c r="L22" s="30">
        <f t="shared" si="3"/>
        <v>17.15</v>
      </c>
      <c r="M22" s="30">
        <f t="shared" si="2"/>
        <v>1.7149999999999999</v>
      </c>
      <c r="O22" s="5">
        <v>25.3</v>
      </c>
      <c r="P22" s="30">
        <f t="shared" si="4"/>
        <v>2.5300000000000002</v>
      </c>
      <c r="Q22" s="30">
        <f t="shared" si="5"/>
        <v>25.3</v>
      </c>
      <c r="R22" s="30">
        <f t="shared" si="6"/>
        <v>2.5300000000000002</v>
      </c>
      <c r="T22" s="5">
        <v>26.8</v>
      </c>
      <c r="U22" s="30">
        <f t="shared" si="7"/>
        <v>2.68</v>
      </c>
      <c r="V22" s="30">
        <f t="shared" si="8"/>
        <v>26.8</v>
      </c>
      <c r="W22" s="30">
        <f t="shared" si="7"/>
        <v>2.68</v>
      </c>
    </row>
    <row r="23" spans="1:23" ht="12.75">
      <c r="A23" s="27"/>
      <c r="B23" s="27" t="s">
        <v>103</v>
      </c>
      <c r="C23" s="29">
        <v>0</v>
      </c>
      <c r="D23" t="s">
        <v>109</v>
      </c>
      <c r="E23" s="5">
        <v>85.6</v>
      </c>
      <c r="F23" s="30">
        <f t="shared" si="0"/>
        <v>0</v>
      </c>
      <c r="G23" s="30">
        <f t="shared" si="1"/>
        <v>42.8</v>
      </c>
      <c r="H23" s="30">
        <f t="shared" si="0"/>
        <v>0</v>
      </c>
      <c r="I23" t="s">
        <v>109</v>
      </c>
      <c r="J23" s="5">
        <v>186.3</v>
      </c>
      <c r="K23" s="30">
        <f t="shared" si="2"/>
        <v>0</v>
      </c>
      <c r="L23" s="30">
        <f t="shared" si="3"/>
        <v>93.15</v>
      </c>
      <c r="M23" s="30">
        <f t="shared" si="2"/>
        <v>0</v>
      </c>
      <c r="O23" s="5">
        <v>176.3</v>
      </c>
      <c r="P23" s="30">
        <f t="shared" si="4"/>
        <v>0</v>
      </c>
      <c r="Q23" s="30">
        <f t="shared" si="5"/>
        <v>176.3</v>
      </c>
      <c r="R23" s="30">
        <f t="shared" si="6"/>
        <v>0</v>
      </c>
      <c r="T23" s="5">
        <v>187.5</v>
      </c>
      <c r="U23" s="30">
        <f t="shared" si="7"/>
        <v>0</v>
      </c>
      <c r="V23" s="30">
        <f t="shared" si="8"/>
        <v>187.5</v>
      </c>
      <c r="W23" s="30">
        <f t="shared" si="7"/>
        <v>0</v>
      </c>
    </row>
    <row r="24" spans="1:23" ht="12.75">
      <c r="A24" s="27"/>
      <c r="B24" s="27" t="s">
        <v>36</v>
      </c>
      <c r="C24" s="29">
        <v>0.05</v>
      </c>
      <c r="D24" t="s">
        <v>109</v>
      </c>
      <c r="E24" s="5">
        <v>22</v>
      </c>
      <c r="F24" s="30">
        <f t="shared" si="0"/>
        <v>1.1</v>
      </c>
      <c r="G24" s="30">
        <f t="shared" si="1"/>
        <v>11</v>
      </c>
      <c r="H24" s="30">
        <f t="shared" si="0"/>
        <v>0.55</v>
      </c>
      <c r="I24" t="s">
        <v>109</v>
      </c>
      <c r="J24" s="5">
        <v>26</v>
      </c>
      <c r="K24" s="30">
        <f t="shared" si="2"/>
        <v>1.3</v>
      </c>
      <c r="L24" s="30">
        <f t="shared" si="3"/>
        <v>13</v>
      </c>
      <c r="M24" s="30">
        <f t="shared" si="2"/>
        <v>0.65</v>
      </c>
      <c r="O24" s="5">
        <v>27.1</v>
      </c>
      <c r="P24" s="30">
        <f t="shared" si="4"/>
        <v>1.3550000000000002</v>
      </c>
      <c r="Q24" s="30">
        <f t="shared" si="5"/>
        <v>27.1</v>
      </c>
      <c r="R24" s="30">
        <f t="shared" si="6"/>
        <v>1.3550000000000002</v>
      </c>
      <c r="T24" s="5">
        <v>25.6</v>
      </c>
      <c r="U24" s="30">
        <f t="shared" si="7"/>
        <v>1.2800000000000002</v>
      </c>
      <c r="V24" s="30">
        <f t="shared" si="8"/>
        <v>25.6</v>
      </c>
      <c r="W24" s="30">
        <f t="shared" si="7"/>
        <v>1.2800000000000002</v>
      </c>
    </row>
    <row r="25" spans="1:23" ht="12.75">
      <c r="A25" s="27"/>
      <c r="B25" s="27" t="s">
        <v>37</v>
      </c>
      <c r="C25" s="29">
        <v>0.5</v>
      </c>
      <c r="D25" t="s">
        <v>109</v>
      </c>
      <c r="E25" s="5">
        <v>22</v>
      </c>
      <c r="F25" s="30">
        <f t="shared" si="0"/>
        <v>11</v>
      </c>
      <c r="G25" s="30">
        <f t="shared" si="1"/>
        <v>11</v>
      </c>
      <c r="H25" s="30">
        <f t="shared" si="0"/>
        <v>5.5</v>
      </c>
      <c r="I25" t="s">
        <v>109</v>
      </c>
      <c r="J25" s="5">
        <v>19.6</v>
      </c>
      <c r="K25" s="30">
        <f t="shared" si="2"/>
        <v>9.8</v>
      </c>
      <c r="L25" s="30">
        <f t="shared" si="3"/>
        <v>9.8</v>
      </c>
      <c r="M25" s="30">
        <f t="shared" si="2"/>
        <v>4.9</v>
      </c>
      <c r="O25" s="5">
        <v>18.7</v>
      </c>
      <c r="P25" s="30">
        <f t="shared" si="4"/>
        <v>9.35</v>
      </c>
      <c r="Q25" s="30">
        <f t="shared" si="5"/>
        <v>18.7</v>
      </c>
      <c r="R25" s="30">
        <f t="shared" si="6"/>
        <v>9.35</v>
      </c>
      <c r="T25" s="5">
        <v>18.6</v>
      </c>
      <c r="U25" s="30">
        <f t="shared" si="7"/>
        <v>9.3</v>
      </c>
      <c r="V25" s="30">
        <f t="shared" si="8"/>
        <v>18.6</v>
      </c>
      <c r="W25" s="30">
        <f t="shared" si="7"/>
        <v>9.3</v>
      </c>
    </row>
    <row r="26" spans="1:23" ht="12.75">
      <c r="A26" s="27"/>
      <c r="B26" s="27" t="s">
        <v>104</v>
      </c>
      <c r="C26" s="29">
        <v>0</v>
      </c>
      <c r="D26" t="s">
        <v>109</v>
      </c>
      <c r="E26" s="5">
        <v>32</v>
      </c>
      <c r="F26" s="30">
        <f t="shared" si="0"/>
        <v>0</v>
      </c>
      <c r="G26" s="30">
        <f t="shared" si="1"/>
        <v>16</v>
      </c>
      <c r="H26" s="30">
        <f t="shared" si="0"/>
        <v>0</v>
      </c>
      <c r="I26" t="s">
        <v>109</v>
      </c>
      <c r="J26" s="5">
        <v>33</v>
      </c>
      <c r="K26" s="30">
        <f t="shared" si="2"/>
        <v>0</v>
      </c>
      <c r="L26" s="30">
        <f t="shared" si="3"/>
        <v>16.5</v>
      </c>
      <c r="M26" s="30">
        <f t="shared" si="2"/>
        <v>0</v>
      </c>
      <c r="O26" s="5">
        <v>33</v>
      </c>
      <c r="P26" s="30">
        <f t="shared" si="4"/>
        <v>0</v>
      </c>
      <c r="Q26" s="30">
        <f t="shared" si="5"/>
        <v>33</v>
      </c>
      <c r="R26" s="30">
        <f t="shared" si="6"/>
        <v>0</v>
      </c>
      <c r="T26" s="5">
        <v>33</v>
      </c>
      <c r="U26" s="30">
        <f t="shared" si="7"/>
        <v>0</v>
      </c>
      <c r="V26" s="30">
        <f t="shared" si="8"/>
        <v>33</v>
      </c>
      <c r="W26" s="30">
        <f t="shared" si="7"/>
        <v>0</v>
      </c>
    </row>
    <row r="27" spans="1:23" ht="12.75">
      <c r="A27" s="27"/>
      <c r="B27" s="27" t="s">
        <v>38</v>
      </c>
      <c r="C27" s="29">
        <v>0.1</v>
      </c>
      <c r="D27" t="s">
        <v>109</v>
      </c>
      <c r="E27" s="5">
        <v>19</v>
      </c>
      <c r="F27" s="30">
        <f t="shared" si="0"/>
        <v>1.9000000000000001</v>
      </c>
      <c r="G27" s="30">
        <f t="shared" si="1"/>
        <v>9.5</v>
      </c>
      <c r="H27" s="30">
        <f t="shared" si="0"/>
        <v>0.9500000000000001</v>
      </c>
      <c r="I27" t="s">
        <v>109</v>
      </c>
      <c r="J27" s="5">
        <v>24.7</v>
      </c>
      <c r="K27" s="30">
        <f t="shared" si="2"/>
        <v>2.47</v>
      </c>
      <c r="L27" s="30">
        <f t="shared" si="3"/>
        <v>12.35</v>
      </c>
      <c r="M27" s="30">
        <f t="shared" si="2"/>
        <v>1.235</v>
      </c>
      <c r="O27" s="5">
        <v>18.6</v>
      </c>
      <c r="P27" s="30">
        <f t="shared" si="4"/>
        <v>1.8600000000000003</v>
      </c>
      <c r="Q27" s="30">
        <f t="shared" si="5"/>
        <v>18.6</v>
      </c>
      <c r="R27" s="30">
        <f t="shared" si="6"/>
        <v>1.8600000000000003</v>
      </c>
      <c r="T27" s="5">
        <v>15.1</v>
      </c>
      <c r="U27" s="30">
        <f t="shared" si="7"/>
        <v>1.51</v>
      </c>
      <c r="V27" s="30">
        <f t="shared" si="8"/>
        <v>15.1</v>
      </c>
      <c r="W27" s="30">
        <f t="shared" si="7"/>
        <v>1.51</v>
      </c>
    </row>
    <row r="28" spans="1:23" ht="12.75">
      <c r="A28" s="27"/>
      <c r="B28" s="27" t="s">
        <v>39</v>
      </c>
      <c r="C28" s="29">
        <v>0.1</v>
      </c>
      <c r="D28" t="s">
        <v>109</v>
      </c>
      <c r="E28" s="5">
        <v>17.8</v>
      </c>
      <c r="F28" s="30">
        <f t="shared" si="0"/>
        <v>1.7800000000000002</v>
      </c>
      <c r="G28" s="30">
        <f t="shared" si="1"/>
        <v>8.9</v>
      </c>
      <c r="H28" s="30">
        <f t="shared" si="0"/>
        <v>0.8900000000000001</v>
      </c>
      <c r="I28" t="s">
        <v>109</v>
      </c>
      <c r="J28" s="5">
        <v>15.9</v>
      </c>
      <c r="K28" s="30">
        <f t="shared" si="2"/>
        <v>1.59</v>
      </c>
      <c r="L28" s="30">
        <f t="shared" si="3"/>
        <v>7.95</v>
      </c>
      <c r="M28" s="30">
        <f t="shared" si="2"/>
        <v>0.795</v>
      </c>
      <c r="O28" s="5">
        <v>13</v>
      </c>
      <c r="P28" s="30">
        <f t="shared" si="4"/>
        <v>1.3</v>
      </c>
      <c r="Q28" s="30">
        <f t="shared" si="5"/>
        <v>13</v>
      </c>
      <c r="R28" s="30">
        <f t="shared" si="6"/>
        <v>1.3</v>
      </c>
      <c r="T28" s="5">
        <v>13.4</v>
      </c>
      <c r="U28" s="30">
        <f t="shared" si="7"/>
        <v>1.34</v>
      </c>
      <c r="V28" s="30">
        <f t="shared" si="8"/>
        <v>13.4</v>
      </c>
      <c r="W28" s="30">
        <f t="shared" si="7"/>
        <v>1.34</v>
      </c>
    </row>
    <row r="29" spans="1:23" ht="12.75">
      <c r="A29" s="27"/>
      <c r="B29" s="27" t="s">
        <v>40</v>
      </c>
      <c r="C29" s="29">
        <v>0.1</v>
      </c>
      <c r="D29" t="s">
        <v>109</v>
      </c>
      <c r="E29" s="5">
        <v>18.6</v>
      </c>
      <c r="F29" s="30">
        <f t="shared" si="0"/>
        <v>1.8600000000000003</v>
      </c>
      <c r="G29" s="30">
        <f t="shared" si="1"/>
        <v>9.3</v>
      </c>
      <c r="H29" s="30">
        <f t="shared" si="0"/>
        <v>0.9300000000000002</v>
      </c>
      <c r="I29" t="s">
        <v>109</v>
      </c>
      <c r="J29" s="5">
        <v>16.7</v>
      </c>
      <c r="K29" s="30">
        <f t="shared" si="2"/>
        <v>1.67</v>
      </c>
      <c r="L29" s="30">
        <f t="shared" si="3"/>
        <v>8.35</v>
      </c>
      <c r="M29" s="30">
        <f t="shared" si="2"/>
        <v>0.835</v>
      </c>
      <c r="O29" s="5">
        <v>13.6</v>
      </c>
      <c r="P29" s="30">
        <f t="shared" si="4"/>
        <v>1.36</v>
      </c>
      <c r="Q29" s="30">
        <f t="shared" si="5"/>
        <v>13.6</v>
      </c>
      <c r="R29" s="30">
        <f t="shared" si="6"/>
        <v>1.36</v>
      </c>
      <c r="T29" s="5">
        <v>14.1</v>
      </c>
      <c r="U29" s="30">
        <f t="shared" si="7"/>
        <v>1.4100000000000001</v>
      </c>
      <c r="V29" s="30">
        <f t="shared" si="8"/>
        <v>14.1</v>
      </c>
      <c r="W29" s="30">
        <f t="shared" si="7"/>
        <v>1.4100000000000001</v>
      </c>
    </row>
    <row r="30" spans="1:23" ht="12.75">
      <c r="A30" s="27"/>
      <c r="B30" s="27" t="s">
        <v>41</v>
      </c>
      <c r="C30" s="29">
        <v>0.1</v>
      </c>
      <c r="D30" t="s">
        <v>109</v>
      </c>
      <c r="E30" s="5">
        <v>19.4</v>
      </c>
      <c r="F30" s="30">
        <f t="shared" si="0"/>
        <v>1.94</v>
      </c>
      <c r="G30" s="30">
        <f t="shared" si="1"/>
        <v>9.7</v>
      </c>
      <c r="H30" s="30">
        <f t="shared" si="0"/>
        <v>0.97</v>
      </c>
      <c r="I30" t="s">
        <v>109</v>
      </c>
      <c r="J30" s="5">
        <v>17.4</v>
      </c>
      <c r="K30" s="30">
        <f t="shared" si="2"/>
        <v>1.74</v>
      </c>
      <c r="L30" s="30">
        <f t="shared" si="3"/>
        <v>8.7</v>
      </c>
      <c r="M30" s="30">
        <f t="shared" si="2"/>
        <v>0.87</v>
      </c>
      <c r="O30" s="5">
        <v>14.2</v>
      </c>
      <c r="P30" s="30">
        <f t="shared" si="4"/>
        <v>1.42</v>
      </c>
      <c r="Q30" s="30">
        <f t="shared" si="5"/>
        <v>14.2</v>
      </c>
      <c r="R30" s="30">
        <f t="shared" si="6"/>
        <v>1.42</v>
      </c>
      <c r="T30" s="5">
        <v>14.7</v>
      </c>
      <c r="U30" s="30">
        <f t="shared" si="7"/>
        <v>1.47</v>
      </c>
      <c r="V30" s="30">
        <f t="shared" si="8"/>
        <v>14.7</v>
      </c>
      <c r="W30" s="30">
        <f t="shared" si="7"/>
        <v>1.47</v>
      </c>
    </row>
    <row r="31" spans="1:23" ht="12.75">
      <c r="A31" s="27"/>
      <c r="B31" s="27" t="s">
        <v>105</v>
      </c>
      <c r="C31" s="29">
        <v>0</v>
      </c>
      <c r="D31" t="s">
        <v>109</v>
      </c>
      <c r="E31" s="5">
        <v>19.4</v>
      </c>
      <c r="F31" s="30">
        <f t="shared" si="0"/>
        <v>0</v>
      </c>
      <c r="G31" s="30">
        <f t="shared" si="1"/>
        <v>9.7</v>
      </c>
      <c r="H31" s="30">
        <f t="shared" si="0"/>
        <v>0</v>
      </c>
      <c r="I31" t="s">
        <v>109</v>
      </c>
      <c r="J31" s="5">
        <v>25</v>
      </c>
      <c r="K31" s="30">
        <f t="shared" si="2"/>
        <v>0</v>
      </c>
      <c r="L31" s="30">
        <f t="shared" si="3"/>
        <v>12.5</v>
      </c>
      <c r="M31" s="30">
        <f t="shared" si="2"/>
        <v>0</v>
      </c>
      <c r="O31" s="5">
        <v>18.8</v>
      </c>
      <c r="P31" s="30">
        <f t="shared" si="4"/>
        <v>0</v>
      </c>
      <c r="Q31" s="30">
        <f t="shared" si="5"/>
        <v>18.8</v>
      </c>
      <c r="R31" s="30">
        <f t="shared" si="6"/>
        <v>0</v>
      </c>
      <c r="T31" s="5">
        <v>15.3</v>
      </c>
      <c r="U31" s="30">
        <f t="shared" si="7"/>
        <v>0</v>
      </c>
      <c r="V31" s="30">
        <f t="shared" si="8"/>
        <v>15.3</v>
      </c>
      <c r="W31" s="30">
        <f t="shared" si="7"/>
        <v>0</v>
      </c>
    </row>
    <row r="32" spans="1:23" ht="12.75">
      <c r="A32" s="27"/>
      <c r="B32" s="27" t="s">
        <v>42</v>
      </c>
      <c r="C32" s="29">
        <v>0.01</v>
      </c>
      <c r="D32" t="s">
        <v>109</v>
      </c>
      <c r="E32" s="5">
        <v>19.4</v>
      </c>
      <c r="F32" s="30">
        <f t="shared" si="0"/>
        <v>0.19399999999999998</v>
      </c>
      <c r="G32" s="30">
        <f t="shared" si="1"/>
        <v>9.7</v>
      </c>
      <c r="H32" s="30">
        <f t="shared" si="0"/>
        <v>0.09699999999999999</v>
      </c>
      <c r="I32" t="s">
        <v>109</v>
      </c>
      <c r="J32" s="5">
        <v>25</v>
      </c>
      <c r="K32" s="30">
        <f t="shared" si="2"/>
        <v>0.25</v>
      </c>
      <c r="L32" s="30">
        <f t="shared" si="3"/>
        <v>12.5</v>
      </c>
      <c r="M32" s="30">
        <f t="shared" si="2"/>
        <v>0.125</v>
      </c>
      <c r="O32" s="5">
        <v>23.4</v>
      </c>
      <c r="P32" s="30">
        <f t="shared" si="4"/>
        <v>0.23399999999999999</v>
      </c>
      <c r="Q32" s="30">
        <f t="shared" si="5"/>
        <v>23.4</v>
      </c>
      <c r="R32" s="30">
        <f t="shared" si="6"/>
        <v>0.23399999999999999</v>
      </c>
      <c r="T32" s="5">
        <v>21.2</v>
      </c>
      <c r="U32" s="30">
        <f t="shared" si="7"/>
        <v>0.212</v>
      </c>
      <c r="V32" s="30">
        <f t="shared" si="8"/>
        <v>21.2</v>
      </c>
      <c r="W32" s="30">
        <f t="shared" si="7"/>
        <v>0.212</v>
      </c>
    </row>
    <row r="33" spans="1:23" ht="12.75">
      <c r="A33" s="27"/>
      <c r="B33" s="27" t="s">
        <v>43</v>
      </c>
      <c r="C33" s="29">
        <v>0.01</v>
      </c>
      <c r="D33" t="s">
        <v>109</v>
      </c>
      <c r="E33" s="5">
        <v>23</v>
      </c>
      <c r="F33" s="30">
        <f t="shared" si="0"/>
        <v>0.23</v>
      </c>
      <c r="G33" s="30">
        <f t="shared" si="1"/>
        <v>11.5</v>
      </c>
      <c r="H33" s="30">
        <f t="shared" si="0"/>
        <v>0.115</v>
      </c>
      <c r="I33" t="s">
        <v>109</v>
      </c>
      <c r="J33" s="5">
        <v>20.4</v>
      </c>
      <c r="K33" s="30">
        <f t="shared" si="2"/>
        <v>0.204</v>
      </c>
      <c r="L33" s="30">
        <f t="shared" si="3"/>
        <v>10.2</v>
      </c>
      <c r="M33" s="30">
        <f t="shared" si="2"/>
        <v>0.102</v>
      </c>
      <c r="O33" s="5">
        <v>18.5</v>
      </c>
      <c r="P33" s="30">
        <f t="shared" si="4"/>
        <v>0.185</v>
      </c>
      <c r="Q33" s="30">
        <f t="shared" si="5"/>
        <v>18.5</v>
      </c>
      <c r="R33" s="30">
        <f t="shared" si="6"/>
        <v>0.185</v>
      </c>
      <c r="T33" s="5">
        <v>18</v>
      </c>
      <c r="U33" s="30">
        <f t="shared" si="7"/>
        <v>0.18</v>
      </c>
      <c r="V33" s="30">
        <f t="shared" si="8"/>
        <v>18</v>
      </c>
      <c r="W33" s="30">
        <f t="shared" si="7"/>
        <v>0.18</v>
      </c>
    </row>
    <row r="34" spans="1:23" ht="12.75">
      <c r="A34" s="27"/>
      <c r="B34" s="27" t="s">
        <v>106</v>
      </c>
      <c r="C34" s="29">
        <v>0</v>
      </c>
      <c r="D34" t="s">
        <v>109</v>
      </c>
      <c r="E34" s="5">
        <v>23</v>
      </c>
      <c r="F34" s="30">
        <f t="shared" si="0"/>
        <v>0</v>
      </c>
      <c r="G34" s="30">
        <f t="shared" si="1"/>
        <v>11.5</v>
      </c>
      <c r="H34" s="30">
        <f t="shared" si="0"/>
        <v>0</v>
      </c>
      <c r="I34" t="s">
        <v>109</v>
      </c>
      <c r="J34" s="5">
        <v>27</v>
      </c>
      <c r="K34" s="30">
        <f t="shared" si="2"/>
        <v>0</v>
      </c>
      <c r="L34" s="30">
        <f t="shared" si="3"/>
        <v>13.5</v>
      </c>
      <c r="M34" s="30">
        <f t="shared" si="2"/>
        <v>0</v>
      </c>
      <c r="O34" s="5">
        <v>25</v>
      </c>
      <c r="P34" s="30">
        <f t="shared" si="4"/>
        <v>0</v>
      </c>
      <c r="Q34" s="30">
        <f t="shared" si="5"/>
        <v>25</v>
      </c>
      <c r="R34" s="30">
        <f t="shared" si="6"/>
        <v>0</v>
      </c>
      <c r="T34" s="5">
        <v>23</v>
      </c>
      <c r="U34" s="30">
        <f t="shared" si="7"/>
        <v>0</v>
      </c>
      <c r="V34" s="30">
        <f t="shared" si="8"/>
        <v>23</v>
      </c>
      <c r="W34" s="30">
        <f t="shared" si="7"/>
        <v>0</v>
      </c>
    </row>
    <row r="35" spans="1:23" ht="12.75">
      <c r="A35" s="27"/>
      <c r="B35" s="27" t="s">
        <v>44</v>
      </c>
      <c r="C35" s="29">
        <v>0.001</v>
      </c>
      <c r="D35" t="s">
        <v>109</v>
      </c>
      <c r="E35" s="5">
        <v>34</v>
      </c>
      <c r="F35" s="30">
        <f t="shared" si="0"/>
        <v>0.034</v>
      </c>
      <c r="G35" s="30">
        <f t="shared" si="1"/>
        <v>17</v>
      </c>
      <c r="H35" s="30">
        <f t="shared" si="0"/>
        <v>0.017</v>
      </c>
      <c r="I35" t="s">
        <v>109</v>
      </c>
      <c r="J35" s="5">
        <v>32</v>
      </c>
      <c r="K35" s="30">
        <f t="shared" si="2"/>
        <v>0.032</v>
      </c>
      <c r="L35" s="30">
        <f t="shared" si="3"/>
        <v>16</v>
      </c>
      <c r="M35" s="30">
        <f t="shared" si="2"/>
        <v>0.016</v>
      </c>
      <c r="O35" s="5">
        <v>25</v>
      </c>
      <c r="P35" s="30">
        <f t="shared" si="4"/>
        <v>0.025</v>
      </c>
      <c r="Q35" s="30">
        <f t="shared" si="5"/>
        <v>25</v>
      </c>
      <c r="R35" s="30">
        <f t="shared" si="6"/>
        <v>0.025</v>
      </c>
      <c r="T35" s="5">
        <v>30</v>
      </c>
      <c r="U35" s="30">
        <f t="shared" si="7"/>
        <v>0.03</v>
      </c>
      <c r="V35" s="30">
        <f t="shared" si="8"/>
        <v>30</v>
      </c>
      <c r="W35" s="30">
        <f t="shared" si="7"/>
        <v>0.03</v>
      </c>
    </row>
    <row r="36" spans="1:23" ht="12.75">
      <c r="A36" s="27"/>
      <c r="B36" s="27"/>
      <c r="C36" s="27"/>
      <c r="D36" s="27"/>
      <c r="E36" s="33"/>
      <c r="F36" s="36"/>
      <c r="G36" s="33"/>
      <c r="H36" s="36"/>
      <c r="I36" s="53"/>
      <c r="J36" s="13"/>
      <c r="K36" s="30"/>
      <c r="L36" s="30"/>
      <c r="M36" s="30"/>
      <c r="N36" s="33"/>
      <c r="O36" s="13"/>
      <c r="P36" s="35"/>
      <c r="Q36" s="33"/>
      <c r="R36" s="35"/>
      <c r="S36" s="33"/>
      <c r="T36" s="13"/>
      <c r="U36" s="35"/>
      <c r="V36" s="33"/>
      <c r="W36" s="35"/>
    </row>
    <row r="37" spans="1:23" ht="12.75">
      <c r="A37" s="27"/>
      <c r="B37" s="27" t="s">
        <v>45</v>
      </c>
      <c r="C37" s="27"/>
      <c r="D37" s="27"/>
      <c r="E37" s="33"/>
      <c r="F37" s="33">
        <v>130.639</v>
      </c>
      <c r="G37" s="33">
        <v>130.639</v>
      </c>
      <c r="H37" s="33">
        <v>130.639</v>
      </c>
      <c r="I37" s="53"/>
      <c r="J37" s="33"/>
      <c r="K37" s="33">
        <v>139.83</v>
      </c>
      <c r="L37" s="33">
        <v>139.83</v>
      </c>
      <c r="M37" s="33">
        <v>139.83</v>
      </c>
      <c r="N37" s="33"/>
      <c r="O37" s="33"/>
      <c r="P37" s="33">
        <v>137.008</v>
      </c>
      <c r="Q37" s="33">
        <v>137.008</v>
      </c>
      <c r="R37" s="33">
        <v>137.008</v>
      </c>
      <c r="S37" s="33"/>
      <c r="T37" s="33"/>
      <c r="U37" s="33">
        <v>131.885</v>
      </c>
      <c r="V37" s="33">
        <v>131.885</v>
      </c>
      <c r="W37" s="33">
        <v>131.885</v>
      </c>
    </row>
    <row r="38" spans="1:23" ht="12.75">
      <c r="A38" s="27"/>
      <c r="B38" s="27" t="s">
        <v>62</v>
      </c>
      <c r="C38" s="27"/>
      <c r="D38" s="27"/>
      <c r="E38" s="33"/>
      <c r="F38" s="33">
        <v>12.1</v>
      </c>
      <c r="G38" s="33">
        <v>12.1</v>
      </c>
      <c r="H38" s="33">
        <v>12.1</v>
      </c>
      <c r="I38" s="53"/>
      <c r="J38" s="33"/>
      <c r="K38" s="30">
        <v>12.6</v>
      </c>
      <c r="L38" s="30">
        <v>12.6</v>
      </c>
      <c r="M38" s="30">
        <v>12.6</v>
      </c>
      <c r="N38" s="33"/>
      <c r="O38" s="33"/>
      <c r="P38" s="33">
        <v>11.7</v>
      </c>
      <c r="Q38" s="33">
        <v>11.7</v>
      </c>
      <c r="R38" s="33">
        <v>11.7</v>
      </c>
      <c r="S38" s="33"/>
      <c r="T38" s="33"/>
      <c r="U38" s="33">
        <v>12.1</v>
      </c>
      <c r="V38" s="33">
        <v>12.1</v>
      </c>
      <c r="W38" s="33">
        <v>12.1</v>
      </c>
    </row>
    <row r="39" spans="1:23" ht="12.75">
      <c r="A39" s="27"/>
      <c r="B39" s="27"/>
      <c r="C39" s="27"/>
      <c r="D39" s="27"/>
      <c r="E39" s="33"/>
      <c r="F39" s="13"/>
      <c r="G39" s="33"/>
      <c r="H39" s="13"/>
      <c r="I39" s="47"/>
      <c r="J39" s="33"/>
      <c r="K39" s="34"/>
      <c r="L39" s="30"/>
      <c r="M39" s="34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ht="12.75">
      <c r="A40" s="27"/>
      <c r="B40" s="27" t="s">
        <v>107</v>
      </c>
      <c r="C40" s="36"/>
      <c r="D40" s="36"/>
      <c r="E40" s="30"/>
      <c r="F40" s="32">
        <f>SUM(F11:F35)/1000</f>
        <v>0.070609</v>
      </c>
      <c r="G40" s="30">
        <f>SUM(G35,G34,G31,G26,G23,G21,G20,G18,G14,G12)/1000</f>
        <v>0.173</v>
      </c>
      <c r="H40" s="32">
        <f>SUM(H11:H35)/1000</f>
        <v>0.0353045</v>
      </c>
      <c r="I40" s="38"/>
      <c r="J40" s="30"/>
      <c r="K40" s="32">
        <f>SUM(K11:K35)/1000</f>
        <v>0.06348700000000002</v>
      </c>
      <c r="L40" s="30">
        <f>SUM(L35,L34,L31,L26,L23,L21,L20,L18,L14,L12)/1000</f>
        <v>0.2299</v>
      </c>
      <c r="M40" s="32">
        <f>SUM(M11:M35)/1000</f>
        <v>0.03174350000000001</v>
      </c>
      <c r="N40" s="36"/>
      <c r="O40" s="33"/>
      <c r="P40" s="33">
        <f>SUM(P11:P35)/1000</f>
        <v>0.05885800000000001</v>
      </c>
      <c r="Q40" s="30">
        <f>SUM(Q35,Q34,Q31,Q26,Q23,Q21,Q20,Q18,Q14,Q12)/1000</f>
        <v>0.5798000000000001</v>
      </c>
      <c r="R40" s="33">
        <f>SUM(R11:R35)/1000</f>
        <v>0.05885800000000001</v>
      </c>
      <c r="S40" s="36"/>
      <c r="T40" s="33"/>
      <c r="U40" s="33">
        <f>SUM(U11:U35)/1000</f>
        <v>0.061806999999999994</v>
      </c>
      <c r="V40" s="30">
        <f>SUM(V35,V34,V31,V26,V23,V21,V20,V18,V14,V12)/1000</f>
        <v>0.4514</v>
      </c>
      <c r="W40" s="33">
        <f>SUM(W11:W35)/1000</f>
        <v>0.061806999999999994</v>
      </c>
    </row>
    <row r="41" spans="1:23" ht="12.75">
      <c r="A41" s="27"/>
      <c r="B41" s="27" t="s">
        <v>46</v>
      </c>
      <c r="C41" s="36"/>
      <c r="D41" s="30">
        <f>(F41-H41)*2/F41*100</f>
        <v>100</v>
      </c>
      <c r="E41" s="33"/>
      <c r="F41" s="32">
        <f>(F40/F37/0.0283*(21-7)/(21-F38))</f>
        <v>0.03004268934421249</v>
      </c>
      <c r="G41" s="32">
        <f>(G40/G37/0.0283*(21-7)/(21-G38))</f>
        <v>0.07360797145617073</v>
      </c>
      <c r="H41" s="32">
        <f>(H40/H37/0.0283*(21-7)/(21-H38))</f>
        <v>0.015021344672106245</v>
      </c>
      <c r="I41" s="30">
        <f>(K41-M41)*2/K41*100</f>
        <v>100</v>
      </c>
      <c r="J41" s="33"/>
      <c r="K41" s="33">
        <f>K40/K37/0.0283*(21-7)/(21-K38)</f>
        <v>0.02673909855371242</v>
      </c>
      <c r="L41" s="33">
        <f>(L40/L37/0.0283*(21-7)/(21-L38))</f>
        <v>0.09682799246300004</v>
      </c>
      <c r="M41" s="33">
        <f>M40/M37/0.0283*(21-7)/(21-M38)</f>
        <v>0.01336954927685621</v>
      </c>
      <c r="N41" s="30">
        <f>(P41-R41)*2/P41*100</f>
        <v>0</v>
      </c>
      <c r="O41" s="33"/>
      <c r="P41" s="32">
        <f>P40/P37/0.0283*(21-7)/(21-P38)</f>
        <v>0.02285168482597056</v>
      </c>
      <c r="Q41" s="33">
        <f>(Q40/Q37/0.0283*(21-7)/(21-Q38))</f>
        <v>0.22510800336568917</v>
      </c>
      <c r="R41" s="32">
        <f>R40/R37/0.0283*(21-7)/(21-R38)</f>
        <v>0.02285168482597056</v>
      </c>
      <c r="S41" s="30">
        <f>(U41-W41)*2/U41*100</f>
        <v>0</v>
      </c>
      <c r="T41" s="33"/>
      <c r="U41" s="32">
        <f>U40/U37/0.0283*(21-7)/(21-U38)</f>
        <v>0.02604916784419408</v>
      </c>
      <c r="V41" s="33">
        <f>(V40/V37/0.0283*(21-7)/(21-V38))</f>
        <v>0.19024696822154785</v>
      </c>
      <c r="W41" s="32">
        <f>W40/W37/0.0283*(21-7)/(21-W38)</f>
        <v>0.02604916784419408</v>
      </c>
    </row>
    <row r="42" spans="1:23" ht="9" customHeight="1">
      <c r="A42" s="27"/>
      <c r="B42" s="27"/>
      <c r="C42" s="27"/>
      <c r="D42" s="27"/>
      <c r="E42" s="32"/>
      <c r="F42" s="36"/>
      <c r="G42" s="32"/>
      <c r="H42" s="36"/>
      <c r="I42" s="54"/>
      <c r="J42" s="32"/>
      <c r="K42" s="32"/>
      <c r="L42" s="32"/>
      <c r="M42" s="32"/>
      <c r="N42" s="32"/>
      <c r="O42" s="32"/>
      <c r="P42" s="35"/>
      <c r="Q42" s="32"/>
      <c r="R42" s="35"/>
      <c r="S42" s="32"/>
      <c r="T42" s="32"/>
      <c r="U42" s="35"/>
      <c r="V42" s="32"/>
      <c r="W42" s="35"/>
    </row>
    <row r="43" spans="1:23" ht="12.75">
      <c r="A43" s="33"/>
      <c r="B43" s="27" t="s">
        <v>63</v>
      </c>
      <c r="C43" s="32">
        <f>AVERAGE(H41,M41,R41,W41)</f>
        <v>0.019322936654781776</v>
      </c>
      <c r="D43" s="33"/>
      <c r="E43" s="33"/>
      <c r="F43" s="36"/>
      <c r="G43" s="33"/>
      <c r="H43" s="36"/>
      <c r="I43" s="53"/>
      <c r="J43" s="33"/>
      <c r="K43" s="33"/>
      <c r="L43" s="33"/>
      <c r="M43" s="33"/>
      <c r="N43" s="33"/>
      <c r="O43" s="33"/>
      <c r="P43" s="35"/>
      <c r="Q43" s="33"/>
      <c r="R43" s="35"/>
      <c r="S43" s="33"/>
      <c r="T43" s="33"/>
      <c r="U43" s="35"/>
      <c r="V43" s="33"/>
      <c r="W43" s="35"/>
    </row>
    <row r="44" spans="1:23" ht="12.75">
      <c r="A44" s="27"/>
      <c r="B44" s="27" t="s">
        <v>64</v>
      </c>
      <c r="C44" s="32">
        <f>AVERAGE(G41,L41,Q41,V41)</f>
        <v>0.14644773387660195</v>
      </c>
      <c r="D44" s="27"/>
      <c r="E44" s="35"/>
      <c r="F44" s="36"/>
      <c r="G44" s="35"/>
      <c r="H44" s="36"/>
      <c r="I44" s="3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</row>
    <row r="46" ht="12.75">
      <c r="I46"/>
    </row>
    <row r="47" ht="12.75">
      <c r="I47"/>
    </row>
    <row r="48" ht="12.75">
      <c r="I48"/>
    </row>
    <row r="49" ht="12.75">
      <c r="I49"/>
    </row>
    <row r="50" ht="12.75">
      <c r="I50"/>
    </row>
    <row r="51" ht="12.75">
      <c r="I51"/>
    </row>
    <row r="52" ht="12.75">
      <c r="I52"/>
    </row>
    <row r="53" ht="12.75">
      <c r="I53"/>
    </row>
    <row r="54" ht="12.75">
      <c r="I54"/>
    </row>
    <row r="55" ht="12.75">
      <c r="I55"/>
    </row>
    <row r="56" ht="12.75">
      <c r="I56"/>
    </row>
    <row r="57" ht="12.75">
      <c r="I57"/>
    </row>
    <row r="58" ht="12.75">
      <c r="I58"/>
    </row>
    <row r="59" ht="12.75">
      <c r="I59"/>
    </row>
    <row r="60" ht="12.75">
      <c r="I60"/>
    </row>
    <row r="61" ht="12.75">
      <c r="I61"/>
    </row>
    <row r="62" ht="12.75">
      <c r="I62"/>
    </row>
    <row r="63" ht="12.75">
      <c r="I63"/>
    </row>
    <row r="64" ht="12.75">
      <c r="I64"/>
    </row>
    <row r="65" ht="12.75">
      <c r="I65"/>
    </row>
    <row r="66" ht="12.75">
      <c r="I66"/>
    </row>
    <row r="67" ht="12.75">
      <c r="I67"/>
    </row>
    <row r="68" ht="12.75">
      <c r="I68"/>
    </row>
    <row r="69" ht="12.75">
      <c r="I69"/>
    </row>
    <row r="70" ht="12.75">
      <c r="I70"/>
    </row>
    <row r="71" ht="12.75">
      <c r="I71"/>
    </row>
    <row r="72" ht="12.75">
      <c r="I72"/>
    </row>
    <row r="73" ht="12.75">
      <c r="I73"/>
    </row>
    <row r="74" ht="12.75">
      <c r="I74"/>
    </row>
    <row r="75" ht="12.75">
      <c r="I75"/>
    </row>
    <row r="76" ht="12.75">
      <c r="I76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44"/>
  <sheetViews>
    <sheetView zoomScale="75" zoomScaleNormal="75" workbookViewId="0" topLeftCell="A6">
      <selection activeCell="D41" sqref="D41"/>
    </sheetView>
  </sheetViews>
  <sheetFormatPr defaultColWidth="9.140625" defaultRowHeight="12.75"/>
  <cols>
    <col min="1" max="1" width="2.140625" style="0" customWidth="1"/>
    <col min="2" max="2" width="22.421875" style="0" customWidth="1"/>
    <col min="4" max="4" width="4.8515625" style="0" customWidth="1"/>
    <col min="5" max="5" width="7.28125" style="0" customWidth="1"/>
    <col min="6" max="6" width="8.140625" style="0" customWidth="1"/>
    <col min="7" max="7" width="11.28125" style="0" customWidth="1"/>
    <col min="8" max="8" width="10.57421875" style="0" customWidth="1"/>
    <col min="9" max="9" width="6.140625" style="0" customWidth="1"/>
    <col min="10" max="10" width="8.57421875" style="0" customWidth="1"/>
    <col min="11" max="11" width="10.28125" style="0" customWidth="1"/>
    <col min="12" max="13" width="8.57421875" style="0" customWidth="1"/>
    <col min="14" max="14" width="6.00390625" style="0" customWidth="1"/>
    <col min="15" max="16" width="9.00390625" style="0" customWidth="1"/>
    <col min="17" max="17" width="10.140625" style="0" customWidth="1"/>
    <col min="18" max="18" width="9.7109375" style="0" customWidth="1"/>
    <col min="19" max="19" width="5.421875" style="0" customWidth="1"/>
    <col min="20" max="23" width="8.57421875" style="0" customWidth="1"/>
  </cols>
  <sheetData>
    <row r="1" spans="1:23" ht="12.75">
      <c r="A1" s="42" t="s">
        <v>74</v>
      </c>
      <c r="B1" s="27"/>
      <c r="C1" s="27"/>
      <c r="D1" s="27"/>
      <c r="E1" s="35"/>
      <c r="F1" s="36"/>
      <c r="G1" s="35"/>
      <c r="H1" s="36"/>
      <c r="I1" s="39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ht="12.75">
      <c r="A2" s="27" t="s">
        <v>305</v>
      </c>
      <c r="B2" s="27"/>
      <c r="C2" s="27"/>
      <c r="D2" s="27"/>
      <c r="E2" s="35"/>
      <c r="F2" s="36"/>
      <c r="G2" s="35"/>
      <c r="H2" s="36"/>
      <c r="I2" s="39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12.75">
      <c r="A3" s="27" t="s">
        <v>20</v>
      </c>
      <c r="B3" s="27"/>
      <c r="C3" s="9" t="s">
        <v>168</v>
      </c>
      <c r="D3" s="9"/>
      <c r="E3" s="35"/>
      <c r="F3" s="36"/>
      <c r="G3" s="35"/>
      <c r="H3" s="36"/>
      <c r="I3" s="39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2.75">
      <c r="A4" s="27" t="s">
        <v>21</v>
      </c>
      <c r="B4" s="27"/>
      <c r="C4" s="9" t="str">
        <f>cond!C14</f>
        <v>470C11</v>
      </c>
      <c r="D4" s="9"/>
      <c r="E4" s="37" t="str">
        <f>cond!C21</f>
        <v>Trial burn, low temp, no metals spiking</v>
      </c>
      <c r="F4" s="38"/>
      <c r="G4" s="37"/>
      <c r="H4" s="38"/>
      <c r="I4" s="39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ht="12.75">
      <c r="A5" s="27" t="s">
        <v>22</v>
      </c>
      <c r="B5" s="27"/>
      <c r="C5" s="13" t="s">
        <v>175</v>
      </c>
      <c r="D5" s="13"/>
      <c r="E5" s="13"/>
      <c r="F5" s="13"/>
      <c r="G5" s="13"/>
      <c r="H5" s="13"/>
      <c r="I5" s="47"/>
      <c r="J5" s="13"/>
      <c r="K5" s="35"/>
      <c r="L5" s="13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ht="12.75">
      <c r="A6" s="27"/>
      <c r="B6" s="27"/>
      <c r="C6" s="29"/>
      <c r="D6" s="29"/>
      <c r="E6" s="39"/>
      <c r="F6" s="36"/>
      <c r="G6" s="39"/>
      <c r="H6" s="36"/>
      <c r="I6" s="39"/>
      <c r="J6" s="39"/>
      <c r="K6" s="35"/>
      <c r="L6" s="39"/>
      <c r="M6" s="35"/>
      <c r="N6" s="35"/>
      <c r="O6" s="39"/>
      <c r="P6" s="35"/>
      <c r="Q6" s="39"/>
      <c r="R6" s="35"/>
      <c r="S6" s="35"/>
      <c r="T6" s="39"/>
      <c r="U6" s="35"/>
      <c r="V6" s="39"/>
      <c r="W6" s="35"/>
    </row>
    <row r="7" spans="1:23" ht="12.75">
      <c r="A7" s="27"/>
      <c r="B7" s="27"/>
      <c r="C7" s="29" t="s">
        <v>23</v>
      </c>
      <c r="D7" s="29"/>
      <c r="E7" s="40" t="s">
        <v>55</v>
      </c>
      <c r="F7" s="40"/>
      <c r="G7" s="40"/>
      <c r="H7" s="40"/>
      <c r="I7" s="12"/>
      <c r="J7" s="40" t="s">
        <v>176</v>
      </c>
      <c r="K7" s="40"/>
      <c r="L7" s="40"/>
      <c r="M7" s="40"/>
      <c r="N7" s="12"/>
      <c r="O7" s="40" t="s">
        <v>56</v>
      </c>
      <c r="P7" s="40"/>
      <c r="Q7" s="40"/>
      <c r="R7" s="40"/>
      <c r="S7" s="12"/>
      <c r="T7" s="40" t="s">
        <v>120</v>
      </c>
      <c r="U7" s="40"/>
      <c r="V7" s="40"/>
      <c r="W7" s="40"/>
    </row>
    <row r="8" spans="1:23" ht="12.75">
      <c r="A8" s="27"/>
      <c r="B8" s="27"/>
      <c r="C8" s="29" t="s">
        <v>24</v>
      </c>
      <c r="D8" s="27"/>
      <c r="E8" s="39" t="s">
        <v>25</v>
      </c>
      <c r="F8" s="38" t="s">
        <v>26</v>
      </c>
      <c r="G8" s="39" t="s">
        <v>25</v>
      </c>
      <c r="H8" s="38" t="s">
        <v>26</v>
      </c>
      <c r="I8" s="39"/>
      <c r="J8" s="39" t="s">
        <v>25</v>
      </c>
      <c r="K8" s="39" t="s">
        <v>27</v>
      </c>
      <c r="L8" s="39" t="s">
        <v>25</v>
      </c>
      <c r="M8" s="39" t="s">
        <v>27</v>
      </c>
      <c r="N8" s="35"/>
      <c r="O8" s="39" t="s">
        <v>25</v>
      </c>
      <c r="P8" s="39" t="s">
        <v>27</v>
      </c>
      <c r="Q8" s="39" t="s">
        <v>25</v>
      </c>
      <c r="R8" s="39" t="s">
        <v>27</v>
      </c>
      <c r="S8" s="35"/>
      <c r="T8" s="39" t="s">
        <v>25</v>
      </c>
      <c r="U8" s="39" t="s">
        <v>27</v>
      </c>
      <c r="V8" s="39" t="s">
        <v>25</v>
      </c>
      <c r="W8" s="39" t="s">
        <v>27</v>
      </c>
    </row>
    <row r="9" spans="1:23" ht="12.75">
      <c r="A9" s="27"/>
      <c r="B9" s="27"/>
      <c r="C9" s="29"/>
      <c r="D9" s="27"/>
      <c r="E9" s="39" t="s">
        <v>224</v>
      </c>
      <c r="F9" s="39" t="s">
        <v>224</v>
      </c>
      <c r="G9" s="39" t="s">
        <v>73</v>
      </c>
      <c r="H9" s="38" t="s">
        <v>73</v>
      </c>
      <c r="I9" s="39"/>
      <c r="J9" s="39" t="s">
        <v>224</v>
      </c>
      <c r="K9" s="39" t="s">
        <v>224</v>
      </c>
      <c r="L9" s="39" t="s">
        <v>73</v>
      </c>
      <c r="M9" s="38" t="s">
        <v>73</v>
      </c>
      <c r="N9" s="35"/>
      <c r="O9" s="39" t="s">
        <v>224</v>
      </c>
      <c r="P9" s="39" t="s">
        <v>224</v>
      </c>
      <c r="Q9" s="39" t="s">
        <v>73</v>
      </c>
      <c r="R9" s="38" t="s">
        <v>73</v>
      </c>
      <c r="S9" s="35"/>
      <c r="T9" s="39" t="s">
        <v>224</v>
      </c>
      <c r="U9" s="39" t="s">
        <v>224</v>
      </c>
      <c r="V9" s="39" t="s">
        <v>73</v>
      </c>
      <c r="W9" s="38" t="s">
        <v>73</v>
      </c>
    </row>
    <row r="10" spans="1:23" ht="12.75">
      <c r="A10" s="27" t="s">
        <v>110</v>
      </c>
      <c r="B10" s="27"/>
      <c r="C10" s="27"/>
      <c r="D10" s="27"/>
      <c r="E10" s="35"/>
      <c r="F10" s="36"/>
      <c r="G10" s="35"/>
      <c r="H10" s="36"/>
      <c r="I10" s="39"/>
      <c r="J10" s="35"/>
      <c r="K10" s="35"/>
      <c r="L10" s="35"/>
      <c r="M10" s="35"/>
      <c r="N10" s="35"/>
      <c r="O10" s="30"/>
      <c r="P10" s="35"/>
      <c r="Q10" s="35"/>
      <c r="R10" s="35"/>
      <c r="S10" s="35"/>
      <c r="T10" s="30"/>
      <c r="U10" s="35"/>
      <c r="V10" s="35"/>
      <c r="W10" s="35"/>
    </row>
    <row r="11" spans="1:23" ht="12.75">
      <c r="A11" s="27"/>
      <c r="B11" s="27" t="s">
        <v>28</v>
      </c>
      <c r="C11" s="29">
        <v>1</v>
      </c>
      <c r="D11" t="s">
        <v>109</v>
      </c>
      <c r="E11" s="5">
        <v>8.1</v>
      </c>
      <c r="F11" s="30">
        <f aca="true" t="shared" si="0" ref="F11:H35">IF(E11="","",E11*$C11)</f>
        <v>8.1</v>
      </c>
      <c r="G11" s="30">
        <f aca="true" t="shared" si="1" ref="G11:G35">IF(E11=0,"",IF(D11="nd",E11/2,E11))</f>
        <v>4.05</v>
      </c>
      <c r="H11" s="30">
        <f t="shared" si="0"/>
        <v>4.05</v>
      </c>
      <c r="I11" t="s">
        <v>109</v>
      </c>
      <c r="J11" s="5">
        <v>7.4</v>
      </c>
      <c r="K11" s="30">
        <f aca="true" t="shared" si="2" ref="K11:M35">IF(J11="","",J11*$C11)</f>
        <v>7.4</v>
      </c>
      <c r="L11" s="30">
        <f aca="true" t="shared" si="3" ref="L11:L35">IF(J11=0,"",IF(I11="nd",J11/2,J11))</f>
        <v>3.7</v>
      </c>
      <c r="M11" s="30">
        <f t="shared" si="2"/>
        <v>3.7</v>
      </c>
      <c r="N11" t="s">
        <v>109</v>
      </c>
      <c r="O11" s="5">
        <v>10.4</v>
      </c>
      <c r="P11" s="30">
        <f aca="true" t="shared" si="4" ref="P11:R35">IF(O11="","",O11*$C11)</f>
        <v>10.4</v>
      </c>
      <c r="Q11" s="30">
        <f aca="true" t="shared" si="5" ref="Q11:Q35">IF(O11=0,"",IF(N11="nd",O11/2,O11))</f>
        <v>5.2</v>
      </c>
      <c r="R11" s="30">
        <f t="shared" si="4"/>
        <v>5.2</v>
      </c>
      <c r="S11" t="s">
        <v>109</v>
      </c>
      <c r="T11" s="5">
        <v>10.6</v>
      </c>
      <c r="U11" s="30">
        <f aca="true" t="shared" si="6" ref="U11:W35">IF(T11="","",T11*$C11)</f>
        <v>10.6</v>
      </c>
      <c r="V11" s="30">
        <f aca="true" t="shared" si="7" ref="V11:V35">IF(T11=0,"",IF(S11="nd",T11/2,T11))</f>
        <v>5.3</v>
      </c>
      <c r="W11" s="30">
        <f t="shared" si="6"/>
        <v>5.3</v>
      </c>
    </row>
    <row r="12" spans="1:23" ht="12.75">
      <c r="A12" s="27"/>
      <c r="B12" s="27" t="s">
        <v>99</v>
      </c>
      <c r="C12" s="29">
        <v>0</v>
      </c>
      <c r="D12" t="s">
        <v>109</v>
      </c>
      <c r="E12" s="5">
        <v>49.1</v>
      </c>
      <c r="F12" s="30">
        <f t="shared" si="0"/>
        <v>0</v>
      </c>
      <c r="G12" s="30">
        <f t="shared" si="1"/>
        <v>24.55</v>
      </c>
      <c r="H12" s="30">
        <f t="shared" si="0"/>
        <v>0</v>
      </c>
      <c r="I12" t="s">
        <v>109</v>
      </c>
      <c r="J12" s="5">
        <v>54</v>
      </c>
      <c r="K12" s="30">
        <f t="shared" si="2"/>
        <v>0</v>
      </c>
      <c r="L12" s="30">
        <f t="shared" si="3"/>
        <v>27</v>
      </c>
      <c r="M12" s="30">
        <f t="shared" si="2"/>
        <v>0</v>
      </c>
      <c r="N12" t="s">
        <v>109</v>
      </c>
      <c r="O12" s="5">
        <v>66.4</v>
      </c>
      <c r="P12" s="30">
        <f t="shared" si="4"/>
        <v>0</v>
      </c>
      <c r="Q12" s="30">
        <f t="shared" si="5"/>
        <v>33.2</v>
      </c>
      <c r="R12" s="30">
        <f t="shared" si="4"/>
        <v>0</v>
      </c>
      <c r="S12" t="s">
        <v>109</v>
      </c>
      <c r="T12" s="5">
        <v>74.3</v>
      </c>
      <c r="U12" s="30">
        <f t="shared" si="6"/>
        <v>0</v>
      </c>
      <c r="V12" s="30">
        <f t="shared" si="7"/>
        <v>37.15</v>
      </c>
      <c r="W12" s="30">
        <f t="shared" si="6"/>
        <v>0</v>
      </c>
    </row>
    <row r="13" spans="1:23" ht="12.75">
      <c r="A13" s="27"/>
      <c r="B13" s="27" t="s">
        <v>29</v>
      </c>
      <c r="C13" s="29">
        <v>0.5</v>
      </c>
      <c r="D13" t="s">
        <v>109</v>
      </c>
      <c r="E13" s="5">
        <v>11.3</v>
      </c>
      <c r="F13" s="30">
        <f t="shared" si="0"/>
        <v>5.65</v>
      </c>
      <c r="G13" s="30">
        <f t="shared" si="1"/>
        <v>5.65</v>
      </c>
      <c r="H13" s="30">
        <f t="shared" si="0"/>
        <v>2.825</v>
      </c>
      <c r="I13" t="s">
        <v>109</v>
      </c>
      <c r="J13" s="5">
        <v>11.1</v>
      </c>
      <c r="K13" s="30">
        <f t="shared" si="2"/>
        <v>5.55</v>
      </c>
      <c r="L13" s="30">
        <f t="shared" si="3"/>
        <v>5.55</v>
      </c>
      <c r="M13" s="30">
        <f t="shared" si="2"/>
        <v>2.775</v>
      </c>
      <c r="N13" t="s">
        <v>109</v>
      </c>
      <c r="O13" s="5">
        <v>22.9</v>
      </c>
      <c r="P13" s="30">
        <f t="shared" si="4"/>
        <v>11.45</v>
      </c>
      <c r="Q13" s="30">
        <f t="shared" si="5"/>
        <v>11.45</v>
      </c>
      <c r="R13" s="30">
        <f t="shared" si="4"/>
        <v>5.725</v>
      </c>
      <c r="S13" t="s">
        <v>109</v>
      </c>
      <c r="T13" s="5">
        <v>18.4</v>
      </c>
      <c r="U13" s="30">
        <f t="shared" si="6"/>
        <v>9.2</v>
      </c>
      <c r="V13" s="30">
        <f t="shared" si="7"/>
        <v>9.2</v>
      </c>
      <c r="W13" s="30">
        <f t="shared" si="6"/>
        <v>4.6</v>
      </c>
    </row>
    <row r="14" spans="1:23" ht="12.75">
      <c r="A14" s="27"/>
      <c r="B14" s="27" t="s">
        <v>100</v>
      </c>
      <c r="C14" s="29">
        <v>0</v>
      </c>
      <c r="D14" t="s">
        <v>109</v>
      </c>
      <c r="E14" s="5">
        <v>15.9</v>
      </c>
      <c r="F14" s="30">
        <f t="shared" si="0"/>
        <v>0</v>
      </c>
      <c r="G14" s="30">
        <f t="shared" si="1"/>
        <v>7.95</v>
      </c>
      <c r="H14" s="30">
        <f t="shared" si="0"/>
        <v>0</v>
      </c>
      <c r="I14" t="s">
        <v>109</v>
      </c>
      <c r="J14" s="5">
        <v>19.5</v>
      </c>
      <c r="K14" s="30">
        <f t="shared" si="2"/>
        <v>0</v>
      </c>
      <c r="L14" s="30">
        <f t="shared" si="3"/>
        <v>9.75</v>
      </c>
      <c r="M14" s="30">
        <f t="shared" si="2"/>
        <v>0</v>
      </c>
      <c r="N14" t="s">
        <v>109</v>
      </c>
      <c r="O14" s="5">
        <v>26.6</v>
      </c>
      <c r="P14" s="30">
        <f t="shared" si="4"/>
        <v>0</v>
      </c>
      <c r="Q14" s="30">
        <f t="shared" si="5"/>
        <v>13.3</v>
      </c>
      <c r="R14" s="30">
        <f t="shared" si="4"/>
        <v>0</v>
      </c>
      <c r="S14" t="s">
        <v>109</v>
      </c>
      <c r="T14" s="5">
        <v>42</v>
      </c>
      <c r="U14" s="30">
        <f t="shared" si="6"/>
        <v>0</v>
      </c>
      <c r="V14" s="30">
        <f t="shared" si="7"/>
        <v>21</v>
      </c>
      <c r="W14" s="30">
        <f t="shared" si="6"/>
        <v>0</v>
      </c>
    </row>
    <row r="15" spans="1:23" ht="12.75">
      <c r="A15" s="27"/>
      <c r="B15" s="27" t="s">
        <v>30</v>
      </c>
      <c r="C15" s="29">
        <v>0.1</v>
      </c>
      <c r="D15" t="s">
        <v>109</v>
      </c>
      <c r="E15" s="5">
        <v>12.5</v>
      </c>
      <c r="F15" s="30">
        <f t="shared" si="0"/>
        <v>1.25</v>
      </c>
      <c r="G15" s="30">
        <f t="shared" si="1"/>
        <v>6.25</v>
      </c>
      <c r="H15" s="30">
        <f t="shared" si="0"/>
        <v>0.625</v>
      </c>
      <c r="I15" t="s">
        <v>109</v>
      </c>
      <c r="J15" s="5">
        <v>12.1</v>
      </c>
      <c r="K15" s="30">
        <f t="shared" si="2"/>
        <v>1.21</v>
      </c>
      <c r="L15" s="30">
        <f t="shared" si="3"/>
        <v>6.05</v>
      </c>
      <c r="M15" s="30">
        <f t="shared" si="2"/>
        <v>0.605</v>
      </c>
      <c r="N15" t="s">
        <v>109</v>
      </c>
      <c r="O15" s="5">
        <v>21.6</v>
      </c>
      <c r="P15" s="30">
        <f t="shared" si="4"/>
        <v>2.16</v>
      </c>
      <c r="Q15" s="30">
        <f t="shared" si="5"/>
        <v>10.8</v>
      </c>
      <c r="R15" s="30">
        <f t="shared" si="4"/>
        <v>1.08</v>
      </c>
      <c r="S15" t="s">
        <v>109</v>
      </c>
      <c r="T15" s="5">
        <v>23</v>
      </c>
      <c r="U15" s="30">
        <f t="shared" si="6"/>
        <v>2.3000000000000003</v>
      </c>
      <c r="V15" s="30">
        <f t="shared" si="7"/>
        <v>11.5</v>
      </c>
      <c r="W15" s="30">
        <f t="shared" si="6"/>
        <v>1.1500000000000001</v>
      </c>
    </row>
    <row r="16" spans="1:23" ht="12.75">
      <c r="A16" s="27"/>
      <c r="B16" s="27" t="s">
        <v>31</v>
      </c>
      <c r="C16" s="29">
        <v>0.1</v>
      </c>
      <c r="D16" t="s">
        <v>109</v>
      </c>
      <c r="E16" s="5">
        <v>9.7</v>
      </c>
      <c r="F16" s="30">
        <f t="shared" si="0"/>
        <v>0.97</v>
      </c>
      <c r="G16" s="30">
        <f t="shared" si="1"/>
        <v>4.85</v>
      </c>
      <c r="H16" s="30">
        <f t="shared" si="0"/>
        <v>0.485</v>
      </c>
      <c r="I16" t="s">
        <v>109</v>
      </c>
      <c r="J16" s="5">
        <v>9.4</v>
      </c>
      <c r="K16" s="30">
        <f t="shared" si="2"/>
        <v>0.9400000000000001</v>
      </c>
      <c r="L16" s="30">
        <f t="shared" si="3"/>
        <v>4.7</v>
      </c>
      <c r="M16" s="30">
        <f t="shared" si="2"/>
        <v>0.47000000000000003</v>
      </c>
      <c r="N16" t="s">
        <v>109</v>
      </c>
      <c r="O16" s="5">
        <v>18.2</v>
      </c>
      <c r="P16" s="30">
        <f t="shared" si="4"/>
        <v>1.82</v>
      </c>
      <c r="Q16" s="30">
        <f t="shared" si="5"/>
        <v>9.1</v>
      </c>
      <c r="R16" s="30">
        <f t="shared" si="4"/>
        <v>0.91</v>
      </c>
      <c r="S16" t="s">
        <v>109</v>
      </c>
      <c r="T16" s="5">
        <v>16.3</v>
      </c>
      <c r="U16" s="30">
        <f t="shared" si="6"/>
        <v>1.6300000000000001</v>
      </c>
      <c r="V16" s="30">
        <f t="shared" si="7"/>
        <v>8.15</v>
      </c>
      <c r="W16" s="30">
        <f t="shared" si="6"/>
        <v>0.8150000000000001</v>
      </c>
    </row>
    <row r="17" spans="1:23" ht="12.75">
      <c r="A17" s="27"/>
      <c r="B17" s="27" t="s">
        <v>32</v>
      </c>
      <c r="C17" s="29">
        <v>0.1</v>
      </c>
      <c r="D17" t="s">
        <v>109</v>
      </c>
      <c r="E17" s="5">
        <v>10.4</v>
      </c>
      <c r="F17" s="30">
        <f t="shared" si="0"/>
        <v>1.04</v>
      </c>
      <c r="G17" s="30">
        <f t="shared" si="1"/>
        <v>5.2</v>
      </c>
      <c r="H17" s="30">
        <f t="shared" si="0"/>
        <v>0.52</v>
      </c>
      <c r="I17" t="s">
        <v>109</v>
      </c>
      <c r="J17" s="5">
        <v>10</v>
      </c>
      <c r="K17" s="30">
        <f t="shared" si="2"/>
        <v>1</v>
      </c>
      <c r="L17" s="30">
        <f t="shared" si="3"/>
        <v>5</v>
      </c>
      <c r="M17" s="30">
        <f t="shared" si="2"/>
        <v>0.5</v>
      </c>
      <c r="N17" t="s">
        <v>109</v>
      </c>
      <c r="O17" s="5">
        <v>18.6</v>
      </c>
      <c r="P17" s="30">
        <f t="shared" si="4"/>
        <v>1.8600000000000003</v>
      </c>
      <c r="Q17" s="30">
        <f t="shared" si="5"/>
        <v>9.3</v>
      </c>
      <c r="R17" s="30">
        <f t="shared" si="4"/>
        <v>0.9300000000000002</v>
      </c>
      <c r="S17" t="s">
        <v>109</v>
      </c>
      <c r="T17" s="5">
        <v>18.1</v>
      </c>
      <c r="U17" s="30">
        <f t="shared" si="6"/>
        <v>1.8100000000000003</v>
      </c>
      <c r="V17" s="30">
        <f t="shared" si="7"/>
        <v>9.05</v>
      </c>
      <c r="W17" s="30">
        <f t="shared" si="6"/>
        <v>0.9050000000000001</v>
      </c>
    </row>
    <row r="18" spans="1:23" ht="12.75">
      <c r="A18" s="27"/>
      <c r="B18" s="27" t="s">
        <v>101</v>
      </c>
      <c r="C18" s="29">
        <v>0</v>
      </c>
      <c r="D18" t="s">
        <v>109</v>
      </c>
      <c r="E18" s="5">
        <v>12.5</v>
      </c>
      <c r="F18" s="30">
        <f t="shared" si="0"/>
        <v>0</v>
      </c>
      <c r="G18" s="30">
        <f t="shared" si="1"/>
        <v>6.25</v>
      </c>
      <c r="H18" s="30">
        <f t="shared" si="0"/>
        <v>0</v>
      </c>
      <c r="I18" t="s">
        <v>109</v>
      </c>
      <c r="J18" s="5">
        <v>12.1</v>
      </c>
      <c r="K18" s="30">
        <f t="shared" si="2"/>
        <v>0</v>
      </c>
      <c r="L18" s="30">
        <f t="shared" si="3"/>
        <v>6.05</v>
      </c>
      <c r="M18" s="30">
        <f t="shared" si="2"/>
        <v>0</v>
      </c>
      <c r="N18" t="s">
        <v>109</v>
      </c>
      <c r="O18" s="5">
        <v>39.6</v>
      </c>
      <c r="P18" s="30">
        <f t="shared" si="4"/>
        <v>0</v>
      </c>
      <c r="Q18" s="30">
        <f t="shared" si="5"/>
        <v>19.8</v>
      </c>
      <c r="R18" s="30">
        <f t="shared" si="4"/>
        <v>0</v>
      </c>
      <c r="S18" t="s">
        <v>109</v>
      </c>
      <c r="T18" s="5">
        <v>23</v>
      </c>
      <c r="U18" s="30">
        <f t="shared" si="6"/>
        <v>0</v>
      </c>
      <c r="V18" s="30">
        <f t="shared" si="7"/>
        <v>11.5</v>
      </c>
      <c r="W18" s="30">
        <f t="shared" si="6"/>
        <v>0</v>
      </c>
    </row>
    <row r="19" spans="1:23" ht="12.75">
      <c r="A19" s="27"/>
      <c r="B19" s="27" t="s">
        <v>33</v>
      </c>
      <c r="C19" s="29">
        <v>0.01</v>
      </c>
      <c r="D19" t="s">
        <v>109</v>
      </c>
      <c r="E19" s="5">
        <v>18.6</v>
      </c>
      <c r="F19" s="30">
        <f t="shared" si="0"/>
        <v>0.18600000000000003</v>
      </c>
      <c r="G19" s="30">
        <f t="shared" si="1"/>
        <v>9.3</v>
      </c>
      <c r="H19" s="30">
        <f t="shared" si="0"/>
        <v>0.09300000000000001</v>
      </c>
      <c r="I19" t="s">
        <v>109</v>
      </c>
      <c r="J19" s="5">
        <v>12.5</v>
      </c>
      <c r="K19" s="30">
        <f t="shared" si="2"/>
        <v>0.125</v>
      </c>
      <c r="L19" s="30">
        <f t="shared" si="3"/>
        <v>6.25</v>
      </c>
      <c r="M19" s="30">
        <f t="shared" si="2"/>
        <v>0.0625</v>
      </c>
      <c r="N19" t="s">
        <v>109</v>
      </c>
      <c r="O19" s="5">
        <v>32.7</v>
      </c>
      <c r="P19" s="30">
        <f t="shared" si="4"/>
        <v>0.327</v>
      </c>
      <c r="Q19" s="30">
        <f t="shared" si="5"/>
        <v>16.35</v>
      </c>
      <c r="R19" s="30">
        <f t="shared" si="4"/>
        <v>0.1635</v>
      </c>
      <c r="S19" t="s">
        <v>109</v>
      </c>
      <c r="T19" s="5">
        <v>15</v>
      </c>
      <c r="U19" s="30">
        <f t="shared" si="6"/>
        <v>0.15</v>
      </c>
      <c r="V19" s="30">
        <f t="shared" si="7"/>
        <v>7.5</v>
      </c>
      <c r="W19" s="30">
        <f t="shared" si="6"/>
        <v>0.075</v>
      </c>
    </row>
    <row r="20" spans="1:23" ht="12.75">
      <c r="A20" s="27"/>
      <c r="B20" s="27" t="s">
        <v>102</v>
      </c>
      <c r="C20" s="29">
        <v>0</v>
      </c>
      <c r="D20" t="s">
        <v>109</v>
      </c>
      <c r="E20" s="5">
        <v>18.6</v>
      </c>
      <c r="F20" s="30">
        <f t="shared" si="0"/>
        <v>0</v>
      </c>
      <c r="G20" s="30">
        <f t="shared" si="1"/>
        <v>9.3</v>
      </c>
      <c r="H20" s="30">
        <f t="shared" si="0"/>
        <v>0</v>
      </c>
      <c r="I20" t="s">
        <v>109</v>
      </c>
      <c r="J20" s="5">
        <v>12.5</v>
      </c>
      <c r="K20" s="30">
        <f t="shared" si="2"/>
        <v>0</v>
      </c>
      <c r="L20" s="30">
        <f t="shared" si="3"/>
        <v>6.25</v>
      </c>
      <c r="M20" s="30">
        <f t="shared" si="2"/>
        <v>0</v>
      </c>
      <c r="N20" t="s">
        <v>109</v>
      </c>
      <c r="O20" s="5">
        <v>32.7</v>
      </c>
      <c r="P20" s="30">
        <f t="shared" si="4"/>
        <v>0</v>
      </c>
      <c r="Q20" s="30">
        <f t="shared" si="5"/>
        <v>16.35</v>
      </c>
      <c r="R20" s="30">
        <f t="shared" si="4"/>
        <v>0</v>
      </c>
      <c r="S20" t="s">
        <v>109</v>
      </c>
      <c r="T20" s="5">
        <v>15</v>
      </c>
      <c r="U20" s="30">
        <f t="shared" si="6"/>
        <v>0</v>
      </c>
      <c r="V20" s="30">
        <f t="shared" si="7"/>
        <v>7.5</v>
      </c>
      <c r="W20" s="30">
        <f t="shared" si="6"/>
        <v>0</v>
      </c>
    </row>
    <row r="21" spans="1:23" ht="12.75">
      <c r="A21" s="27"/>
      <c r="B21" s="27" t="s">
        <v>34</v>
      </c>
      <c r="C21" s="29">
        <v>0.001</v>
      </c>
      <c r="D21" t="s">
        <v>109</v>
      </c>
      <c r="E21" s="5">
        <v>61</v>
      </c>
      <c r="F21" s="30">
        <f t="shared" si="0"/>
        <v>0.061</v>
      </c>
      <c r="G21" s="30">
        <f t="shared" si="1"/>
        <v>30.5</v>
      </c>
      <c r="H21" s="30">
        <f t="shared" si="0"/>
        <v>0.0305</v>
      </c>
      <c r="I21" t="s">
        <v>109</v>
      </c>
      <c r="J21" s="5">
        <v>40</v>
      </c>
      <c r="K21" s="30">
        <f t="shared" si="2"/>
        <v>0.04</v>
      </c>
      <c r="L21" s="30">
        <f t="shared" si="3"/>
        <v>20</v>
      </c>
      <c r="M21" s="30">
        <f t="shared" si="2"/>
        <v>0.02</v>
      </c>
      <c r="N21" t="s">
        <v>109</v>
      </c>
      <c r="O21" s="5">
        <v>72</v>
      </c>
      <c r="P21" s="30">
        <f t="shared" si="4"/>
        <v>0.07200000000000001</v>
      </c>
      <c r="Q21" s="30">
        <f t="shared" si="5"/>
        <v>36</v>
      </c>
      <c r="R21" s="30">
        <f t="shared" si="4"/>
        <v>0.036000000000000004</v>
      </c>
      <c r="S21" t="s">
        <v>109</v>
      </c>
      <c r="T21" s="5">
        <v>53</v>
      </c>
      <c r="U21" s="30">
        <f t="shared" si="6"/>
        <v>0.053</v>
      </c>
      <c r="V21" s="30">
        <f t="shared" si="7"/>
        <v>26.5</v>
      </c>
      <c r="W21" s="30">
        <f t="shared" si="6"/>
        <v>0.0265</v>
      </c>
    </row>
    <row r="22" spans="1:23" ht="12.75">
      <c r="A22" s="27"/>
      <c r="B22" s="27" t="s">
        <v>35</v>
      </c>
      <c r="C22" s="29">
        <v>0.1</v>
      </c>
      <c r="D22" t="s">
        <v>109</v>
      </c>
      <c r="E22" s="5">
        <v>14.1</v>
      </c>
      <c r="F22" s="30">
        <f t="shared" si="0"/>
        <v>1.4100000000000001</v>
      </c>
      <c r="G22" s="30">
        <f t="shared" si="1"/>
        <v>7.05</v>
      </c>
      <c r="H22" s="30">
        <f t="shared" si="0"/>
        <v>0.7050000000000001</v>
      </c>
      <c r="I22" t="s">
        <v>109</v>
      </c>
      <c r="J22" s="5">
        <v>7.2</v>
      </c>
      <c r="K22" s="30">
        <f t="shared" si="2"/>
        <v>0.7200000000000001</v>
      </c>
      <c r="L22" s="30">
        <f t="shared" si="3"/>
        <v>3.6</v>
      </c>
      <c r="M22" s="30">
        <f t="shared" si="2"/>
        <v>0.36000000000000004</v>
      </c>
      <c r="N22" t="s">
        <v>109</v>
      </c>
      <c r="O22" s="5">
        <v>7.8</v>
      </c>
      <c r="P22" s="30">
        <f t="shared" si="4"/>
        <v>0.78</v>
      </c>
      <c r="Q22" s="30">
        <f t="shared" si="5"/>
        <v>3.9</v>
      </c>
      <c r="R22" s="30">
        <f t="shared" si="4"/>
        <v>0.39</v>
      </c>
      <c r="S22" t="s">
        <v>109</v>
      </c>
      <c r="T22" s="5">
        <v>17.5</v>
      </c>
      <c r="U22" s="30">
        <f t="shared" si="6"/>
        <v>1.75</v>
      </c>
      <c r="V22" s="30">
        <f t="shared" si="7"/>
        <v>8.75</v>
      </c>
      <c r="W22" s="30">
        <f t="shared" si="6"/>
        <v>0.875</v>
      </c>
    </row>
    <row r="23" spans="1:23" ht="12.75">
      <c r="A23" s="27"/>
      <c r="B23" s="27" t="s">
        <v>103</v>
      </c>
      <c r="C23" s="29">
        <v>0</v>
      </c>
      <c r="D23" t="s">
        <v>109</v>
      </c>
      <c r="E23" s="5">
        <v>427.1</v>
      </c>
      <c r="F23" s="30">
        <f t="shared" si="0"/>
        <v>0</v>
      </c>
      <c r="G23" s="30">
        <f t="shared" si="1"/>
        <v>213.55</v>
      </c>
      <c r="H23" s="30">
        <f t="shared" si="0"/>
        <v>0</v>
      </c>
      <c r="I23" t="s">
        <v>109</v>
      </c>
      <c r="J23" s="5">
        <v>334.8</v>
      </c>
      <c r="K23" s="30">
        <f t="shared" si="2"/>
        <v>0</v>
      </c>
      <c r="L23" s="30">
        <f t="shared" si="3"/>
        <v>167.4</v>
      </c>
      <c r="M23" s="30">
        <f t="shared" si="2"/>
        <v>0</v>
      </c>
      <c r="N23" t="s">
        <v>109</v>
      </c>
      <c r="O23" s="5">
        <v>1010</v>
      </c>
      <c r="P23" s="30">
        <f t="shared" si="4"/>
        <v>0</v>
      </c>
      <c r="Q23" s="30">
        <f t="shared" si="5"/>
        <v>505</v>
      </c>
      <c r="R23" s="30">
        <f t="shared" si="4"/>
        <v>0</v>
      </c>
      <c r="S23" t="s">
        <v>109</v>
      </c>
      <c r="T23" s="5">
        <v>479</v>
      </c>
      <c r="U23" s="30">
        <f t="shared" si="6"/>
        <v>0</v>
      </c>
      <c r="V23" s="30">
        <f t="shared" si="7"/>
        <v>239.5</v>
      </c>
      <c r="W23" s="30">
        <f t="shared" si="6"/>
        <v>0</v>
      </c>
    </row>
    <row r="24" spans="1:23" ht="12.75">
      <c r="A24" s="27"/>
      <c r="B24" s="27" t="s">
        <v>36</v>
      </c>
      <c r="C24" s="29">
        <v>0.05</v>
      </c>
      <c r="D24" t="s">
        <v>109</v>
      </c>
      <c r="E24" s="5">
        <v>11</v>
      </c>
      <c r="F24" s="30">
        <f t="shared" si="0"/>
        <v>0.55</v>
      </c>
      <c r="G24" s="30">
        <f t="shared" si="1"/>
        <v>5.5</v>
      </c>
      <c r="H24" s="30">
        <f t="shared" si="0"/>
        <v>0.275</v>
      </c>
      <c r="I24" t="s">
        <v>109</v>
      </c>
      <c r="J24" s="5">
        <v>9</v>
      </c>
      <c r="K24" s="30">
        <f t="shared" si="2"/>
        <v>0.45</v>
      </c>
      <c r="L24" s="30">
        <f t="shared" si="3"/>
        <v>4.5</v>
      </c>
      <c r="M24" s="30">
        <f t="shared" si="2"/>
        <v>0.225</v>
      </c>
      <c r="N24" t="s">
        <v>109</v>
      </c>
      <c r="O24" s="5">
        <v>25.6</v>
      </c>
      <c r="P24" s="30">
        <f t="shared" si="4"/>
        <v>1.2800000000000002</v>
      </c>
      <c r="Q24" s="30">
        <f t="shared" si="5"/>
        <v>12.8</v>
      </c>
      <c r="R24" s="30">
        <f t="shared" si="4"/>
        <v>0.6400000000000001</v>
      </c>
      <c r="S24" t="s">
        <v>109</v>
      </c>
      <c r="T24" s="5">
        <v>32</v>
      </c>
      <c r="U24" s="30">
        <f t="shared" si="6"/>
        <v>1.6</v>
      </c>
      <c r="V24" s="30">
        <f t="shared" si="7"/>
        <v>16</v>
      </c>
      <c r="W24" s="30">
        <f t="shared" si="6"/>
        <v>0.8</v>
      </c>
    </row>
    <row r="25" spans="1:23" ht="12.75">
      <c r="A25" s="27"/>
      <c r="B25" s="27" t="s">
        <v>37</v>
      </c>
      <c r="C25" s="29">
        <v>0.5</v>
      </c>
      <c r="D25" t="s">
        <v>109</v>
      </c>
      <c r="E25" s="5">
        <v>11.5</v>
      </c>
      <c r="F25" s="30">
        <f t="shared" si="0"/>
        <v>5.75</v>
      </c>
      <c r="G25" s="30">
        <f t="shared" si="1"/>
        <v>5.75</v>
      </c>
      <c r="H25" s="30">
        <f t="shared" si="0"/>
        <v>2.875</v>
      </c>
      <c r="I25" t="s">
        <v>109</v>
      </c>
      <c r="J25" s="5">
        <v>9.4</v>
      </c>
      <c r="K25" s="30">
        <f t="shared" si="2"/>
        <v>4.7</v>
      </c>
      <c r="L25" s="30">
        <f t="shared" si="3"/>
        <v>4.7</v>
      </c>
      <c r="M25" s="30">
        <f t="shared" si="2"/>
        <v>2.35</v>
      </c>
      <c r="N25" t="s">
        <v>109</v>
      </c>
      <c r="O25" s="5">
        <v>26.8</v>
      </c>
      <c r="P25" s="30">
        <f t="shared" si="4"/>
        <v>13.4</v>
      </c>
      <c r="Q25" s="30">
        <f t="shared" si="5"/>
        <v>13.4</v>
      </c>
      <c r="R25" s="30">
        <f t="shared" si="4"/>
        <v>6.7</v>
      </c>
      <c r="S25" t="s">
        <v>109</v>
      </c>
      <c r="T25" s="5">
        <v>32</v>
      </c>
      <c r="U25" s="30">
        <f t="shared" si="6"/>
        <v>16</v>
      </c>
      <c r="V25" s="30">
        <f t="shared" si="7"/>
        <v>16</v>
      </c>
      <c r="W25" s="30">
        <f t="shared" si="6"/>
        <v>8</v>
      </c>
    </row>
    <row r="26" spans="1:23" ht="12.75">
      <c r="A26" s="27"/>
      <c r="B26" s="27" t="s">
        <v>104</v>
      </c>
      <c r="C26" s="29">
        <v>0</v>
      </c>
      <c r="D26" t="s">
        <v>109</v>
      </c>
      <c r="E26" s="5">
        <v>33.8</v>
      </c>
      <c r="F26" s="30">
        <f t="shared" si="0"/>
        <v>0</v>
      </c>
      <c r="G26" s="30">
        <f t="shared" si="1"/>
        <v>16.9</v>
      </c>
      <c r="H26" s="30">
        <f t="shared" si="0"/>
        <v>0</v>
      </c>
      <c r="I26" t="s">
        <v>109</v>
      </c>
      <c r="J26" s="5">
        <v>21.1</v>
      </c>
      <c r="K26" s="30">
        <f t="shared" si="2"/>
        <v>0</v>
      </c>
      <c r="L26" s="30">
        <f t="shared" si="3"/>
        <v>10.55</v>
      </c>
      <c r="M26" s="30">
        <f t="shared" si="2"/>
        <v>0</v>
      </c>
      <c r="N26" t="s">
        <v>109</v>
      </c>
      <c r="O26" s="5">
        <v>277</v>
      </c>
      <c r="P26" s="30">
        <f t="shared" si="4"/>
        <v>0</v>
      </c>
      <c r="Q26" s="30">
        <f t="shared" si="5"/>
        <v>138.5</v>
      </c>
      <c r="R26" s="30">
        <f t="shared" si="4"/>
        <v>0</v>
      </c>
      <c r="S26" t="s">
        <v>109</v>
      </c>
      <c r="T26" s="5">
        <v>54</v>
      </c>
      <c r="U26" s="30">
        <f t="shared" si="6"/>
        <v>0</v>
      </c>
      <c r="V26" s="30">
        <f t="shared" si="7"/>
        <v>27</v>
      </c>
      <c r="W26" s="30">
        <f t="shared" si="6"/>
        <v>0</v>
      </c>
    </row>
    <row r="27" spans="1:23" ht="12.75">
      <c r="A27" s="27"/>
      <c r="B27" s="27" t="s">
        <v>38</v>
      </c>
      <c r="C27" s="29">
        <v>0.1</v>
      </c>
      <c r="D27" t="s">
        <v>109</v>
      </c>
      <c r="E27" s="5">
        <v>15.6</v>
      </c>
      <c r="F27" s="30">
        <f t="shared" si="0"/>
        <v>1.56</v>
      </c>
      <c r="G27" s="30">
        <f t="shared" si="1"/>
        <v>7.8</v>
      </c>
      <c r="H27" s="30">
        <f t="shared" si="0"/>
        <v>0.78</v>
      </c>
      <c r="I27" t="s">
        <v>109</v>
      </c>
      <c r="J27" s="5">
        <v>6.2</v>
      </c>
      <c r="K27" s="30">
        <f t="shared" si="2"/>
        <v>0.6200000000000001</v>
      </c>
      <c r="L27" s="30">
        <f t="shared" si="3"/>
        <v>3.1</v>
      </c>
      <c r="M27" s="30">
        <f t="shared" si="2"/>
        <v>0.31000000000000005</v>
      </c>
      <c r="N27" t="s">
        <v>109</v>
      </c>
      <c r="O27" s="5">
        <v>35.9</v>
      </c>
      <c r="P27" s="30">
        <f t="shared" si="4"/>
        <v>3.59</v>
      </c>
      <c r="Q27" s="30">
        <f t="shared" si="5"/>
        <v>17.95</v>
      </c>
      <c r="R27" s="30">
        <f t="shared" si="4"/>
        <v>1.795</v>
      </c>
      <c r="S27" t="s">
        <v>109</v>
      </c>
      <c r="T27" s="5">
        <v>12.1</v>
      </c>
      <c r="U27" s="30">
        <f t="shared" si="6"/>
        <v>1.21</v>
      </c>
      <c r="V27" s="30">
        <f t="shared" si="7"/>
        <v>6.05</v>
      </c>
      <c r="W27" s="30">
        <f t="shared" si="6"/>
        <v>0.605</v>
      </c>
    </row>
    <row r="28" spans="1:23" ht="12.75">
      <c r="A28" s="27"/>
      <c r="B28" s="27" t="s">
        <v>39</v>
      </c>
      <c r="C28" s="29">
        <v>0.1</v>
      </c>
      <c r="D28" t="s">
        <v>109</v>
      </c>
      <c r="E28" s="5">
        <v>7.2</v>
      </c>
      <c r="F28" s="30">
        <f t="shared" si="0"/>
        <v>0.7200000000000001</v>
      </c>
      <c r="G28" s="30">
        <f t="shared" si="1"/>
        <v>3.6</v>
      </c>
      <c r="H28" s="30">
        <f t="shared" si="0"/>
        <v>0.36000000000000004</v>
      </c>
      <c r="I28" t="s">
        <v>109</v>
      </c>
      <c r="J28" s="5">
        <v>3.9</v>
      </c>
      <c r="K28" s="30">
        <f t="shared" si="2"/>
        <v>0.39</v>
      </c>
      <c r="L28" s="30">
        <f t="shared" si="3"/>
        <v>1.95</v>
      </c>
      <c r="M28" s="30">
        <f t="shared" si="2"/>
        <v>0.195</v>
      </c>
      <c r="N28" t="s">
        <v>109</v>
      </c>
      <c r="O28" s="5">
        <v>25.3</v>
      </c>
      <c r="P28" s="30">
        <f t="shared" si="4"/>
        <v>2.5300000000000002</v>
      </c>
      <c r="Q28" s="30">
        <f t="shared" si="5"/>
        <v>12.65</v>
      </c>
      <c r="R28" s="30">
        <f t="shared" si="4"/>
        <v>1.2650000000000001</v>
      </c>
      <c r="S28" t="s">
        <v>109</v>
      </c>
      <c r="T28" s="5">
        <v>7.8</v>
      </c>
      <c r="U28" s="30">
        <f t="shared" si="6"/>
        <v>0.78</v>
      </c>
      <c r="V28" s="30">
        <f t="shared" si="7"/>
        <v>3.9</v>
      </c>
      <c r="W28" s="30">
        <f t="shared" si="6"/>
        <v>0.39</v>
      </c>
    </row>
    <row r="29" spans="1:23" ht="12.75">
      <c r="A29" s="27"/>
      <c r="B29" s="27" t="s">
        <v>40</v>
      </c>
      <c r="C29" s="29">
        <v>0.1</v>
      </c>
      <c r="D29" t="s">
        <v>109</v>
      </c>
      <c r="E29" s="5">
        <v>6.7</v>
      </c>
      <c r="F29" s="30">
        <f t="shared" si="0"/>
        <v>0.67</v>
      </c>
      <c r="G29" s="30">
        <f t="shared" si="1"/>
        <v>3.35</v>
      </c>
      <c r="H29" s="30">
        <f t="shared" si="0"/>
        <v>0.335</v>
      </c>
      <c r="I29" t="s">
        <v>109</v>
      </c>
      <c r="J29" s="5">
        <v>3.8</v>
      </c>
      <c r="K29" s="30">
        <f t="shared" si="2"/>
        <v>0.38</v>
      </c>
      <c r="L29" s="30">
        <f t="shared" si="3"/>
        <v>1.9</v>
      </c>
      <c r="M29" s="30">
        <f t="shared" si="2"/>
        <v>0.19</v>
      </c>
      <c r="N29" t="s">
        <v>109</v>
      </c>
      <c r="O29" s="5">
        <v>6.5</v>
      </c>
      <c r="P29" s="30">
        <f t="shared" si="4"/>
        <v>0.65</v>
      </c>
      <c r="Q29" s="30">
        <f t="shared" si="5"/>
        <v>3.25</v>
      </c>
      <c r="R29" s="30">
        <f t="shared" si="4"/>
        <v>0.325</v>
      </c>
      <c r="S29" t="s">
        <v>109</v>
      </c>
      <c r="T29" s="5">
        <v>9.4</v>
      </c>
      <c r="U29" s="30">
        <f t="shared" si="6"/>
        <v>0.9400000000000001</v>
      </c>
      <c r="V29" s="30">
        <f t="shared" si="7"/>
        <v>4.7</v>
      </c>
      <c r="W29" s="30">
        <f t="shared" si="6"/>
        <v>0.47000000000000003</v>
      </c>
    </row>
    <row r="30" spans="1:23" ht="12.75">
      <c r="A30" s="27"/>
      <c r="B30" s="27" t="s">
        <v>41</v>
      </c>
      <c r="C30" s="29">
        <v>0.1</v>
      </c>
      <c r="D30" t="s">
        <v>109</v>
      </c>
      <c r="E30" s="5">
        <v>6.3</v>
      </c>
      <c r="F30" s="30">
        <f t="shared" si="0"/>
        <v>0.63</v>
      </c>
      <c r="G30" s="30">
        <f t="shared" si="1"/>
        <v>3.15</v>
      </c>
      <c r="H30" s="30">
        <f t="shared" si="0"/>
        <v>0.315</v>
      </c>
      <c r="I30" t="s">
        <v>109</v>
      </c>
      <c r="J30" s="5">
        <v>3.3</v>
      </c>
      <c r="K30" s="30">
        <f t="shared" si="2"/>
        <v>0.33</v>
      </c>
      <c r="L30" s="30">
        <f t="shared" si="3"/>
        <v>1.65</v>
      </c>
      <c r="M30" s="30">
        <f t="shared" si="2"/>
        <v>0.165</v>
      </c>
      <c r="N30" t="s">
        <v>109</v>
      </c>
      <c r="O30" s="5">
        <v>8.5</v>
      </c>
      <c r="P30" s="30">
        <f t="shared" si="4"/>
        <v>0.8500000000000001</v>
      </c>
      <c r="Q30" s="30">
        <f t="shared" si="5"/>
        <v>4.25</v>
      </c>
      <c r="R30" s="30">
        <f t="shared" si="4"/>
        <v>0.42500000000000004</v>
      </c>
      <c r="S30" t="s">
        <v>109</v>
      </c>
      <c r="T30" s="5">
        <v>11</v>
      </c>
      <c r="U30" s="30">
        <f t="shared" si="6"/>
        <v>1.1</v>
      </c>
      <c r="V30" s="30">
        <f t="shared" si="7"/>
        <v>5.5</v>
      </c>
      <c r="W30" s="30">
        <f t="shared" si="6"/>
        <v>0.55</v>
      </c>
    </row>
    <row r="31" spans="1:23" ht="12.75">
      <c r="A31" s="27"/>
      <c r="B31" s="27" t="s">
        <v>105</v>
      </c>
      <c r="C31" s="29">
        <v>0</v>
      </c>
      <c r="D31" t="s">
        <v>109</v>
      </c>
      <c r="E31" s="5">
        <v>16</v>
      </c>
      <c r="F31" s="30">
        <f t="shared" si="0"/>
        <v>0</v>
      </c>
      <c r="G31" s="30">
        <f t="shared" si="1"/>
        <v>8</v>
      </c>
      <c r="H31" s="30">
        <f t="shared" si="0"/>
        <v>0</v>
      </c>
      <c r="I31" t="s">
        <v>109</v>
      </c>
      <c r="J31" s="5">
        <v>6.4</v>
      </c>
      <c r="K31" s="30">
        <f t="shared" si="2"/>
        <v>0</v>
      </c>
      <c r="L31" s="30">
        <f t="shared" si="3"/>
        <v>3.2</v>
      </c>
      <c r="M31" s="30">
        <f t="shared" si="2"/>
        <v>0</v>
      </c>
      <c r="N31" t="s">
        <v>109</v>
      </c>
      <c r="O31" s="5">
        <v>40.9</v>
      </c>
      <c r="P31" s="30">
        <f t="shared" si="4"/>
        <v>0</v>
      </c>
      <c r="Q31" s="30">
        <f t="shared" si="5"/>
        <v>20.45</v>
      </c>
      <c r="R31" s="30">
        <f t="shared" si="4"/>
        <v>0</v>
      </c>
      <c r="S31" t="s">
        <v>109</v>
      </c>
      <c r="T31" s="5">
        <v>12.5</v>
      </c>
      <c r="U31" s="30">
        <f t="shared" si="6"/>
        <v>0</v>
      </c>
      <c r="V31" s="30">
        <f t="shared" si="7"/>
        <v>6.25</v>
      </c>
      <c r="W31" s="30">
        <f t="shared" si="6"/>
        <v>0</v>
      </c>
    </row>
    <row r="32" spans="1:23" ht="12.75">
      <c r="A32" s="27"/>
      <c r="B32" s="27" t="s">
        <v>42</v>
      </c>
      <c r="C32" s="29">
        <v>0.01</v>
      </c>
      <c r="D32" t="s">
        <v>109</v>
      </c>
      <c r="E32" s="5">
        <v>19.9</v>
      </c>
      <c r="F32" s="30">
        <f t="shared" si="0"/>
        <v>0.19899999999999998</v>
      </c>
      <c r="G32" s="30">
        <f t="shared" si="1"/>
        <v>9.95</v>
      </c>
      <c r="H32" s="30">
        <f t="shared" si="0"/>
        <v>0.09949999999999999</v>
      </c>
      <c r="I32" t="s">
        <v>109</v>
      </c>
      <c r="J32" s="5">
        <v>7.4</v>
      </c>
      <c r="K32" s="30">
        <f t="shared" si="2"/>
        <v>0.07400000000000001</v>
      </c>
      <c r="L32" s="30">
        <f t="shared" si="3"/>
        <v>3.7</v>
      </c>
      <c r="M32" s="30">
        <f t="shared" si="2"/>
        <v>0.037000000000000005</v>
      </c>
      <c r="N32" t="s">
        <v>109</v>
      </c>
      <c r="O32" s="5">
        <v>23.8</v>
      </c>
      <c r="P32" s="30">
        <f t="shared" si="4"/>
        <v>0.23800000000000002</v>
      </c>
      <c r="Q32" s="30">
        <f t="shared" si="5"/>
        <v>11.9</v>
      </c>
      <c r="R32" s="30">
        <f t="shared" si="4"/>
        <v>0.11900000000000001</v>
      </c>
      <c r="S32" t="s">
        <v>109</v>
      </c>
      <c r="T32" s="5">
        <v>21.5</v>
      </c>
      <c r="U32" s="30">
        <f t="shared" si="6"/>
        <v>0.215</v>
      </c>
      <c r="V32" s="30">
        <f t="shared" si="7"/>
        <v>10.75</v>
      </c>
      <c r="W32" s="30">
        <f t="shared" si="6"/>
        <v>0.1075</v>
      </c>
    </row>
    <row r="33" spans="1:23" ht="12.75">
      <c r="A33" s="27"/>
      <c r="B33" s="27" t="s">
        <v>43</v>
      </c>
      <c r="C33" s="29">
        <v>0.01</v>
      </c>
      <c r="D33" t="s">
        <v>109</v>
      </c>
      <c r="E33" s="5">
        <v>15.2</v>
      </c>
      <c r="F33" s="30">
        <f t="shared" si="0"/>
        <v>0.152</v>
      </c>
      <c r="G33" s="30">
        <f t="shared" si="1"/>
        <v>7.6</v>
      </c>
      <c r="H33" s="30">
        <f t="shared" si="0"/>
        <v>0.076</v>
      </c>
      <c r="I33" t="s">
        <v>109</v>
      </c>
      <c r="J33" s="5">
        <v>4.5</v>
      </c>
      <c r="K33" s="30">
        <f t="shared" si="2"/>
        <v>0.045</v>
      </c>
      <c r="L33" s="30">
        <f t="shared" si="3"/>
        <v>2.25</v>
      </c>
      <c r="M33" s="30">
        <f t="shared" si="2"/>
        <v>0.0225</v>
      </c>
      <c r="N33" t="s">
        <v>109</v>
      </c>
      <c r="O33" s="5">
        <v>16.5</v>
      </c>
      <c r="P33" s="30">
        <f t="shared" si="4"/>
        <v>0.165</v>
      </c>
      <c r="Q33" s="30">
        <f t="shared" si="5"/>
        <v>8.25</v>
      </c>
      <c r="R33" s="30">
        <f t="shared" si="4"/>
        <v>0.0825</v>
      </c>
      <c r="S33" t="s">
        <v>109</v>
      </c>
      <c r="T33" s="5">
        <v>16</v>
      </c>
      <c r="U33" s="30">
        <f t="shared" si="6"/>
        <v>0.16</v>
      </c>
      <c r="V33" s="30">
        <f t="shared" si="7"/>
        <v>8</v>
      </c>
      <c r="W33" s="30">
        <f t="shared" si="6"/>
        <v>0.08</v>
      </c>
    </row>
    <row r="34" spans="1:23" ht="12.75">
      <c r="A34" s="27"/>
      <c r="B34" s="27" t="s">
        <v>106</v>
      </c>
      <c r="C34" s="29">
        <v>0</v>
      </c>
      <c r="D34" t="s">
        <v>109</v>
      </c>
      <c r="E34" s="5">
        <v>21.2</v>
      </c>
      <c r="F34" s="30">
        <f t="shared" si="0"/>
        <v>0</v>
      </c>
      <c r="G34" s="30">
        <f t="shared" si="1"/>
        <v>10.6</v>
      </c>
      <c r="H34" s="30">
        <f t="shared" si="0"/>
        <v>0</v>
      </c>
      <c r="I34" t="s">
        <v>109</v>
      </c>
      <c r="J34" s="5">
        <v>8.2</v>
      </c>
      <c r="K34" s="30">
        <f t="shared" si="2"/>
        <v>0</v>
      </c>
      <c r="L34" s="30">
        <f t="shared" si="3"/>
        <v>4.1</v>
      </c>
      <c r="M34" s="30">
        <f t="shared" si="2"/>
        <v>0</v>
      </c>
      <c r="N34" t="s">
        <v>109</v>
      </c>
      <c r="O34" s="5">
        <v>27.8</v>
      </c>
      <c r="P34" s="30">
        <f t="shared" si="4"/>
        <v>0</v>
      </c>
      <c r="Q34" s="30">
        <f t="shared" si="5"/>
        <v>13.9</v>
      </c>
      <c r="R34" s="30">
        <f t="shared" si="4"/>
        <v>0</v>
      </c>
      <c r="S34" t="s">
        <v>109</v>
      </c>
      <c r="T34" s="5">
        <v>21.5</v>
      </c>
      <c r="U34" s="30">
        <f t="shared" si="6"/>
        <v>0</v>
      </c>
      <c r="V34" s="30">
        <f t="shared" si="7"/>
        <v>10.75</v>
      </c>
      <c r="W34" s="30">
        <f t="shared" si="6"/>
        <v>0</v>
      </c>
    </row>
    <row r="35" spans="1:23" ht="12.75">
      <c r="A35" s="27"/>
      <c r="B35" s="27" t="s">
        <v>44</v>
      </c>
      <c r="C35" s="29">
        <v>0.001</v>
      </c>
      <c r="D35" t="s">
        <v>109</v>
      </c>
      <c r="E35" s="5">
        <v>124</v>
      </c>
      <c r="F35" s="30">
        <f t="shared" si="0"/>
        <v>0.124</v>
      </c>
      <c r="G35" s="30">
        <f t="shared" si="1"/>
        <v>62</v>
      </c>
      <c r="H35" s="30">
        <f t="shared" si="0"/>
        <v>0.062</v>
      </c>
      <c r="I35" t="s">
        <v>109</v>
      </c>
      <c r="J35" s="5">
        <v>29</v>
      </c>
      <c r="K35" s="30">
        <f t="shared" si="2"/>
        <v>0.029</v>
      </c>
      <c r="L35" s="30">
        <f t="shared" si="3"/>
        <v>14.5</v>
      </c>
      <c r="M35" s="30">
        <f t="shared" si="2"/>
        <v>0.0145</v>
      </c>
      <c r="N35" t="s">
        <v>109</v>
      </c>
      <c r="O35" s="5">
        <v>74</v>
      </c>
      <c r="P35" s="30">
        <f t="shared" si="4"/>
        <v>0.074</v>
      </c>
      <c r="Q35" s="30">
        <f t="shared" si="5"/>
        <v>37</v>
      </c>
      <c r="R35" s="30">
        <f t="shared" si="4"/>
        <v>0.037</v>
      </c>
      <c r="S35" t="s">
        <v>109</v>
      </c>
      <c r="T35" s="5">
        <v>27</v>
      </c>
      <c r="U35" s="30">
        <f t="shared" si="6"/>
        <v>0.027</v>
      </c>
      <c r="V35" s="30">
        <f t="shared" si="7"/>
        <v>13.5</v>
      </c>
      <c r="W35" s="30">
        <f t="shared" si="6"/>
        <v>0.0135</v>
      </c>
    </row>
    <row r="36" spans="1:23" ht="12.75">
      <c r="A36" s="27"/>
      <c r="B36" s="27"/>
      <c r="C36" s="27"/>
      <c r="D36" s="27"/>
      <c r="E36" s="33"/>
      <c r="F36" s="36"/>
      <c r="G36" s="33"/>
      <c r="H36" s="36"/>
      <c r="I36" s="53"/>
      <c r="J36" s="13"/>
      <c r="K36" s="30"/>
      <c r="L36" s="30"/>
      <c r="M36" s="30"/>
      <c r="N36" s="33"/>
      <c r="O36" s="13"/>
      <c r="P36" s="35"/>
      <c r="Q36" s="33"/>
      <c r="R36" s="35"/>
      <c r="S36" s="33"/>
      <c r="T36" s="13"/>
      <c r="U36" s="35"/>
      <c r="V36" s="33"/>
      <c r="W36" s="35"/>
    </row>
    <row r="37" spans="1:23" ht="12.75">
      <c r="A37" s="27"/>
      <c r="B37" s="27" t="s">
        <v>45</v>
      </c>
      <c r="C37" s="27"/>
      <c r="D37" s="27"/>
      <c r="E37" s="33"/>
      <c r="F37" s="33">
        <v>167.029</v>
      </c>
      <c r="G37" s="33">
        <v>167.029</v>
      </c>
      <c r="H37" s="33">
        <v>167.029</v>
      </c>
      <c r="I37" s="53"/>
      <c r="J37" s="33"/>
      <c r="K37" s="33">
        <v>162.092</v>
      </c>
      <c r="L37" s="33">
        <v>162.092</v>
      </c>
      <c r="M37" s="33">
        <v>162.092</v>
      </c>
      <c r="N37" s="33"/>
      <c r="O37" s="33"/>
      <c r="P37" s="33">
        <v>168.324</v>
      </c>
      <c r="Q37" s="33">
        <v>168.324</v>
      </c>
      <c r="R37" s="33">
        <v>168.324</v>
      </c>
      <c r="S37" s="33"/>
      <c r="T37" s="33"/>
      <c r="U37" s="33">
        <v>154.903</v>
      </c>
      <c r="V37" s="33">
        <v>154.903</v>
      </c>
      <c r="W37" s="33">
        <v>154.903</v>
      </c>
    </row>
    <row r="38" spans="1:23" ht="12.75">
      <c r="A38" s="27"/>
      <c r="B38" s="27" t="s">
        <v>62</v>
      </c>
      <c r="C38" s="27"/>
      <c r="D38" s="27"/>
      <c r="E38" s="33"/>
      <c r="F38" s="33">
        <v>10.9</v>
      </c>
      <c r="G38" s="33">
        <v>10.9</v>
      </c>
      <c r="H38" s="33">
        <v>10.9</v>
      </c>
      <c r="I38" s="53"/>
      <c r="J38" s="33"/>
      <c r="K38" s="30">
        <v>11.4</v>
      </c>
      <c r="L38" s="30">
        <v>11.4</v>
      </c>
      <c r="M38" s="30">
        <v>11.4</v>
      </c>
      <c r="N38" s="33"/>
      <c r="O38" s="33"/>
      <c r="P38" s="33">
        <v>10.9</v>
      </c>
      <c r="Q38" s="33">
        <v>10.9</v>
      </c>
      <c r="R38" s="33">
        <v>10.9</v>
      </c>
      <c r="S38" s="33"/>
      <c r="T38" s="33"/>
      <c r="U38" s="33">
        <v>10.7</v>
      </c>
      <c r="V38" s="33">
        <v>10.7</v>
      </c>
      <c r="W38" s="33">
        <v>10.7</v>
      </c>
    </row>
    <row r="39" spans="1:23" ht="12.75">
      <c r="A39" s="27"/>
      <c r="B39" s="27"/>
      <c r="C39" s="27"/>
      <c r="D39" s="27"/>
      <c r="E39" s="33"/>
      <c r="F39" s="13"/>
      <c r="G39" s="33"/>
      <c r="H39" s="13"/>
      <c r="I39" s="47"/>
      <c r="J39" s="33"/>
      <c r="K39" s="34"/>
      <c r="L39" s="30"/>
      <c r="M39" s="34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ht="12.75">
      <c r="A40" s="27"/>
      <c r="B40" s="27" t="s">
        <v>107</v>
      </c>
      <c r="C40" s="36"/>
      <c r="D40" s="36"/>
      <c r="E40" s="30"/>
      <c r="F40" s="32">
        <f>SUM(F11:F35)/1000</f>
        <v>0.029022000000000003</v>
      </c>
      <c r="G40" s="30">
        <f>SUM(G35,G34,G31,G26,G23,G21,G20,G18,G14,G12)/1000</f>
        <v>0.3896</v>
      </c>
      <c r="H40" s="32">
        <f>SUM(H11:H35)/1000</f>
        <v>0.014511000000000001</v>
      </c>
      <c r="I40" s="38"/>
      <c r="J40" s="30"/>
      <c r="K40" s="32">
        <f>SUM(K11:K35)/1000</f>
        <v>0.024003</v>
      </c>
      <c r="L40" s="30">
        <f>SUM(L35,L34,L31,L26,L23,L21,L20,L18,L14,L12)/1000</f>
        <v>0.26880000000000004</v>
      </c>
      <c r="M40" s="32">
        <f>SUM(M11:M35)/1000</f>
        <v>0.0120015</v>
      </c>
      <c r="N40" s="36"/>
      <c r="O40" s="33"/>
      <c r="P40" s="33">
        <f>SUM(P11:P35)/1000</f>
        <v>0.05164600000000001</v>
      </c>
      <c r="Q40" s="30">
        <f>SUM(Q35,Q34,Q31,Q26,Q23,Q21,Q20,Q18,Q14,Q12)/1000</f>
        <v>0.8335</v>
      </c>
      <c r="R40" s="33">
        <f>SUM(R11:R35)/1000</f>
        <v>0.025823000000000006</v>
      </c>
      <c r="S40" s="36"/>
      <c r="T40" s="33"/>
      <c r="U40" s="33">
        <f>SUM(U11:U35)/1000</f>
        <v>0.049525</v>
      </c>
      <c r="V40" s="30">
        <f>SUM(V35,V34,V31,V26,V23,V21,V20,V18,V14,V12)/1000</f>
        <v>0.40064999999999995</v>
      </c>
      <c r="W40" s="33">
        <f>SUM(W11:W35)/1000</f>
        <v>0.0247625</v>
      </c>
    </row>
    <row r="41" spans="1:23" ht="12.75">
      <c r="A41" s="27"/>
      <c r="B41" s="27" t="s">
        <v>46</v>
      </c>
      <c r="C41" s="36"/>
      <c r="D41" s="41">
        <f>(F41-H41)*2/F41*100</f>
        <v>100</v>
      </c>
      <c r="E41" s="33"/>
      <c r="F41" s="32">
        <f>(F40/F37/0.0283*(21-7)/(21-F38))</f>
        <v>0.008510511896568342</v>
      </c>
      <c r="G41" s="32">
        <f>(G40/G37/0.0283*(21-7)/(21-G38))</f>
        <v>0.11424765470687841</v>
      </c>
      <c r="H41" s="32">
        <f>(H40/H37/0.0283*(21-7)/(21-H38))</f>
        <v>0.004255255948284171</v>
      </c>
      <c r="I41" s="30">
        <f>(K41-M41)*2/K41*100</f>
        <v>100</v>
      </c>
      <c r="J41" s="33"/>
      <c r="K41" s="33">
        <f>K40/K37/0.0283*(21-7)/(21-K38)</f>
        <v>0.007630874504894441</v>
      </c>
      <c r="L41" s="33">
        <f>(L40/L37/0.0283*(21-7)/(21-L38))</f>
        <v>0.08545511256574703</v>
      </c>
      <c r="M41" s="33">
        <f>M40/M37/0.0283*(21-7)/(21-M38)</f>
        <v>0.0038154372524472203</v>
      </c>
      <c r="N41" s="30">
        <f>(P41-R41)*2/P41*100</f>
        <v>100</v>
      </c>
      <c r="O41" s="33"/>
      <c r="P41" s="32">
        <f>P40/P37/0.0283*(21-7)/(21-P38)</f>
        <v>0.015028335234740614</v>
      </c>
      <c r="Q41" s="33">
        <f>(Q40/Q37/0.0283*(21-7)/(21-Q38))</f>
        <v>0.2425379974858905</v>
      </c>
      <c r="R41" s="32">
        <f>R40/R37/0.0283*(21-7)/(21-R38)</f>
        <v>0.007514167617370307</v>
      </c>
      <c r="S41" s="41">
        <f>(U41-W41)*2/U41*100</f>
        <v>100</v>
      </c>
      <c r="T41" s="33"/>
      <c r="U41" s="32">
        <f>U40/U37/0.0283*(21-7)/(21-U38)</f>
        <v>0.01535567921020916</v>
      </c>
      <c r="V41" s="33">
        <f>(V40/V37/0.0283*(21-7)/(21-V38))</f>
        <v>0.12422519688178289</v>
      </c>
      <c r="W41" s="32">
        <f>W40/W37/0.0283*(21-7)/(21-W38)</f>
        <v>0.00767783960510458</v>
      </c>
    </row>
    <row r="42" spans="1:23" ht="12.75">
      <c r="A42" s="27"/>
      <c r="B42" s="27"/>
      <c r="C42" s="27"/>
      <c r="D42" s="27"/>
      <c r="E42" s="32"/>
      <c r="F42" s="36"/>
      <c r="G42" s="32"/>
      <c r="H42" s="36"/>
      <c r="I42" s="54"/>
      <c r="J42" s="32"/>
      <c r="K42" s="32"/>
      <c r="L42" s="32"/>
      <c r="M42" s="32"/>
      <c r="N42" s="32"/>
      <c r="O42" s="32"/>
      <c r="P42" s="35"/>
      <c r="Q42" s="32"/>
      <c r="R42" s="35"/>
      <c r="S42" s="32"/>
      <c r="T42" s="32"/>
      <c r="U42" s="35"/>
      <c r="V42" s="32"/>
      <c r="W42" s="35"/>
    </row>
    <row r="43" spans="1:23" ht="12.75">
      <c r="A43" s="33"/>
      <c r="B43" s="27" t="s">
        <v>63</v>
      </c>
      <c r="C43" s="32">
        <f>AVERAGE(H41,M41,R41,W41)</f>
        <v>0.00581567510580157</v>
      </c>
      <c r="D43" s="33"/>
      <c r="E43" s="33"/>
      <c r="F43" s="36"/>
      <c r="G43" s="33"/>
      <c r="H43" s="36"/>
      <c r="I43" s="53"/>
      <c r="J43" s="33"/>
      <c r="K43" s="33"/>
      <c r="L43" s="33"/>
      <c r="M43" s="33"/>
      <c r="N43" s="33"/>
      <c r="O43" s="33"/>
      <c r="P43" s="35"/>
      <c r="Q43" s="33"/>
      <c r="R43" s="35"/>
      <c r="S43" s="33"/>
      <c r="T43" s="33"/>
      <c r="U43" s="35"/>
      <c r="V43" s="33"/>
      <c r="W43" s="35"/>
    </row>
    <row r="44" spans="1:23" ht="12.75">
      <c r="A44" s="27"/>
      <c r="B44" s="27" t="s">
        <v>64</v>
      </c>
      <c r="C44" s="32">
        <f>AVERAGE(G41,L41,Q41,V41)</f>
        <v>0.1416164904100747</v>
      </c>
      <c r="D44" s="27"/>
      <c r="E44" s="35"/>
      <c r="F44" s="36"/>
      <c r="G44" s="35"/>
      <c r="H44" s="36"/>
      <c r="I44" s="3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87"/>
  <sheetViews>
    <sheetView zoomScale="75" zoomScaleNormal="75" workbookViewId="0" topLeftCell="A14">
      <selection activeCell="J30" sqref="J30"/>
    </sheetView>
  </sheetViews>
  <sheetFormatPr defaultColWidth="9.140625" defaultRowHeight="12.75"/>
  <cols>
    <col min="1" max="1" width="1.7109375" style="0" customWidth="1"/>
    <col min="2" max="2" width="21.7109375" style="0" customWidth="1"/>
    <col min="3" max="3" width="9.421875" style="0" customWidth="1"/>
    <col min="4" max="4" width="5.8515625" style="0" customWidth="1"/>
    <col min="5" max="5" width="9.421875" style="0" customWidth="1"/>
    <col min="6" max="6" width="9.8515625" style="0" customWidth="1"/>
    <col min="8" max="8" width="9.8515625" style="0" customWidth="1"/>
    <col min="9" max="9" width="6.8515625" style="0" customWidth="1"/>
    <col min="11" max="11" width="9.28125" style="0" customWidth="1"/>
    <col min="13" max="13" width="9.28125" style="0" customWidth="1"/>
    <col min="14" max="14" width="8.00390625" style="0" customWidth="1"/>
    <col min="16" max="16" width="9.00390625" style="0" customWidth="1"/>
    <col min="18" max="18" width="9.00390625" style="0" customWidth="1"/>
    <col min="19" max="19" width="5.28125" style="0" customWidth="1"/>
  </cols>
  <sheetData>
    <row r="1" spans="1:18" ht="12.75">
      <c r="A1" s="42" t="s">
        <v>74</v>
      </c>
      <c r="B1" s="27"/>
      <c r="C1" s="27"/>
      <c r="D1" s="27"/>
      <c r="E1" s="35"/>
      <c r="F1" s="36"/>
      <c r="G1" s="35"/>
      <c r="H1" s="36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2.75">
      <c r="A2" s="27" t="s">
        <v>305</v>
      </c>
      <c r="B2" s="27"/>
      <c r="C2" s="27"/>
      <c r="D2" s="27"/>
      <c r="E2" s="35"/>
      <c r="F2" s="36"/>
      <c r="G2" s="35"/>
      <c r="H2" s="36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2.75">
      <c r="A3" s="27" t="s">
        <v>20</v>
      </c>
      <c r="B3" s="27"/>
      <c r="C3" s="9" t="str">
        <f>source!C5</f>
        <v>JACADS</v>
      </c>
      <c r="D3" s="9"/>
      <c r="E3" s="35"/>
      <c r="F3" s="36"/>
      <c r="G3" s="35"/>
      <c r="H3" s="36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2.75">
      <c r="A4" s="27" t="s">
        <v>21</v>
      </c>
      <c r="B4" s="27"/>
      <c r="C4" s="9" t="s">
        <v>193</v>
      </c>
      <c r="D4" s="9"/>
      <c r="E4" s="37"/>
      <c r="F4" s="38"/>
      <c r="G4" s="37"/>
      <c r="H4" s="38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12.75">
      <c r="A5" s="27" t="s">
        <v>22</v>
      </c>
      <c r="B5" s="27"/>
      <c r="C5" s="13" t="str">
        <f>cond!C31</f>
        <v>Trial burn burn, GB-8inch M426 feed</v>
      </c>
      <c r="D5" s="13"/>
      <c r="E5" s="13"/>
      <c r="F5" s="13"/>
      <c r="G5" s="13"/>
      <c r="H5" s="13"/>
      <c r="I5" s="13"/>
      <c r="J5" s="13"/>
      <c r="K5" s="35"/>
      <c r="L5" s="13"/>
      <c r="M5" s="35"/>
      <c r="N5" s="35"/>
      <c r="O5" s="35"/>
      <c r="P5" s="35"/>
      <c r="Q5" s="35"/>
      <c r="R5" s="35"/>
    </row>
    <row r="6" spans="1:18" ht="12.75">
      <c r="A6" s="27"/>
      <c r="B6" s="27"/>
      <c r="C6" s="29"/>
      <c r="D6" s="29"/>
      <c r="E6" s="39"/>
      <c r="F6" s="36"/>
      <c r="G6" s="39"/>
      <c r="H6" s="36"/>
      <c r="I6" s="35"/>
      <c r="J6" s="39"/>
      <c r="K6" s="35"/>
      <c r="L6" s="39"/>
      <c r="M6" s="35"/>
      <c r="N6" s="35"/>
      <c r="O6" s="39"/>
      <c r="P6" s="35"/>
      <c r="Q6" s="39"/>
      <c r="R6" s="35"/>
    </row>
    <row r="7" spans="1:23" ht="12.75">
      <c r="A7" s="27"/>
      <c r="B7" s="27"/>
      <c r="C7" s="29" t="s">
        <v>23</v>
      </c>
      <c r="D7" s="29"/>
      <c r="E7" s="40" t="s">
        <v>55</v>
      </c>
      <c r="F7" s="40"/>
      <c r="G7" s="40"/>
      <c r="H7" s="40"/>
      <c r="I7" s="12"/>
      <c r="J7" s="40" t="s">
        <v>176</v>
      </c>
      <c r="K7" s="40"/>
      <c r="L7" s="40"/>
      <c r="M7" s="40"/>
      <c r="N7" s="12"/>
      <c r="O7" s="40" t="s">
        <v>56</v>
      </c>
      <c r="P7" s="40"/>
      <c r="Q7" s="40"/>
      <c r="R7" s="40"/>
      <c r="T7" s="40" t="s">
        <v>120</v>
      </c>
      <c r="U7" s="40"/>
      <c r="V7" s="40"/>
      <c r="W7" s="40"/>
    </row>
    <row r="8" spans="1:23" ht="12.75">
      <c r="A8" s="27"/>
      <c r="B8" s="27"/>
      <c r="C8" s="29" t="s">
        <v>24</v>
      </c>
      <c r="D8" s="27"/>
      <c r="E8" s="39" t="s">
        <v>25</v>
      </c>
      <c r="F8" s="38" t="s">
        <v>26</v>
      </c>
      <c r="G8" s="39" t="s">
        <v>25</v>
      </c>
      <c r="H8" s="38" t="s">
        <v>26</v>
      </c>
      <c r="I8" s="35"/>
      <c r="J8" s="39" t="s">
        <v>25</v>
      </c>
      <c r="K8" s="39" t="s">
        <v>27</v>
      </c>
      <c r="L8" s="39" t="s">
        <v>25</v>
      </c>
      <c r="M8" s="39" t="s">
        <v>27</v>
      </c>
      <c r="N8" s="35"/>
      <c r="O8" s="39" t="s">
        <v>25</v>
      </c>
      <c r="P8" s="39" t="s">
        <v>27</v>
      </c>
      <c r="Q8" s="39" t="s">
        <v>25</v>
      </c>
      <c r="R8" s="39" t="s">
        <v>27</v>
      </c>
      <c r="T8" s="39" t="s">
        <v>25</v>
      </c>
      <c r="U8" s="39" t="s">
        <v>27</v>
      </c>
      <c r="V8" s="39" t="s">
        <v>25</v>
      </c>
      <c r="W8" s="39" t="s">
        <v>27</v>
      </c>
    </row>
    <row r="9" spans="1:23" ht="12.75">
      <c r="A9" s="27"/>
      <c r="B9" s="27"/>
      <c r="C9" s="29"/>
      <c r="D9" s="27"/>
      <c r="E9" s="39" t="s">
        <v>224</v>
      </c>
      <c r="F9" s="39" t="s">
        <v>224</v>
      </c>
      <c r="G9" s="39" t="s">
        <v>73</v>
      </c>
      <c r="H9" s="38" t="s">
        <v>73</v>
      </c>
      <c r="I9" s="35"/>
      <c r="J9" s="39" t="s">
        <v>224</v>
      </c>
      <c r="K9" s="39" t="s">
        <v>224</v>
      </c>
      <c r="L9" s="39" t="s">
        <v>73</v>
      </c>
      <c r="M9" s="38" t="s">
        <v>73</v>
      </c>
      <c r="N9" s="35"/>
      <c r="O9" s="39" t="s">
        <v>224</v>
      </c>
      <c r="P9" s="39" t="s">
        <v>224</v>
      </c>
      <c r="Q9" s="39" t="s">
        <v>73</v>
      </c>
      <c r="R9" s="38" t="s">
        <v>73</v>
      </c>
      <c r="T9" s="39" t="s">
        <v>224</v>
      </c>
      <c r="U9" s="39" t="s">
        <v>224</v>
      </c>
      <c r="V9" s="39" t="s">
        <v>73</v>
      </c>
      <c r="W9" s="38" t="s">
        <v>73</v>
      </c>
    </row>
    <row r="10" spans="1:18" ht="12.75">
      <c r="A10" s="27" t="s">
        <v>196</v>
      </c>
      <c r="B10" s="27"/>
      <c r="C10" s="27"/>
      <c r="D10" s="27"/>
      <c r="E10" s="35"/>
      <c r="F10" s="36"/>
      <c r="G10" s="35"/>
      <c r="H10" s="36"/>
      <c r="I10" s="35"/>
      <c r="J10" s="35"/>
      <c r="K10" s="35"/>
      <c r="L10" s="35"/>
      <c r="M10" s="35"/>
      <c r="N10" s="35"/>
      <c r="O10" s="30"/>
      <c r="P10" s="35"/>
      <c r="Q10" s="35"/>
      <c r="R10" s="35"/>
    </row>
    <row r="11" spans="1:23" ht="12.75">
      <c r="A11" s="27"/>
      <c r="B11" s="27" t="s">
        <v>28</v>
      </c>
      <c r="C11" s="29">
        <v>1</v>
      </c>
      <c r="D11" s="29" t="s">
        <v>109</v>
      </c>
      <c r="E11" s="71">
        <v>6E-06</v>
      </c>
      <c r="F11" s="71">
        <f aca="true" t="shared" si="0" ref="F11:H35">IF(E11="","",E11*$C11)</f>
        <v>6E-06</v>
      </c>
      <c r="G11" s="71">
        <f aca="true" t="shared" si="1" ref="G11:G35">IF(E11=0,"",IF(D11="nd",E11/2,E11))</f>
        <v>3E-06</v>
      </c>
      <c r="H11" s="71">
        <f t="shared" si="0"/>
        <v>3E-06</v>
      </c>
      <c r="I11" s="29" t="s">
        <v>109</v>
      </c>
      <c r="J11" s="71">
        <v>6.8E-06</v>
      </c>
      <c r="K11" s="71">
        <f aca="true" t="shared" si="2" ref="K11:M35">IF(J11="","",J11*$C11)</f>
        <v>6.8E-06</v>
      </c>
      <c r="L11" s="71">
        <f aca="true" t="shared" si="3" ref="L11:L35">IF(J11=0,"",IF(I11="nd",J11/2,J11))</f>
        <v>3.4E-06</v>
      </c>
      <c r="M11" s="71">
        <f t="shared" si="2"/>
        <v>3.4E-06</v>
      </c>
      <c r="N11" s="29" t="s">
        <v>109</v>
      </c>
      <c r="O11" s="71">
        <v>4.7E-06</v>
      </c>
      <c r="P11" s="71">
        <f aca="true" t="shared" si="4" ref="P11:R35">IF(O11="","",O11*$C11)</f>
        <v>4.7E-06</v>
      </c>
      <c r="Q11" s="71">
        <f aca="true" t="shared" si="5" ref="Q11:Q35">IF(O11=0,"",IF(N11="nd",O11/2,O11))</f>
        <v>2.35E-06</v>
      </c>
      <c r="R11" s="71">
        <f t="shared" si="4"/>
        <v>2.35E-06</v>
      </c>
      <c r="S11" s="29" t="s">
        <v>109</v>
      </c>
      <c r="T11" s="71">
        <v>4.1E-06</v>
      </c>
      <c r="U11" s="71">
        <f aca="true" t="shared" si="6" ref="U11:W35">IF(T11="","",T11*$C11)</f>
        <v>4.1E-06</v>
      </c>
      <c r="V11" s="71">
        <f aca="true" t="shared" si="7" ref="V11:V35">IF(T11=0,"",IF(S11="nd",T11/2,T11))</f>
        <v>2.05E-06</v>
      </c>
      <c r="W11" s="71">
        <f t="shared" si="6"/>
        <v>2.05E-06</v>
      </c>
    </row>
    <row r="12" spans="1:23" ht="12.75">
      <c r="A12" s="27"/>
      <c r="B12" s="27" t="s">
        <v>29</v>
      </c>
      <c r="C12" s="29">
        <v>0.5</v>
      </c>
      <c r="D12" s="29" t="s">
        <v>109</v>
      </c>
      <c r="E12" s="71">
        <v>9.9E-06</v>
      </c>
      <c r="F12" s="71">
        <f t="shared" si="0"/>
        <v>4.95E-06</v>
      </c>
      <c r="G12" s="71">
        <f t="shared" si="1"/>
        <v>4.95E-06</v>
      </c>
      <c r="H12" s="71">
        <f t="shared" si="0"/>
        <v>2.475E-06</v>
      </c>
      <c r="I12" s="29" t="s">
        <v>109</v>
      </c>
      <c r="J12" s="71">
        <v>1.6E-05</v>
      </c>
      <c r="K12" s="71">
        <f t="shared" si="2"/>
        <v>8E-06</v>
      </c>
      <c r="L12" s="71">
        <f t="shared" si="3"/>
        <v>8E-06</v>
      </c>
      <c r="M12" s="71">
        <f t="shared" si="2"/>
        <v>4E-06</v>
      </c>
      <c r="N12" s="29" t="s">
        <v>109</v>
      </c>
      <c r="O12" s="71">
        <v>1.5E-05</v>
      </c>
      <c r="P12" s="71">
        <f t="shared" si="4"/>
        <v>7.5E-06</v>
      </c>
      <c r="Q12" s="71">
        <f t="shared" si="5"/>
        <v>7.5E-06</v>
      </c>
      <c r="R12" s="71">
        <f t="shared" si="4"/>
        <v>3.75E-06</v>
      </c>
      <c r="S12" s="29" t="s">
        <v>109</v>
      </c>
      <c r="T12" s="71">
        <v>1.2E-05</v>
      </c>
      <c r="U12" s="71">
        <f t="shared" si="6"/>
        <v>6E-06</v>
      </c>
      <c r="V12" s="71">
        <f t="shared" si="7"/>
        <v>6E-06</v>
      </c>
      <c r="W12" s="71">
        <f t="shared" si="6"/>
        <v>3E-06</v>
      </c>
    </row>
    <row r="13" spans="1:23" ht="12.75">
      <c r="A13" s="27"/>
      <c r="B13" s="27" t="s">
        <v>30</v>
      </c>
      <c r="C13" s="29">
        <v>0.1</v>
      </c>
      <c r="D13" s="29" t="s">
        <v>109</v>
      </c>
      <c r="E13" s="71">
        <v>1.4E-05</v>
      </c>
      <c r="F13" s="71">
        <f t="shared" si="0"/>
        <v>1.4000000000000001E-06</v>
      </c>
      <c r="G13" s="71">
        <f t="shared" si="1"/>
        <v>7E-06</v>
      </c>
      <c r="H13" s="71">
        <f t="shared" si="0"/>
        <v>7.000000000000001E-07</v>
      </c>
      <c r="I13" s="29" t="s">
        <v>109</v>
      </c>
      <c r="J13" s="71">
        <v>2E-05</v>
      </c>
      <c r="K13" s="71">
        <f t="shared" si="2"/>
        <v>2.0000000000000003E-06</v>
      </c>
      <c r="L13" s="71">
        <f t="shared" si="3"/>
        <v>1E-05</v>
      </c>
      <c r="M13" s="71">
        <f t="shared" si="2"/>
        <v>1.0000000000000002E-06</v>
      </c>
      <c r="N13" s="29" t="s">
        <v>109</v>
      </c>
      <c r="O13" s="71">
        <v>2.1E-05</v>
      </c>
      <c r="P13" s="71">
        <f t="shared" si="4"/>
        <v>2.1E-06</v>
      </c>
      <c r="Q13" s="71">
        <f t="shared" si="5"/>
        <v>1.05E-05</v>
      </c>
      <c r="R13" s="71">
        <f t="shared" si="4"/>
        <v>1.05E-06</v>
      </c>
      <c r="S13" s="29" t="s">
        <v>109</v>
      </c>
      <c r="T13" s="71">
        <v>1.5E-05</v>
      </c>
      <c r="U13" s="71">
        <f t="shared" si="6"/>
        <v>1.5E-06</v>
      </c>
      <c r="V13" s="71">
        <f t="shared" si="7"/>
        <v>7.5E-06</v>
      </c>
      <c r="W13" s="71">
        <f t="shared" si="6"/>
        <v>7.5E-07</v>
      </c>
    </row>
    <row r="14" spans="1:23" ht="12.75">
      <c r="A14" s="27"/>
      <c r="B14" s="27" t="s">
        <v>31</v>
      </c>
      <c r="C14" s="29">
        <v>0.1</v>
      </c>
      <c r="D14" s="29" t="s">
        <v>109</v>
      </c>
      <c r="E14" s="71">
        <v>1.4E-05</v>
      </c>
      <c r="F14" s="71">
        <f t="shared" si="0"/>
        <v>1.4000000000000001E-06</v>
      </c>
      <c r="G14" s="71">
        <f t="shared" si="1"/>
        <v>7E-06</v>
      </c>
      <c r="H14" s="71">
        <f t="shared" si="0"/>
        <v>7.000000000000001E-07</v>
      </c>
      <c r="I14" s="29" t="s">
        <v>109</v>
      </c>
      <c r="J14" s="71">
        <v>1.9E-05</v>
      </c>
      <c r="K14" s="71">
        <f t="shared" si="2"/>
        <v>1.9000000000000002E-06</v>
      </c>
      <c r="L14" s="71">
        <f t="shared" si="3"/>
        <v>9.5E-06</v>
      </c>
      <c r="M14" s="71">
        <f t="shared" si="2"/>
        <v>9.500000000000001E-07</v>
      </c>
      <c r="N14" s="29" t="s">
        <v>109</v>
      </c>
      <c r="O14" s="71">
        <v>2E-05</v>
      </c>
      <c r="P14" s="71">
        <f t="shared" si="4"/>
        <v>2.0000000000000003E-06</v>
      </c>
      <c r="Q14" s="71">
        <f t="shared" si="5"/>
        <v>1E-05</v>
      </c>
      <c r="R14" s="71">
        <f t="shared" si="4"/>
        <v>1.0000000000000002E-06</v>
      </c>
      <c r="S14" s="29" t="s">
        <v>109</v>
      </c>
      <c r="T14" s="71">
        <v>1.5E-05</v>
      </c>
      <c r="U14" s="71">
        <f t="shared" si="6"/>
        <v>1.5E-06</v>
      </c>
      <c r="V14" s="71">
        <f t="shared" si="7"/>
        <v>7.5E-06</v>
      </c>
      <c r="W14" s="71">
        <f t="shared" si="6"/>
        <v>7.5E-07</v>
      </c>
    </row>
    <row r="15" spans="1:23" ht="12.75">
      <c r="A15" s="27"/>
      <c r="B15" s="27" t="s">
        <v>32</v>
      </c>
      <c r="C15" s="29">
        <v>0.1</v>
      </c>
      <c r="D15" s="29" t="s">
        <v>109</v>
      </c>
      <c r="E15" s="71">
        <v>1.3E-05</v>
      </c>
      <c r="F15" s="71">
        <f t="shared" si="0"/>
        <v>1.3E-06</v>
      </c>
      <c r="G15" s="71">
        <f t="shared" si="1"/>
        <v>6.5E-06</v>
      </c>
      <c r="H15" s="71">
        <f t="shared" si="0"/>
        <v>6.5E-07</v>
      </c>
      <c r="I15" s="29" t="s">
        <v>109</v>
      </c>
      <c r="J15" s="71">
        <v>1.8E-05</v>
      </c>
      <c r="K15" s="71">
        <f t="shared" si="2"/>
        <v>1.8000000000000001E-06</v>
      </c>
      <c r="L15" s="71">
        <f t="shared" si="3"/>
        <v>9E-06</v>
      </c>
      <c r="M15" s="71">
        <f t="shared" si="2"/>
        <v>9.000000000000001E-07</v>
      </c>
      <c r="N15" s="29" t="s">
        <v>109</v>
      </c>
      <c r="O15" s="71">
        <v>1.9E-05</v>
      </c>
      <c r="P15" s="71">
        <f t="shared" si="4"/>
        <v>1.9000000000000002E-06</v>
      </c>
      <c r="Q15" s="71">
        <f t="shared" si="5"/>
        <v>9.5E-06</v>
      </c>
      <c r="R15" s="71">
        <f t="shared" si="4"/>
        <v>9.500000000000001E-07</v>
      </c>
      <c r="S15" s="29" t="s">
        <v>109</v>
      </c>
      <c r="T15" s="71">
        <v>1.4E-05</v>
      </c>
      <c r="U15" s="71">
        <f t="shared" si="6"/>
        <v>1.4000000000000001E-06</v>
      </c>
      <c r="V15" s="71">
        <f t="shared" si="7"/>
        <v>7E-06</v>
      </c>
      <c r="W15" s="71">
        <f t="shared" si="6"/>
        <v>7.000000000000001E-07</v>
      </c>
    </row>
    <row r="16" spans="1:23" ht="12.75">
      <c r="A16" s="27"/>
      <c r="B16" s="27" t="s">
        <v>33</v>
      </c>
      <c r="C16" s="29">
        <v>0.01</v>
      </c>
      <c r="D16" s="29" t="s">
        <v>109</v>
      </c>
      <c r="E16" s="71">
        <v>5.6E-06</v>
      </c>
      <c r="F16" s="71">
        <f t="shared" si="0"/>
        <v>5.6E-08</v>
      </c>
      <c r="G16" s="71">
        <f t="shared" si="1"/>
        <v>2.8E-06</v>
      </c>
      <c r="H16" s="71">
        <f t="shared" si="0"/>
        <v>2.8E-08</v>
      </c>
      <c r="I16" s="29" t="s">
        <v>109</v>
      </c>
      <c r="J16" s="71">
        <v>7E-06</v>
      </c>
      <c r="K16" s="71">
        <f t="shared" si="2"/>
        <v>7E-08</v>
      </c>
      <c r="L16" s="71">
        <f t="shared" si="3"/>
        <v>3.5E-06</v>
      </c>
      <c r="M16" s="71">
        <f t="shared" si="2"/>
        <v>3.5E-08</v>
      </c>
      <c r="N16" s="29" t="s">
        <v>109</v>
      </c>
      <c r="O16" s="71">
        <v>5.9E-06</v>
      </c>
      <c r="P16" s="71">
        <f t="shared" si="4"/>
        <v>5.9000000000000006E-08</v>
      </c>
      <c r="Q16" s="71">
        <f t="shared" si="5"/>
        <v>2.95E-06</v>
      </c>
      <c r="R16" s="71">
        <f t="shared" si="4"/>
        <v>2.9500000000000003E-08</v>
      </c>
      <c r="S16" s="29" t="s">
        <v>109</v>
      </c>
      <c r="T16" s="71">
        <v>5.8E-06</v>
      </c>
      <c r="U16" s="71">
        <f t="shared" si="6"/>
        <v>5.8E-08</v>
      </c>
      <c r="V16" s="71">
        <f t="shared" si="7"/>
        <v>2.9E-06</v>
      </c>
      <c r="W16" s="71">
        <f t="shared" si="6"/>
        <v>2.9E-08</v>
      </c>
    </row>
    <row r="17" spans="1:23" ht="12.75">
      <c r="A17" s="27"/>
      <c r="B17" s="27" t="s">
        <v>34</v>
      </c>
      <c r="C17" s="29">
        <v>0.001</v>
      </c>
      <c r="D17" s="29" t="s">
        <v>109</v>
      </c>
      <c r="E17" s="71">
        <v>1.3E-05</v>
      </c>
      <c r="F17" s="71">
        <f t="shared" si="0"/>
        <v>1.2999999999999999E-08</v>
      </c>
      <c r="G17" s="71">
        <f t="shared" si="1"/>
        <v>6.5E-06</v>
      </c>
      <c r="H17" s="71">
        <f t="shared" si="0"/>
        <v>6.4999999999999995E-09</v>
      </c>
      <c r="I17" s="29" t="s">
        <v>109</v>
      </c>
      <c r="J17" s="71">
        <v>1.3E-05</v>
      </c>
      <c r="K17" s="71">
        <f t="shared" si="2"/>
        <v>1.2999999999999999E-08</v>
      </c>
      <c r="L17" s="71">
        <f t="shared" si="3"/>
        <v>6.5E-06</v>
      </c>
      <c r="M17" s="71">
        <f t="shared" si="2"/>
        <v>6.4999999999999995E-09</v>
      </c>
      <c r="N17" s="29" t="s">
        <v>109</v>
      </c>
      <c r="O17" s="71">
        <v>8.1E-06</v>
      </c>
      <c r="P17" s="71">
        <f t="shared" si="4"/>
        <v>8.1E-09</v>
      </c>
      <c r="Q17" s="71">
        <f t="shared" si="5"/>
        <v>4.05E-06</v>
      </c>
      <c r="R17" s="71">
        <f t="shared" si="4"/>
        <v>4.05E-09</v>
      </c>
      <c r="S17" s="29" t="s">
        <v>109</v>
      </c>
      <c r="T17" s="71">
        <v>9.9E-06</v>
      </c>
      <c r="U17" s="71">
        <f t="shared" si="6"/>
        <v>9.900000000000001E-09</v>
      </c>
      <c r="V17" s="71">
        <f t="shared" si="7"/>
        <v>4.95E-06</v>
      </c>
      <c r="W17" s="71">
        <f t="shared" si="6"/>
        <v>4.9500000000000005E-09</v>
      </c>
    </row>
    <row r="18" spans="1:23" ht="12.75">
      <c r="A18" s="27"/>
      <c r="B18" s="27" t="s">
        <v>35</v>
      </c>
      <c r="C18" s="29">
        <v>0.1</v>
      </c>
      <c r="D18" s="29" t="s">
        <v>109</v>
      </c>
      <c r="E18" s="71">
        <v>5E-06</v>
      </c>
      <c r="F18" s="71">
        <f t="shared" si="0"/>
        <v>5.000000000000001E-07</v>
      </c>
      <c r="G18" s="71">
        <f t="shared" si="1"/>
        <v>2.5E-06</v>
      </c>
      <c r="H18" s="71">
        <f t="shared" si="0"/>
        <v>2.5000000000000004E-07</v>
      </c>
      <c r="I18" s="29" t="s">
        <v>109</v>
      </c>
      <c r="J18" s="71">
        <v>6E-06</v>
      </c>
      <c r="K18" s="71">
        <f t="shared" si="2"/>
        <v>6.000000000000001E-07</v>
      </c>
      <c r="L18" s="71">
        <f t="shared" si="3"/>
        <v>3E-06</v>
      </c>
      <c r="M18" s="71">
        <f t="shared" si="2"/>
        <v>3.0000000000000004E-07</v>
      </c>
      <c r="N18" s="29" t="s">
        <v>109</v>
      </c>
      <c r="O18" s="71">
        <v>4E-06</v>
      </c>
      <c r="P18" s="71">
        <f t="shared" si="4"/>
        <v>4E-07</v>
      </c>
      <c r="Q18" s="71">
        <f t="shared" si="5"/>
        <v>2E-06</v>
      </c>
      <c r="R18" s="71">
        <f t="shared" si="4"/>
        <v>2E-07</v>
      </c>
      <c r="S18" s="29" t="s">
        <v>109</v>
      </c>
      <c r="T18" s="71">
        <v>3.3E-06</v>
      </c>
      <c r="U18" s="71">
        <f t="shared" si="6"/>
        <v>3.3E-07</v>
      </c>
      <c r="V18" s="71">
        <f t="shared" si="7"/>
        <v>1.65E-06</v>
      </c>
      <c r="W18" s="71">
        <f t="shared" si="6"/>
        <v>1.65E-07</v>
      </c>
    </row>
    <row r="19" spans="1:23" ht="12.75">
      <c r="A19" s="27"/>
      <c r="B19" s="27" t="s">
        <v>36</v>
      </c>
      <c r="C19" s="29">
        <v>0.05</v>
      </c>
      <c r="D19" s="29" t="s">
        <v>109</v>
      </c>
      <c r="E19" s="71">
        <v>9.5E-06</v>
      </c>
      <c r="F19" s="71">
        <f t="shared" si="0"/>
        <v>4.7500000000000006E-07</v>
      </c>
      <c r="G19" s="71">
        <f t="shared" si="1"/>
        <v>4.75E-06</v>
      </c>
      <c r="H19" s="71">
        <f t="shared" si="0"/>
        <v>2.3750000000000003E-07</v>
      </c>
      <c r="I19" s="29" t="s">
        <v>109</v>
      </c>
      <c r="J19" s="71">
        <v>7.6E-06</v>
      </c>
      <c r="K19" s="71">
        <f t="shared" si="2"/>
        <v>3.8E-07</v>
      </c>
      <c r="L19" s="71">
        <f t="shared" si="3"/>
        <v>3.8E-06</v>
      </c>
      <c r="M19" s="71">
        <f t="shared" si="2"/>
        <v>1.9E-07</v>
      </c>
      <c r="N19" s="29" t="s">
        <v>109</v>
      </c>
      <c r="O19" s="71">
        <v>7.8E-06</v>
      </c>
      <c r="P19" s="71">
        <f t="shared" si="4"/>
        <v>3.9E-07</v>
      </c>
      <c r="Q19" s="71">
        <f t="shared" si="5"/>
        <v>3.9E-06</v>
      </c>
      <c r="R19" s="71">
        <f t="shared" si="4"/>
        <v>1.95E-07</v>
      </c>
      <c r="S19" s="29" t="s">
        <v>109</v>
      </c>
      <c r="T19" s="71">
        <v>8E-06</v>
      </c>
      <c r="U19" s="71">
        <f t="shared" si="6"/>
        <v>4E-07</v>
      </c>
      <c r="V19" s="71">
        <f t="shared" si="7"/>
        <v>4E-06</v>
      </c>
      <c r="W19" s="71">
        <f t="shared" si="6"/>
        <v>2E-07</v>
      </c>
    </row>
    <row r="20" spans="1:23" ht="12.75">
      <c r="A20" s="27"/>
      <c r="B20" s="27" t="s">
        <v>37</v>
      </c>
      <c r="C20" s="29">
        <v>0.5</v>
      </c>
      <c r="D20" s="29" t="s">
        <v>109</v>
      </c>
      <c r="E20" s="71">
        <v>9.9E-06</v>
      </c>
      <c r="F20" s="71">
        <f t="shared" si="0"/>
        <v>4.95E-06</v>
      </c>
      <c r="G20" s="71">
        <f t="shared" si="1"/>
        <v>4.95E-06</v>
      </c>
      <c r="H20" s="71">
        <f t="shared" si="0"/>
        <v>2.475E-06</v>
      </c>
      <c r="I20" s="29" t="s">
        <v>109</v>
      </c>
      <c r="J20" s="71">
        <v>7.8E-06</v>
      </c>
      <c r="K20" s="71">
        <f t="shared" si="2"/>
        <v>3.9E-06</v>
      </c>
      <c r="L20" s="71">
        <f t="shared" si="3"/>
        <v>3.9E-06</v>
      </c>
      <c r="M20" s="71">
        <f t="shared" si="2"/>
        <v>1.95E-06</v>
      </c>
      <c r="N20" s="29" t="s">
        <v>109</v>
      </c>
      <c r="O20" s="71">
        <v>8.3E-06</v>
      </c>
      <c r="P20" s="71">
        <f t="shared" si="4"/>
        <v>4.15E-06</v>
      </c>
      <c r="Q20" s="71">
        <f t="shared" si="5"/>
        <v>4.15E-06</v>
      </c>
      <c r="R20" s="71">
        <f t="shared" si="4"/>
        <v>2.075E-06</v>
      </c>
      <c r="S20" s="29" t="s">
        <v>109</v>
      </c>
      <c r="T20" s="71">
        <v>8.2E-06</v>
      </c>
      <c r="U20" s="71">
        <f t="shared" si="6"/>
        <v>4.1E-06</v>
      </c>
      <c r="V20" s="71">
        <f t="shared" si="7"/>
        <v>4.1E-06</v>
      </c>
      <c r="W20" s="71">
        <f t="shared" si="6"/>
        <v>2.05E-06</v>
      </c>
    </row>
    <row r="21" spans="1:23" ht="12.75">
      <c r="A21" s="27"/>
      <c r="B21" s="27" t="s">
        <v>38</v>
      </c>
      <c r="C21" s="29">
        <v>0.1</v>
      </c>
      <c r="D21" s="29" t="s">
        <v>109</v>
      </c>
      <c r="E21" s="71">
        <v>1.3E-05</v>
      </c>
      <c r="F21" s="71">
        <f t="shared" si="0"/>
        <v>1.3E-06</v>
      </c>
      <c r="G21" s="71">
        <f t="shared" si="1"/>
        <v>6.5E-06</v>
      </c>
      <c r="H21" s="71">
        <f t="shared" si="0"/>
        <v>6.5E-07</v>
      </c>
      <c r="I21" s="29" t="s">
        <v>109</v>
      </c>
      <c r="J21" s="71">
        <v>1.7E-05</v>
      </c>
      <c r="K21" s="71">
        <f t="shared" si="2"/>
        <v>1.7E-06</v>
      </c>
      <c r="L21" s="71">
        <f t="shared" si="3"/>
        <v>8.5E-06</v>
      </c>
      <c r="M21" s="71">
        <f t="shared" si="2"/>
        <v>8.5E-07</v>
      </c>
      <c r="N21" s="29" t="s">
        <v>109</v>
      </c>
      <c r="O21" s="71">
        <v>7.6E-06</v>
      </c>
      <c r="P21" s="71">
        <f t="shared" si="4"/>
        <v>7.6E-07</v>
      </c>
      <c r="Q21" s="71">
        <f t="shared" si="5"/>
        <v>3.8E-06</v>
      </c>
      <c r="R21" s="71">
        <f t="shared" si="4"/>
        <v>3.8E-07</v>
      </c>
      <c r="S21" s="29" t="s">
        <v>109</v>
      </c>
      <c r="T21" s="71">
        <v>5.6E-06</v>
      </c>
      <c r="U21" s="71">
        <f t="shared" si="6"/>
        <v>5.6E-07</v>
      </c>
      <c r="V21" s="71">
        <f t="shared" si="7"/>
        <v>2.8E-06</v>
      </c>
      <c r="W21" s="71">
        <f t="shared" si="6"/>
        <v>2.8E-07</v>
      </c>
    </row>
    <row r="22" spans="1:23" ht="12.75">
      <c r="A22" s="27"/>
      <c r="B22" s="27" t="s">
        <v>39</v>
      </c>
      <c r="C22" s="29">
        <v>0.1</v>
      </c>
      <c r="D22" s="29" t="s">
        <v>109</v>
      </c>
      <c r="E22" s="71">
        <v>1.3E-05</v>
      </c>
      <c r="F22" s="71">
        <f t="shared" si="0"/>
        <v>1.3E-06</v>
      </c>
      <c r="G22" s="71">
        <f t="shared" si="1"/>
        <v>6.5E-06</v>
      </c>
      <c r="H22" s="71">
        <f t="shared" si="0"/>
        <v>6.5E-07</v>
      </c>
      <c r="I22" s="29" t="s">
        <v>109</v>
      </c>
      <c r="J22" s="71">
        <v>1.7E-05</v>
      </c>
      <c r="K22" s="71">
        <f t="shared" si="2"/>
        <v>1.7E-06</v>
      </c>
      <c r="L22" s="71">
        <f t="shared" si="3"/>
        <v>8.5E-06</v>
      </c>
      <c r="M22" s="71">
        <f t="shared" si="2"/>
        <v>8.5E-07</v>
      </c>
      <c r="N22" s="29" t="s">
        <v>109</v>
      </c>
      <c r="O22" s="71">
        <v>7.6E-06</v>
      </c>
      <c r="P22" s="71">
        <f t="shared" si="4"/>
        <v>7.6E-07</v>
      </c>
      <c r="Q22" s="71">
        <f t="shared" si="5"/>
        <v>3.8E-06</v>
      </c>
      <c r="R22" s="71">
        <f t="shared" si="4"/>
        <v>3.8E-07</v>
      </c>
      <c r="S22" s="29" t="s">
        <v>109</v>
      </c>
      <c r="T22" s="71">
        <v>5.8E-06</v>
      </c>
      <c r="U22" s="71">
        <f t="shared" si="6"/>
        <v>5.800000000000001E-07</v>
      </c>
      <c r="V22" s="71">
        <f t="shared" si="7"/>
        <v>2.9E-06</v>
      </c>
      <c r="W22" s="71">
        <f t="shared" si="6"/>
        <v>2.9000000000000003E-07</v>
      </c>
    </row>
    <row r="23" spans="1:23" ht="12.75">
      <c r="A23" s="27"/>
      <c r="B23" s="27" t="s">
        <v>40</v>
      </c>
      <c r="C23" s="29">
        <v>0.1</v>
      </c>
      <c r="D23" s="29" t="s">
        <v>109</v>
      </c>
      <c r="E23" s="71">
        <v>1.5E-05</v>
      </c>
      <c r="F23" s="71">
        <f t="shared" si="0"/>
        <v>1.5E-06</v>
      </c>
      <c r="G23" s="71">
        <f t="shared" si="1"/>
        <v>7.5E-06</v>
      </c>
      <c r="H23" s="71">
        <f t="shared" si="0"/>
        <v>7.5E-07</v>
      </c>
      <c r="I23" s="29" t="s">
        <v>109</v>
      </c>
      <c r="J23" s="71">
        <v>1.8E-05</v>
      </c>
      <c r="K23" s="71">
        <f t="shared" si="2"/>
        <v>1.8000000000000001E-06</v>
      </c>
      <c r="L23" s="71">
        <f t="shared" si="3"/>
        <v>9E-06</v>
      </c>
      <c r="M23" s="71">
        <f t="shared" si="2"/>
        <v>9.000000000000001E-07</v>
      </c>
      <c r="N23" s="29" t="s">
        <v>109</v>
      </c>
      <c r="O23" s="71">
        <v>8.5E-06</v>
      </c>
      <c r="P23" s="71">
        <f t="shared" si="4"/>
        <v>8.5E-07</v>
      </c>
      <c r="Q23" s="71">
        <f t="shared" si="5"/>
        <v>4.25E-06</v>
      </c>
      <c r="R23" s="71">
        <f t="shared" si="4"/>
        <v>4.25E-07</v>
      </c>
      <c r="S23" s="29" t="s">
        <v>109</v>
      </c>
      <c r="T23" s="71">
        <v>6.2E-06</v>
      </c>
      <c r="U23" s="71">
        <f t="shared" si="6"/>
        <v>6.2E-07</v>
      </c>
      <c r="V23" s="71">
        <f t="shared" si="7"/>
        <v>3.1E-06</v>
      </c>
      <c r="W23" s="71">
        <f t="shared" si="6"/>
        <v>3.1E-07</v>
      </c>
    </row>
    <row r="24" spans="1:23" ht="12.75">
      <c r="A24" s="27"/>
      <c r="B24" s="27" t="s">
        <v>41</v>
      </c>
      <c r="C24" s="29">
        <v>0.1</v>
      </c>
      <c r="D24" s="29" t="s">
        <v>109</v>
      </c>
      <c r="E24" s="71">
        <v>1.6E-05</v>
      </c>
      <c r="F24" s="71">
        <f t="shared" si="0"/>
        <v>1.6E-06</v>
      </c>
      <c r="G24" s="71">
        <f t="shared" si="1"/>
        <v>8E-06</v>
      </c>
      <c r="H24" s="71">
        <f t="shared" si="0"/>
        <v>8E-07</v>
      </c>
      <c r="I24" s="29" t="s">
        <v>109</v>
      </c>
      <c r="J24" s="71">
        <v>2.1E-05</v>
      </c>
      <c r="K24" s="71">
        <f t="shared" si="2"/>
        <v>2.1E-06</v>
      </c>
      <c r="L24" s="71">
        <f t="shared" si="3"/>
        <v>1.05E-05</v>
      </c>
      <c r="M24" s="71">
        <f t="shared" si="2"/>
        <v>1.05E-06</v>
      </c>
      <c r="N24" s="29" t="s">
        <v>109</v>
      </c>
      <c r="O24" s="71">
        <v>9.5E-06</v>
      </c>
      <c r="P24" s="71">
        <f t="shared" si="4"/>
        <v>9.500000000000001E-07</v>
      </c>
      <c r="Q24" s="71">
        <f t="shared" si="5"/>
        <v>4.75E-06</v>
      </c>
      <c r="R24" s="71">
        <f t="shared" si="4"/>
        <v>4.7500000000000006E-07</v>
      </c>
      <c r="S24" s="29" t="s">
        <v>109</v>
      </c>
      <c r="T24" s="71">
        <v>6.8E-06</v>
      </c>
      <c r="U24" s="71">
        <f t="shared" si="6"/>
        <v>6.800000000000001E-07</v>
      </c>
      <c r="V24" s="71">
        <f t="shared" si="7"/>
        <v>3.4E-06</v>
      </c>
      <c r="W24" s="71">
        <f t="shared" si="6"/>
        <v>3.4000000000000003E-07</v>
      </c>
    </row>
    <row r="25" spans="1:23" ht="12.75">
      <c r="A25" s="27"/>
      <c r="B25" s="27" t="s">
        <v>42</v>
      </c>
      <c r="C25" s="29">
        <v>0.01</v>
      </c>
      <c r="D25" s="29" t="s">
        <v>109</v>
      </c>
      <c r="E25" s="71">
        <v>3.9E-06</v>
      </c>
      <c r="F25" s="71">
        <f t="shared" si="0"/>
        <v>3.9E-08</v>
      </c>
      <c r="G25" s="71">
        <f t="shared" si="1"/>
        <v>1.95E-06</v>
      </c>
      <c r="H25" s="71">
        <f t="shared" si="0"/>
        <v>1.95E-08</v>
      </c>
      <c r="I25" s="29" t="s">
        <v>109</v>
      </c>
      <c r="J25" s="71">
        <v>6.8E-06</v>
      </c>
      <c r="K25" s="71">
        <f t="shared" si="2"/>
        <v>6.8E-08</v>
      </c>
      <c r="L25" s="71">
        <f t="shared" si="3"/>
        <v>3.4E-06</v>
      </c>
      <c r="M25" s="71">
        <f t="shared" si="2"/>
        <v>3.4E-08</v>
      </c>
      <c r="N25" s="29" t="s">
        <v>109</v>
      </c>
      <c r="O25" s="71">
        <v>4E-06</v>
      </c>
      <c r="P25" s="71">
        <f t="shared" si="4"/>
        <v>4E-08</v>
      </c>
      <c r="Q25" s="71">
        <f t="shared" si="5"/>
        <v>2E-06</v>
      </c>
      <c r="R25" s="71">
        <f t="shared" si="4"/>
        <v>2E-08</v>
      </c>
      <c r="S25" s="29" t="s">
        <v>109</v>
      </c>
      <c r="T25" s="71">
        <v>3.1E-06</v>
      </c>
      <c r="U25" s="71">
        <f t="shared" si="6"/>
        <v>3.1E-08</v>
      </c>
      <c r="V25" s="71">
        <f t="shared" si="7"/>
        <v>1.55E-06</v>
      </c>
      <c r="W25" s="71">
        <f t="shared" si="6"/>
        <v>1.55E-08</v>
      </c>
    </row>
    <row r="26" spans="1:23" ht="12.75">
      <c r="A26" s="27"/>
      <c r="B26" s="27" t="s">
        <v>43</v>
      </c>
      <c r="C26" s="29">
        <v>0.01</v>
      </c>
      <c r="D26" s="29" t="s">
        <v>109</v>
      </c>
      <c r="E26" s="71">
        <v>4.8E-06</v>
      </c>
      <c r="F26" s="71">
        <f t="shared" si="0"/>
        <v>4.8E-08</v>
      </c>
      <c r="G26" s="71">
        <f t="shared" si="1"/>
        <v>2.4E-06</v>
      </c>
      <c r="H26" s="71">
        <f t="shared" si="0"/>
        <v>2.4E-08</v>
      </c>
      <c r="I26" s="29" t="s">
        <v>109</v>
      </c>
      <c r="J26" s="71">
        <v>9.1E-06</v>
      </c>
      <c r="K26" s="71">
        <f t="shared" si="2"/>
        <v>9.1E-08</v>
      </c>
      <c r="L26" s="71">
        <f t="shared" si="3"/>
        <v>4.55E-06</v>
      </c>
      <c r="M26" s="71">
        <f t="shared" si="2"/>
        <v>4.55E-08</v>
      </c>
      <c r="N26" s="29" t="s">
        <v>109</v>
      </c>
      <c r="O26" s="71">
        <v>5.5E-06</v>
      </c>
      <c r="P26" s="71">
        <f t="shared" si="4"/>
        <v>5.5E-08</v>
      </c>
      <c r="Q26" s="71">
        <f t="shared" si="5"/>
        <v>2.75E-06</v>
      </c>
      <c r="R26" s="71">
        <f t="shared" si="4"/>
        <v>2.75E-08</v>
      </c>
      <c r="S26" s="29" t="s">
        <v>109</v>
      </c>
      <c r="T26" s="71">
        <v>4.1E-06</v>
      </c>
      <c r="U26" s="71">
        <f t="shared" si="6"/>
        <v>4.0999999999999997E-08</v>
      </c>
      <c r="V26" s="71">
        <f t="shared" si="7"/>
        <v>2.05E-06</v>
      </c>
      <c r="W26" s="71">
        <f t="shared" si="6"/>
        <v>2.0499999999999998E-08</v>
      </c>
    </row>
    <row r="27" spans="1:23" ht="12.75">
      <c r="A27" s="27"/>
      <c r="B27" s="27" t="s">
        <v>44</v>
      </c>
      <c r="C27" s="29">
        <v>0.001</v>
      </c>
      <c r="D27" s="29" t="s">
        <v>109</v>
      </c>
      <c r="E27" s="71">
        <v>7.9E-06</v>
      </c>
      <c r="F27" s="71">
        <f t="shared" si="0"/>
        <v>7.900000000000001E-09</v>
      </c>
      <c r="G27" s="71">
        <f t="shared" si="1"/>
        <v>3.95E-06</v>
      </c>
      <c r="H27" s="71">
        <f t="shared" si="0"/>
        <v>3.950000000000001E-09</v>
      </c>
      <c r="I27" s="29" t="s">
        <v>109</v>
      </c>
      <c r="J27" s="71">
        <v>8.9E-06</v>
      </c>
      <c r="K27" s="71">
        <f t="shared" si="2"/>
        <v>8.9E-09</v>
      </c>
      <c r="L27" s="71">
        <f t="shared" si="3"/>
        <v>4.45E-06</v>
      </c>
      <c r="M27" s="71">
        <f t="shared" si="2"/>
        <v>4.45E-09</v>
      </c>
      <c r="N27" s="29" t="s">
        <v>109</v>
      </c>
      <c r="O27" s="71">
        <v>9.5E-06</v>
      </c>
      <c r="P27" s="71">
        <f t="shared" si="4"/>
        <v>9.5E-09</v>
      </c>
      <c r="Q27" s="71">
        <f t="shared" si="5"/>
        <v>4.75E-06</v>
      </c>
      <c r="R27" s="71">
        <f t="shared" si="4"/>
        <v>4.75E-09</v>
      </c>
      <c r="S27" s="29" t="s">
        <v>109</v>
      </c>
      <c r="T27" s="71">
        <v>8.2E-06</v>
      </c>
      <c r="U27" s="71">
        <f t="shared" si="6"/>
        <v>8.199999999999999E-09</v>
      </c>
      <c r="V27" s="71">
        <f t="shared" si="7"/>
        <v>4.1E-06</v>
      </c>
      <c r="W27" s="71">
        <f t="shared" si="6"/>
        <v>4.0999999999999995E-09</v>
      </c>
    </row>
    <row r="28" spans="1:23" ht="12.75">
      <c r="A28" s="27"/>
      <c r="B28" s="27" t="s">
        <v>99</v>
      </c>
      <c r="C28" s="29">
        <v>0</v>
      </c>
      <c r="D28" s="29" t="s">
        <v>109</v>
      </c>
      <c r="E28" s="71">
        <v>6E-06</v>
      </c>
      <c r="F28" s="71">
        <f t="shared" si="0"/>
        <v>0</v>
      </c>
      <c r="G28" s="71">
        <f t="shared" si="1"/>
        <v>3E-06</v>
      </c>
      <c r="H28" s="71">
        <f t="shared" si="0"/>
        <v>0</v>
      </c>
      <c r="I28" s="29" t="s">
        <v>109</v>
      </c>
      <c r="J28" s="71">
        <v>6.8E-06</v>
      </c>
      <c r="K28" s="71">
        <f t="shared" si="2"/>
        <v>0</v>
      </c>
      <c r="L28" s="71">
        <f t="shared" si="3"/>
        <v>3.4E-06</v>
      </c>
      <c r="M28" s="71">
        <f t="shared" si="2"/>
        <v>0</v>
      </c>
      <c r="N28" s="29" t="s">
        <v>109</v>
      </c>
      <c r="O28" s="71">
        <v>4.7E-06</v>
      </c>
      <c r="P28" s="71">
        <f t="shared" si="4"/>
        <v>0</v>
      </c>
      <c r="Q28" s="71">
        <f t="shared" si="5"/>
        <v>2.35E-06</v>
      </c>
      <c r="R28" s="71">
        <f t="shared" si="4"/>
        <v>0</v>
      </c>
      <c r="S28" s="29" t="s">
        <v>109</v>
      </c>
      <c r="T28" s="71">
        <v>4.1E-06</v>
      </c>
      <c r="U28" s="71">
        <f t="shared" si="6"/>
        <v>0</v>
      </c>
      <c r="V28" s="71">
        <f t="shared" si="7"/>
        <v>2.05E-06</v>
      </c>
      <c r="W28" s="71">
        <f t="shared" si="6"/>
        <v>0</v>
      </c>
    </row>
    <row r="29" spans="1:23" ht="12.75">
      <c r="A29" s="27"/>
      <c r="B29" s="27" t="s">
        <v>100</v>
      </c>
      <c r="C29" s="29">
        <v>0</v>
      </c>
      <c r="D29" s="29" t="s">
        <v>109</v>
      </c>
      <c r="E29" s="71">
        <v>9.9E-06</v>
      </c>
      <c r="F29" s="71">
        <f t="shared" si="0"/>
        <v>0</v>
      </c>
      <c r="G29" s="71">
        <f t="shared" si="1"/>
        <v>4.95E-06</v>
      </c>
      <c r="H29" s="71">
        <f t="shared" si="0"/>
        <v>0</v>
      </c>
      <c r="I29" s="29" t="s">
        <v>109</v>
      </c>
      <c r="J29" s="71">
        <v>1.6E-05</v>
      </c>
      <c r="K29" s="71">
        <f t="shared" si="2"/>
        <v>0</v>
      </c>
      <c r="L29" s="71">
        <f t="shared" si="3"/>
        <v>8E-06</v>
      </c>
      <c r="M29" s="71">
        <f t="shared" si="2"/>
        <v>0</v>
      </c>
      <c r="N29" s="29" t="s">
        <v>109</v>
      </c>
      <c r="O29" s="71">
        <v>1.5E-05</v>
      </c>
      <c r="P29" s="71">
        <f t="shared" si="4"/>
        <v>0</v>
      </c>
      <c r="Q29" s="71">
        <f t="shared" si="5"/>
        <v>7.5E-06</v>
      </c>
      <c r="R29" s="71">
        <f t="shared" si="4"/>
        <v>0</v>
      </c>
      <c r="S29" s="29" t="s">
        <v>109</v>
      </c>
      <c r="T29" s="71">
        <v>1.2E-05</v>
      </c>
      <c r="U29" s="71">
        <f t="shared" si="6"/>
        <v>0</v>
      </c>
      <c r="V29" s="71">
        <f t="shared" si="7"/>
        <v>6E-06</v>
      </c>
      <c r="W29" s="71">
        <f t="shared" si="6"/>
        <v>0</v>
      </c>
    </row>
    <row r="30" spans="1:23" ht="12.75">
      <c r="A30" s="27"/>
      <c r="B30" s="27" t="s">
        <v>101</v>
      </c>
      <c r="C30" s="29">
        <v>0</v>
      </c>
      <c r="D30" s="29" t="s">
        <v>109</v>
      </c>
      <c r="E30" s="71">
        <v>1.4E-05</v>
      </c>
      <c r="F30" s="71">
        <f t="shared" si="0"/>
        <v>0</v>
      </c>
      <c r="G30" s="71">
        <f t="shared" si="1"/>
        <v>7E-06</v>
      </c>
      <c r="H30" s="71">
        <f t="shared" si="0"/>
        <v>0</v>
      </c>
      <c r="I30" s="29" t="s">
        <v>109</v>
      </c>
      <c r="J30" s="71">
        <v>2E-05</v>
      </c>
      <c r="K30" s="71">
        <f t="shared" si="2"/>
        <v>0</v>
      </c>
      <c r="L30" s="71">
        <f t="shared" si="3"/>
        <v>1E-05</v>
      </c>
      <c r="M30" s="71">
        <f t="shared" si="2"/>
        <v>0</v>
      </c>
      <c r="N30" s="29" t="s">
        <v>109</v>
      </c>
      <c r="O30" s="71">
        <v>2.1E-05</v>
      </c>
      <c r="P30" s="71">
        <f t="shared" si="4"/>
        <v>0</v>
      </c>
      <c r="Q30" s="71">
        <f t="shared" si="5"/>
        <v>1.05E-05</v>
      </c>
      <c r="R30" s="71">
        <f t="shared" si="4"/>
        <v>0</v>
      </c>
      <c r="S30" s="29" t="s">
        <v>109</v>
      </c>
      <c r="T30" s="71">
        <v>1.5E-05</v>
      </c>
      <c r="U30" s="71">
        <f t="shared" si="6"/>
        <v>0</v>
      </c>
      <c r="V30" s="71">
        <f t="shared" si="7"/>
        <v>7.5E-06</v>
      </c>
      <c r="W30" s="71">
        <f t="shared" si="6"/>
        <v>0</v>
      </c>
    </row>
    <row r="31" spans="1:23" ht="12.75">
      <c r="A31" s="27"/>
      <c r="B31" s="27" t="s">
        <v>102</v>
      </c>
      <c r="C31" s="29">
        <v>0</v>
      </c>
      <c r="D31" s="29" t="s">
        <v>109</v>
      </c>
      <c r="E31" s="71">
        <v>5.6E-06</v>
      </c>
      <c r="F31" s="71">
        <f t="shared" si="0"/>
        <v>0</v>
      </c>
      <c r="G31" s="71">
        <f t="shared" si="1"/>
        <v>2.8E-06</v>
      </c>
      <c r="H31" s="71">
        <f t="shared" si="0"/>
        <v>0</v>
      </c>
      <c r="I31" s="29" t="s">
        <v>109</v>
      </c>
      <c r="J31" s="71">
        <v>7E-06</v>
      </c>
      <c r="K31" s="71">
        <f t="shared" si="2"/>
        <v>0</v>
      </c>
      <c r="L31" s="71">
        <f t="shared" si="3"/>
        <v>3.5E-06</v>
      </c>
      <c r="M31" s="71">
        <f t="shared" si="2"/>
        <v>0</v>
      </c>
      <c r="N31" s="29" t="s">
        <v>109</v>
      </c>
      <c r="O31" s="71">
        <v>5.9E-06</v>
      </c>
      <c r="P31" s="71">
        <f t="shared" si="4"/>
        <v>0</v>
      </c>
      <c r="Q31" s="71">
        <f t="shared" si="5"/>
        <v>2.95E-06</v>
      </c>
      <c r="R31" s="71">
        <f t="shared" si="4"/>
        <v>0</v>
      </c>
      <c r="S31" s="29" t="s">
        <v>109</v>
      </c>
      <c r="T31" s="71">
        <v>5.8E-06</v>
      </c>
      <c r="U31" s="71">
        <f t="shared" si="6"/>
        <v>0</v>
      </c>
      <c r="V31" s="71">
        <f t="shared" si="7"/>
        <v>2.9E-06</v>
      </c>
      <c r="W31" s="71">
        <f t="shared" si="6"/>
        <v>0</v>
      </c>
    </row>
    <row r="32" spans="1:23" ht="12.75">
      <c r="A32" s="27"/>
      <c r="B32" s="27" t="s">
        <v>103</v>
      </c>
      <c r="C32" s="29">
        <v>0</v>
      </c>
      <c r="D32" s="29" t="s">
        <v>109</v>
      </c>
      <c r="E32" s="71">
        <v>9.7E-06</v>
      </c>
      <c r="F32" s="71">
        <f t="shared" si="0"/>
        <v>0</v>
      </c>
      <c r="G32" s="71">
        <f t="shared" si="1"/>
        <v>4.85E-06</v>
      </c>
      <c r="H32" s="71">
        <f t="shared" si="0"/>
        <v>0</v>
      </c>
      <c r="I32" s="29" t="s">
        <v>109</v>
      </c>
      <c r="J32" s="71">
        <v>1.1E-05</v>
      </c>
      <c r="K32" s="71">
        <f t="shared" si="2"/>
        <v>0</v>
      </c>
      <c r="L32" s="71">
        <f t="shared" si="3"/>
        <v>5.5E-06</v>
      </c>
      <c r="M32" s="71">
        <f t="shared" si="2"/>
        <v>0</v>
      </c>
      <c r="N32" s="29" t="s">
        <v>109</v>
      </c>
      <c r="O32" s="71">
        <v>4E-06</v>
      </c>
      <c r="P32" s="71">
        <f t="shared" si="4"/>
        <v>0</v>
      </c>
      <c r="Q32" s="71">
        <f t="shared" si="5"/>
        <v>2E-06</v>
      </c>
      <c r="R32" s="71">
        <f t="shared" si="4"/>
        <v>0</v>
      </c>
      <c r="S32" s="29" t="s">
        <v>109</v>
      </c>
      <c r="T32" s="71">
        <v>3.3E-06</v>
      </c>
      <c r="U32" s="71">
        <f t="shared" si="6"/>
        <v>0</v>
      </c>
      <c r="V32" s="71">
        <f t="shared" si="7"/>
        <v>1.65E-06</v>
      </c>
      <c r="W32" s="71">
        <f t="shared" si="6"/>
        <v>0</v>
      </c>
    </row>
    <row r="33" spans="1:23" ht="12.75">
      <c r="A33" s="27"/>
      <c r="B33" s="27" t="s">
        <v>104</v>
      </c>
      <c r="C33" s="29">
        <v>0</v>
      </c>
      <c r="D33" s="29" t="s">
        <v>109</v>
      </c>
      <c r="E33" s="71">
        <v>9.9E-06</v>
      </c>
      <c r="F33" s="71">
        <f t="shared" si="0"/>
        <v>0</v>
      </c>
      <c r="G33" s="71">
        <f t="shared" si="1"/>
        <v>4.95E-06</v>
      </c>
      <c r="H33" s="71">
        <f t="shared" si="0"/>
        <v>0</v>
      </c>
      <c r="I33" s="29" t="s">
        <v>109</v>
      </c>
      <c r="J33" s="71">
        <v>7.8E-06</v>
      </c>
      <c r="K33" s="71">
        <f t="shared" si="2"/>
        <v>0</v>
      </c>
      <c r="L33" s="71">
        <f t="shared" si="3"/>
        <v>3.9E-06</v>
      </c>
      <c r="M33" s="71">
        <f t="shared" si="2"/>
        <v>0</v>
      </c>
      <c r="N33" s="29" t="s">
        <v>109</v>
      </c>
      <c r="O33" s="71">
        <v>8.3E-06</v>
      </c>
      <c r="P33" s="71">
        <f t="shared" si="4"/>
        <v>0</v>
      </c>
      <c r="Q33" s="71">
        <f t="shared" si="5"/>
        <v>4.15E-06</v>
      </c>
      <c r="R33" s="71">
        <f t="shared" si="4"/>
        <v>0</v>
      </c>
      <c r="S33" s="29" t="s">
        <v>109</v>
      </c>
      <c r="T33" s="71">
        <v>8.2E-06</v>
      </c>
      <c r="U33" s="71">
        <f t="shared" si="6"/>
        <v>0</v>
      </c>
      <c r="V33" s="71">
        <f t="shared" si="7"/>
        <v>4.1E-06</v>
      </c>
      <c r="W33" s="71">
        <f t="shared" si="6"/>
        <v>0</v>
      </c>
    </row>
    <row r="34" spans="1:23" ht="12.75">
      <c r="A34" s="27"/>
      <c r="B34" s="27" t="s">
        <v>105</v>
      </c>
      <c r="C34" s="29">
        <v>0</v>
      </c>
      <c r="D34" s="29" t="s">
        <v>109</v>
      </c>
      <c r="E34" s="71">
        <v>1.6E-05</v>
      </c>
      <c r="F34" s="71">
        <f t="shared" si="0"/>
        <v>0</v>
      </c>
      <c r="G34" s="71">
        <f t="shared" si="1"/>
        <v>8E-06</v>
      </c>
      <c r="H34" s="71">
        <f t="shared" si="0"/>
        <v>0</v>
      </c>
      <c r="I34" s="29" t="s">
        <v>109</v>
      </c>
      <c r="J34" s="71">
        <v>2.1E-05</v>
      </c>
      <c r="K34" s="71">
        <f t="shared" si="2"/>
        <v>0</v>
      </c>
      <c r="L34" s="71">
        <f t="shared" si="3"/>
        <v>1.05E-05</v>
      </c>
      <c r="M34" s="71">
        <f t="shared" si="2"/>
        <v>0</v>
      </c>
      <c r="N34" s="29" t="s">
        <v>109</v>
      </c>
      <c r="O34" s="71">
        <v>9.5E-06</v>
      </c>
      <c r="P34" s="71">
        <f t="shared" si="4"/>
        <v>0</v>
      </c>
      <c r="Q34" s="71">
        <f t="shared" si="5"/>
        <v>4.75E-06</v>
      </c>
      <c r="R34" s="71">
        <f t="shared" si="4"/>
        <v>0</v>
      </c>
      <c r="S34" s="29" t="s">
        <v>109</v>
      </c>
      <c r="T34" s="71">
        <v>6.8E-06</v>
      </c>
      <c r="U34" s="71">
        <f t="shared" si="6"/>
        <v>0</v>
      </c>
      <c r="V34" s="71">
        <f t="shared" si="7"/>
        <v>3.4E-06</v>
      </c>
      <c r="W34" s="71">
        <f t="shared" si="6"/>
        <v>0</v>
      </c>
    </row>
    <row r="35" spans="1:23" ht="12.75">
      <c r="A35" s="27"/>
      <c r="B35" s="27" t="s">
        <v>106</v>
      </c>
      <c r="C35" s="29">
        <v>0</v>
      </c>
      <c r="D35" s="29" t="s">
        <v>109</v>
      </c>
      <c r="E35" s="71">
        <v>4.8E-06</v>
      </c>
      <c r="F35" s="71">
        <f t="shared" si="0"/>
        <v>0</v>
      </c>
      <c r="G35" s="71">
        <f t="shared" si="1"/>
        <v>2.4E-06</v>
      </c>
      <c r="H35" s="71">
        <f t="shared" si="0"/>
        <v>0</v>
      </c>
      <c r="I35" s="29" t="s">
        <v>109</v>
      </c>
      <c r="J35" s="71">
        <v>9.1E-06</v>
      </c>
      <c r="K35" s="71">
        <f t="shared" si="2"/>
        <v>0</v>
      </c>
      <c r="L35" s="71">
        <f t="shared" si="3"/>
        <v>4.55E-06</v>
      </c>
      <c r="M35" s="71">
        <f t="shared" si="2"/>
        <v>0</v>
      </c>
      <c r="N35" s="29" t="s">
        <v>109</v>
      </c>
      <c r="O35" s="71">
        <v>5.5E-06</v>
      </c>
      <c r="P35" s="71">
        <f t="shared" si="4"/>
        <v>0</v>
      </c>
      <c r="Q35" s="71">
        <f t="shared" si="5"/>
        <v>2.75E-06</v>
      </c>
      <c r="R35" s="71">
        <f t="shared" si="4"/>
        <v>0</v>
      </c>
      <c r="S35" s="29" t="s">
        <v>109</v>
      </c>
      <c r="T35" s="71">
        <v>4.1E-06</v>
      </c>
      <c r="U35" s="71">
        <f t="shared" si="6"/>
        <v>0</v>
      </c>
      <c r="V35" s="71">
        <f t="shared" si="7"/>
        <v>2.05E-06</v>
      </c>
      <c r="W35" s="71">
        <f t="shared" si="6"/>
        <v>0</v>
      </c>
    </row>
    <row r="36" spans="1:23" ht="12.75">
      <c r="A36" s="27"/>
      <c r="B36" s="27"/>
      <c r="C36" s="27"/>
      <c r="D36" s="27"/>
      <c r="E36" s="33"/>
      <c r="F36" s="36"/>
      <c r="G36" s="33"/>
      <c r="H36" s="36"/>
      <c r="I36" s="33"/>
      <c r="J36" s="33"/>
      <c r="K36" s="36"/>
      <c r="L36" s="33"/>
      <c r="M36" s="36"/>
      <c r="N36" s="33"/>
      <c r="O36" s="33"/>
      <c r="P36" s="36"/>
      <c r="Q36" s="33"/>
      <c r="R36" s="36"/>
      <c r="S36" s="33"/>
      <c r="T36" s="33"/>
      <c r="U36" s="36"/>
      <c r="V36" s="33"/>
      <c r="W36" s="36"/>
    </row>
    <row r="37" spans="1:23" ht="12.75">
      <c r="A37" s="27"/>
      <c r="B37" s="27" t="s">
        <v>45</v>
      </c>
      <c r="C37" s="27"/>
      <c r="D37" s="27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ht="12.75">
      <c r="A38" s="27"/>
      <c r="B38" s="27" t="s">
        <v>62</v>
      </c>
      <c r="C38" s="27"/>
      <c r="D38" s="27"/>
      <c r="E38" s="33"/>
      <c r="F38" s="33">
        <v>9.8</v>
      </c>
      <c r="G38" s="33">
        <v>9.8</v>
      </c>
      <c r="H38" s="33">
        <v>9.8</v>
      </c>
      <c r="I38" s="33"/>
      <c r="J38" s="33"/>
      <c r="K38" s="33">
        <v>8.9</v>
      </c>
      <c r="L38" s="33">
        <v>8.9</v>
      </c>
      <c r="M38" s="33">
        <v>8.9</v>
      </c>
      <c r="N38" s="33"/>
      <c r="O38" s="33"/>
      <c r="P38" s="33">
        <v>9.3</v>
      </c>
      <c r="Q38" s="33">
        <v>9.3</v>
      </c>
      <c r="R38" s="33">
        <v>9.3</v>
      </c>
      <c r="S38" s="33"/>
      <c r="T38" s="33"/>
      <c r="U38" s="33">
        <v>9.1</v>
      </c>
      <c r="V38" s="33">
        <v>9.1</v>
      </c>
      <c r="W38" s="33">
        <v>9.1</v>
      </c>
    </row>
    <row r="39" spans="1:23" ht="12.75">
      <c r="A39" s="27"/>
      <c r="B39" s="27"/>
      <c r="C39" s="27"/>
      <c r="D39" s="27"/>
      <c r="E39" s="33"/>
      <c r="F39" s="13"/>
      <c r="G39" s="33"/>
      <c r="H39" s="13"/>
      <c r="I39" s="13"/>
      <c r="J39" s="33"/>
      <c r="K39" s="13"/>
      <c r="L39" s="33"/>
      <c r="M39" s="13"/>
      <c r="N39" s="13"/>
      <c r="O39" s="33"/>
      <c r="P39" s="13"/>
      <c r="Q39" s="33"/>
      <c r="R39" s="13"/>
      <c r="S39" s="13"/>
      <c r="T39" s="33"/>
      <c r="U39" s="13"/>
      <c r="V39" s="33"/>
      <c r="W39" s="13"/>
    </row>
    <row r="40" spans="1:23" ht="12.75">
      <c r="A40" s="27"/>
      <c r="B40" s="27" t="s">
        <v>198</v>
      </c>
      <c r="C40" s="36"/>
      <c r="D40" s="36"/>
      <c r="E40" s="30"/>
      <c r="F40" s="32">
        <f>SUM(F11:F27)*1000</f>
        <v>0.02683890000000001</v>
      </c>
      <c r="G40" s="32">
        <f>SUM(G27,G35,G34,G33,G32,G17,G31,G30,G29,G28)*1000</f>
        <v>0.0484</v>
      </c>
      <c r="H40" s="32">
        <f>SUM(H11:H27)*1000</f>
        <v>0.013419450000000005</v>
      </c>
      <c r="I40" s="32"/>
      <c r="J40" s="32"/>
      <c r="K40" s="32">
        <f>SUM(K11:K27)*1000</f>
        <v>0.032930900000000006</v>
      </c>
      <c r="L40" s="32">
        <f>SUM(L27,L35,L34,L33,L32,L17,L31,L30,L29,L28)*1000</f>
        <v>0.06029999999999999</v>
      </c>
      <c r="M40" s="32">
        <f>SUM(M11:M27)*1000</f>
        <v>0.016465450000000003</v>
      </c>
      <c r="N40" s="32"/>
      <c r="O40" s="32"/>
      <c r="P40" s="32">
        <f>SUM(P11:P27)*1000</f>
        <v>0.0266316</v>
      </c>
      <c r="Q40" s="32">
        <f>SUM(Q27,Q35,Q34,Q33,Q32,Q17,Q31,Q30,Q29,Q28)*1000</f>
        <v>0.04575</v>
      </c>
      <c r="R40" s="32">
        <f>SUM(R11:R27)*1000</f>
        <v>0.0133158</v>
      </c>
      <c r="S40" s="32"/>
      <c r="T40" s="32"/>
      <c r="U40" s="32">
        <f>SUM(U11:U27)*1000</f>
        <v>0.021918100000000003</v>
      </c>
      <c r="V40" s="32">
        <f>SUM(V27,V35,V34,V33,V32,V17,V31,V30,V29,V28)*1000</f>
        <v>0.0387</v>
      </c>
      <c r="W40" s="32">
        <f>SUM(W11:W27)*1000</f>
        <v>0.010959050000000001</v>
      </c>
    </row>
    <row r="41" spans="1:23" ht="12.75">
      <c r="A41" s="27"/>
      <c r="B41" s="27" t="s">
        <v>46</v>
      </c>
      <c r="C41" s="36"/>
      <c r="D41" s="30">
        <f>(F41-H41)*2/F41*100</f>
        <v>100</v>
      </c>
      <c r="E41" s="33"/>
      <c r="F41" s="32">
        <f>SUM(F12:F28)*1000</f>
        <v>0.020838900000000004</v>
      </c>
      <c r="G41" s="32">
        <f>(G40*(21-7)/(21-G38))</f>
        <v>0.060500000000000005</v>
      </c>
      <c r="H41" s="32">
        <f>SUM(H12:H28)*1000</f>
        <v>0.010419450000000002</v>
      </c>
      <c r="I41" s="30">
        <f>(K41-M41)*2/K41*100</f>
        <v>100</v>
      </c>
      <c r="J41" s="32"/>
      <c r="K41" s="32">
        <f>SUM(K12:K28)*1000</f>
        <v>0.0261309</v>
      </c>
      <c r="L41" s="32">
        <f>(L40*(21-7)/(21-L38))</f>
        <v>0.06976859504132231</v>
      </c>
      <c r="M41" s="32">
        <f>SUM(M12:M28)*1000</f>
        <v>0.01306545</v>
      </c>
      <c r="N41" s="30">
        <f>(P41-R41)*2/P41*100</f>
        <v>100</v>
      </c>
      <c r="O41" s="32"/>
      <c r="P41" s="32">
        <f>SUM(P12:P28)*1000</f>
        <v>0.0219316</v>
      </c>
      <c r="Q41" s="32">
        <f>(Q40*(21-7)/(21-Q38))</f>
        <v>0.05474358974358974</v>
      </c>
      <c r="R41" s="32">
        <f>SUM(R12:R28)*1000</f>
        <v>0.0109658</v>
      </c>
      <c r="S41" s="30">
        <f>(U41-W41)*2/U41*100</f>
        <v>100</v>
      </c>
      <c r="T41" s="32"/>
      <c r="U41" s="32">
        <f>SUM(U12:U28)*1000</f>
        <v>0.017818100000000003</v>
      </c>
      <c r="V41" s="32">
        <f>(V40*(21-7)/(21-V38))</f>
        <v>0.045529411764705874</v>
      </c>
      <c r="W41" s="32">
        <f>SUM(W12:W28)*1000</f>
        <v>0.008909050000000002</v>
      </c>
    </row>
    <row r="42" spans="1:18" ht="9" customHeight="1">
      <c r="A42" s="27"/>
      <c r="B42" s="27"/>
      <c r="C42" s="27"/>
      <c r="D42" s="27"/>
      <c r="E42" s="32"/>
      <c r="F42" s="36"/>
      <c r="G42" s="32"/>
      <c r="H42" s="36"/>
      <c r="I42" s="32"/>
      <c r="J42" s="32"/>
      <c r="K42" s="32"/>
      <c r="L42" s="32"/>
      <c r="M42" s="32"/>
      <c r="N42" s="32"/>
      <c r="O42" s="32"/>
      <c r="P42" s="35"/>
      <c r="Q42" s="32"/>
      <c r="R42" s="35"/>
    </row>
    <row r="43" spans="1:18" ht="12.75">
      <c r="A43" s="33"/>
      <c r="B43" s="27" t="s">
        <v>63</v>
      </c>
      <c r="C43" s="32">
        <f>AVERAGE(H41,M41,R41,W41)</f>
        <v>0.0108399375</v>
      </c>
      <c r="D43" s="33"/>
      <c r="E43" s="33"/>
      <c r="F43" s="36"/>
      <c r="G43" s="33"/>
      <c r="H43" s="36"/>
      <c r="I43" s="33"/>
      <c r="J43" s="33"/>
      <c r="K43" s="33"/>
      <c r="L43" s="33"/>
      <c r="M43" s="33"/>
      <c r="N43" s="33"/>
      <c r="O43" s="33"/>
      <c r="P43" s="35"/>
      <c r="Q43" s="33"/>
      <c r="R43" s="35"/>
    </row>
    <row r="44" spans="1:18" ht="12.75">
      <c r="A44" s="27"/>
      <c r="B44" s="27" t="s">
        <v>64</v>
      </c>
      <c r="C44" s="32">
        <f>AVERAGE(G41,L41,Q41,V41)</f>
        <v>0.05763539913740448</v>
      </c>
      <c r="D44" s="27"/>
      <c r="E44" s="35"/>
      <c r="F44" s="36"/>
      <c r="G44" s="35"/>
      <c r="H44" s="36"/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85" spans="1:18" ht="12.75">
      <c r="A85" s="3"/>
      <c r="B85" s="3"/>
      <c r="C85" s="3"/>
      <c r="D85" s="3"/>
      <c r="E85" s="67"/>
      <c r="G85" s="67"/>
      <c r="J85" s="67"/>
      <c r="K85" s="5"/>
      <c r="L85" s="68"/>
      <c r="M85" s="5"/>
      <c r="N85" s="67"/>
      <c r="O85" s="67"/>
      <c r="P85" s="67"/>
      <c r="Q85" s="67"/>
      <c r="R85" s="67"/>
    </row>
    <row r="86" spans="1:18" ht="12.75">
      <c r="A86" s="3"/>
      <c r="B86" s="3"/>
      <c r="C86" s="69"/>
      <c r="D86" s="69"/>
      <c r="E86" s="68"/>
      <c r="F86" s="67"/>
      <c r="G86" s="68"/>
      <c r="H86" s="67"/>
      <c r="I86" s="69"/>
      <c r="J86" s="68"/>
      <c r="K86" s="68"/>
      <c r="L86" s="68"/>
      <c r="M86" s="68"/>
      <c r="N86" s="69"/>
      <c r="O86" s="67"/>
      <c r="P86" s="69"/>
      <c r="Q86" s="69"/>
      <c r="R86" s="69"/>
    </row>
    <row r="87" spans="1:18" ht="12.75">
      <c r="A87" s="3"/>
      <c r="B87" s="3"/>
      <c r="C87" s="69"/>
      <c r="D87" s="69"/>
      <c r="E87" s="67"/>
      <c r="F87" s="69"/>
      <c r="G87" s="70"/>
      <c r="H87" s="69"/>
      <c r="I87" s="69"/>
      <c r="J87" s="67"/>
      <c r="K87" s="69"/>
      <c r="L87" s="68"/>
      <c r="M87" s="69"/>
      <c r="N87" s="69"/>
      <c r="O87" s="67"/>
      <c r="P87" s="70"/>
      <c r="Q87" s="70"/>
      <c r="R87" s="70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R33"/>
  <sheetViews>
    <sheetView workbookViewId="0" topLeftCell="C1">
      <selection activeCell="R9" sqref="R9:R10"/>
    </sheetView>
  </sheetViews>
  <sheetFormatPr defaultColWidth="9.140625" defaultRowHeight="12.75"/>
  <cols>
    <col min="1" max="1" width="7.28125" style="0" hidden="1" customWidth="1"/>
    <col min="2" max="2" width="3.00390625" style="0" hidden="1" customWidth="1"/>
    <col min="3" max="3" width="15.57421875" style="0" customWidth="1"/>
    <col min="4" max="4" width="7.00390625" style="83" customWidth="1"/>
    <col min="5" max="5" width="7.57421875" style="0" customWidth="1"/>
    <col min="7" max="7" width="7.7109375" style="60" customWidth="1"/>
    <col min="8" max="8" width="8.28125" style="60" customWidth="1"/>
    <col min="9" max="9" width="5.421875" style="0" customWidth="1"/>
    <col min="11" max="11" width="7.7109375" style="60" customWidth="1"/>
    <col min="12" max="12" width="8.28125" style="60" customWidth="1"/>
    <col min="13" max="13" width="4.7109375" style="0" customWidth="1"/>
    <col min="15" max="15" width="7.7109375" style="60" customWidth="1"/>
    <col min="16" max="16" width="8.28125" style="60" customWidth="1"/>
    <col min="17" max="17" width="5.421875" style="0" customWidth="1"/>
    <col min="19" max="19" width="7.7109375" style="60" customWidth="1"/>
    <col min="20" max="20" width="8.28125" style="60" customWidth="1"/>
  </cols>
  <sheetData>
    <row r="1" ht="12.75">
      <c r="C1" s="6" t="s">
        <v>205</v>
      </c>
    </row>
    <row r="2" spans="6:20" ht="12.75">
      <c r="F2" s="95" t="s">
        <v>212</v>
      </c>
      <c r="G2" s="95"/>
      <c r="H2" s="95"/>
      <c r="J2" s="95" t="s">
        <v>213</v>
      </c>
      <c r="K2" s="95"/>
      <c r="L2" s="95"/>
      <c r="N2" s="95" t="s">
        <v>214</v>
      </c>
      <c r="O2" s="95"/>
      <c r="P2" s="95"/>
      <c r="R2" s="95" t="s">
        <v>215</v>
      </c>
      <c r="S2" s="95"/>
      <c r="T2" s="95"/>
    </row>
    <row r="3" spans="3:20" ht="12.75">
      <c r="C3" t="s">
        <v>69</v>
      </c>
      <c r="D3" s="83" t="s">
        <v>23</v>
      </c>
      <c r="F3" s="52" t="s">
        <v>25</v>
      </c>
      <c r="G3" s="96" t="s">
        <v>25</v>
      </c>
      <c r="H3" s="96" t="s">
        <v>27</v>
      </c>
      <c r="J3" s="52" t="s">
        <v>25</v>
      </c>
      <c r="K3" s="96" t="s">
        <v>25</v>
      </c>
      <c r="L3" s="96" t="s">
        <v>27</v>
      </c>
      <c r="N3" s="52" t="s">
        <v>25</v>
      </c>
      <c r="O3" s="96" t="s">
        <v>25</v>
      </c>
      <c r="P3" s="96" t="s">
        <v>27</v>
      </c>
      <c r="R3" s="52" t="s">
        <v>25</v>
      </c>
      <c r="S3" s="96" t="s">
        <v>25</v>
      </c>
      <c r="T3" s="96" t="s">
        <v>27</v>
      </c>
    </row>
    <row r="4" spans="4:20" ht="12.75">
      <c r="D4" s="83" t="s">
        <v>223</v>
      </c>
      <c r="F4" s="52" t="s">
        <v>224</v>
      </c>
      <c r="G4" s="96" t="s">
        <v>73</v>
      </c>
      <c r="H4" s="96" t="s">
        <v>73</v>
      </c>
      <c r="J4" s="52" t="s">
        <v>224</v>
      </c>
      <c r="K4" s="96" t="s">
        <v>73</v>
      </c>
      <c r="L4" s="96" t="s">
        <v>73</v>
      </c>
      <c r="N4" s="52" t="s">
        <v>224</v>
      </c>
      <c r="O4" s="96" t="s">
        <v>73</v>
      </c>
      <c r="P4" s="96" t="s">
        <v>73</v>
      </c>
      <c r="R4" s="52" t="s">
        <v>224</v>
      </c>
      <c r="S4" s="96" t="s">
        <v>73</v>
      </c>
      <c r="T4" s="96" t="s">
        <v>73</v>
      </c>
    </row>
    <row r="5" spans="1:44" s="81" customFormat="1" ht="12.75">
      <c r="A5" s="81" t="s">
        <v>205</v>
      </c>
      <c r="B5" s="81">
        <v>1</v>
      </c>
      <c r="C5" s="81" t="s">
        <v>225</v>
      </c>
      <c r="D5" s="84">
        <v>1</v>
      </c>
      <c r="E5" s="82">
        <v>1</v>
      </c>
      <c r="F5" s="85">
        <v>0.008564</v>
      </c>
      <c r="G5" s="85">
        <f>IF(E5=1,F5/2,F5)</f>
        <v>0.004282</v>
      </c>
      <c r="H5" s="85">
        <f>G5*$D5</f>
        <v>0.004282</v>
      </c>
      <c r="I5" s="82">
        <v>1</v>
      </c>
      <c r="J5" s="85">
        <v>0.00962927</v>
      </c>
      <c r="K5" s="85">
        <f>IF(I5=1,J5/2,J5)</f>
        <v>0.004814635</v>
      </c>
      <c r="L5" s="85">
        <f>K5*$D5</f>
        <v>0.004814635</v>
      </c>
      <c r="M5" s="82">
        <v>1</v>
      </c>
      <c r="N5" s="85">
        <v>0.00910717</v>
      </c>
      <c r="O5" s="85">
        <f>IF(M5=1,N5/2,N5)</f>
        <v>0.004553585</v>
      </c>
      <c r="P5" s="85">
        <f>O5*$D5</f>
        <v>0.004553585</v>
      </c>
      <c r="Q5" s="82">
        <v>1</v>
      </c>
      <c r="R5" s="85">
        <v>0.0101922</v>
      </c>
      <c r="S5" s="85">
        <f>IF(Q5=1,R5/2,R5)</f>
        <v>0.0050961</v>
      </c>
      <c r="T5" s="85">
        <f>S5*$D5</f>
        <v>0.0050961</v>
      </c>
      <c r="U5" s="82"/>
      <c r="V5" s="85"/>
      <c r="W5" s="82"/>
      <c r="X5" s="85"/>
      <c r="Y5" s="82"/>
      <c r="Z5" s="85"/>
      <c r="AA5" s="82"/>
      <c r="AB5" s="85"/>
      <c r="AC5" s="82"/>
      <c r="AD5" s="86"/>
      <c r="AE5" s="82"/>
      <c r="AF5" s="86"/>
      <c r="AG5" s="82"/>
      <c r="AH5" s="86"/>
      <c r="AI5" s="82"/>
      <c r="AJ5" s="86"/>
      <c r="AK5" s="82"/>
      <c r="AL5" s="86"/>
      <c r="AM5" s="82"/>
      <c r="AN5" s="86"/>
      <c r="AO5" s="82"/>
      <c r="AP5" s="86"/>
      <c r="AQ5" s="82"/>
      <c r="AR5" s="86"/>
    </row>
    <row r="6" spans="1:44" s="81" customFormat="1" ht="12.75">
      <c r="A6" s="81" t="s">
        <v>205</v>
      </c>
      <c r="B6" s="81">
        <v>3</v>
      </c>
      <c r="C6" s="81" t="s">
        <v>226</v>
      </c>
      <c r="D6" s="84">
        <v>0</v>
      </c>
      <c r="E6" s="82"/>
      <c r="F6" s="85">
        <v>0.01929846153846154</v>
      </c>
      <c r="G6" s="85">
        <f aca="true" t="shared" si="0" ref="G6:G27">IF(E6=1,F6/2,F6)</f>
        <v>0.01929846153846154</v>
      </c>
      <c r="H6" s="85">
        <f aca="true" t="shared" si="1" ref="H6:H27">G6*$D6</f>
        <v>0</v>
      </c>
      <c r="I6" s="82"/>
      <c r="J6" s="85">
        <v>0.017612903225806453</v>
      </c>
      <c r="K6" s="85">
        <f aca="true" t="shared" si="2" ref="K6:K27">IF(I6=1,J6/2,J6)</f>
        <v>0.017612903225806453</v>
      </c>
      <c r="L6" s="85">
        <f aca="true" t="shared" si="3" ref="L6:L27">K6*$D6</f>
        <v>0</v>
      </c>
      <c r="M6" s="82"/>
      <c r="N6" s="85">
        <v>0.025630769230769228</v>
      </c>
      <c r="O6" s="85">
        <f aca="true" t="shared" si="4" ref="O6:O27">IF(M6=1,N6/2,N6)</f>
        <v>0.025630769230769228</v>
      </c>
      <c r="P6" s="85">
        <f aca="true" t="shared" si="5" ref="P6:P27">O6*$D6</f>
        <v>0</v>
      </c>
      <c r="Q6" s="82"/>
      <c r="R6" s="85">
        <v>0.01076764705882353</v>
      </c>
      <c r="S6" s="85">
        <f aca="true" t="shared" si="6" ref="S6:S27">IF(Q6=1,R6/2,R6)</f>
        <v>0.01076764705882353</v>
      </c>
      <c r="T6" s="85">
        <f aca="true" t="shared" si="7" ref="T6:T27">S6*$D6</f>
        <v>0</v>
      </c>
      <c r="U6" s="82"/>
      <c r="V6" s="85"/>
      <c r="W6" s="82"/>
      <c r="X6" s="85"/>
      <c r="Y6" s="82"/>
      <c r="Z6" s="85"/>
      <c r="AA6" s="82"/>
      <c r="AB6" s="85"/>
      <c r="AC6" s="82"/>
      <c r="AD6" s="86"/>
      <c r="AE6" s="82"/>
      <c r="AF6" s="86"/>
      <c r="AG6" s="82"/>
      <c r="AH6" s="86"/>
      <c r="AI6" s="82"/>
      <c r="AJ6" s="86"/>
      <c r="AK6" s="82"/>
      <c r="AL6" s="86"/>
      <c r="AM6" s="82"/>
      <c r="AN6" s="86"/>
      <c r="AO6" s="82"/>
      <c r="AP6" s="86"/>
      <c r="AQ6" s="82"/>
      <c r="AR6" s="86"/>
    </row>
    <row r="7" spans="1:44" s="81" customFormat="1" ht="12.75">
      <c r="A7" s="81" t="s">
        <v>205</v>
      </c>
      <c r="B7" s="81">
        <v>4</v>
      </c>
      <c r="C7" s="81" t="s">
        <v>227</v>
      </c>
      <c r="D7" s="84">
        <v>0.5</v>
      </c>
      <c r="E7" s="82">
        <v>1</v>
      </c>
      <c r="F7" s="85">
        <v>0.04282</v>
      </c>
      <c r="G7" s="85">
        <f t="shared" si="0"/>
        <v>0.02141</v>
      </c>
      <c r="H7" s="85">
        <f t="shared" si="1"/>
        <v>0.010705</v>
      </c>
      <c r="I7" s="82">
        <v>1</v>
      </c>
      <c r="J7" s="85">
        <v>0.04814636</v>
      </c>
      <c r="K7" s="85">
        <f t="shared" si="2"/>
        <v>0.02407318</v>
      </c>
      <c r="L7" s="85">
        <f t="shared" si="3"/>
        <v>0.01203659</v>
      </c>
      <c r="M7" s="82">
        <v>1</v>
      </c>
      <c r="N7" s="85">
        <v>0.04553586</v>
      </c>
      <c r="O7" s="85">
        <f t="shared" si="4"/>
        <v>0.02276793</v>
      </c>
      <c r="P7" s="85">
        <f t="shared" si="5"/>
        <v>0.011383965</v>
      </c>
      <c r="Q7" s="82">
        <v>1</v>
      </c>
      <c r="R7" s="85">
        <v>0.05096098</v>
      </c>
      <c r="S7" s="85">
        <f t="shared" si="6"/>
        <v>0.02548049</v>
      </c>
      <c r="T7" s="85">
        <f t="shared" si="7"/>
        <v>0.012740245</v>
      </c>
      <c r="U7" s="82"/>
      <c r="V7" s="85"/>
      <c r="W7" s="82"/>
      <c r="X7" s="85"/>
      <c r="Y7" s="82"/>
      <c r="Z7" s="85"/>
      <c r="AA7" s="82"/>
      <c r="AB7" s="85"/>
      <c r="AC7" s="82"/>
      <c r="AD7" s="86"/>
      <c r="AE7" s="82"/>
      <c r="AF7" s="86"/>
      <c r="AG7" s="82"/>
      <c r="AH7" s="86"/>
      <c r="AI7" s="82"/>
      <c r="AJ7" s="86"/>
      <c r="AK7" s="82"/>
      <c r="AL7" s="86"/>
      <c r="AM7" s="82"/>
      <c r="AN7" s="86"/>
      <c r="AO7" s="82"/>
      <c r="AP7" s="86"/>
      <c r="AQ7" s="82"/>
      <c r="AR7" s="86"/>
    </row>
    <row r="8" spans="1:44" s="81" customFormat="1" ht="12.75">
      <c r="A8" s="81" t="s">
        <v>205</v>
      </c>
      <c r="B8" s="81">
        <v>7</v>
      </c>
      <c r="C8" s="81" t="s">
        <v>228</v>
      </c>
      <c r="D8" s="84">
        <v>0.1</v>
      </c>
      <c r="E8" s="82">
        <v>1</v>
      </c>
      <c r="F8" s="85">
        <v>0.04282</v>
      </c>
      <c r="G8" s="85">
        <f t="shared" si="0"/>
        <v>0.02141</v>
      </c>
      <c r="H8" s="85">
        <f t="shared" si="1"/>
        <v>0.002141</v>
      </c>
      <c r="I8" s="82">
        <v>1</v>
      </c>
      <c r="J8" s="85">
        <v>0.04814636</v>
      </c>
      <c r="K8" s="85">
        <f t="shared" si="2"/>
        <v>0.02407318</v>
      </c>
      <c r="L8" s="85">
        <f t="shared" si="3"/>
        <v>0.0024073180000000003</v>
      </c>
      <c r="M8" s="82">
        <v>1</v>
      </c>
      <c r="N8" s="85">
        <v>0.04553586</v>
      </c>
      <c r="O8" s="85">
        <f t="shared" si="4"/>
        <v>0.02276793</v>
      </c>
      <c r="P8" s="85">
        <f t="shared" si="5"/>
        <v>0.002276793</v>
      </c>
      <c r="Q8" s="82">
        <v>1</v>
      </c>
      <c r="R8" s="85">
        <v>0.05096098</v>
      </c>
      <c r="S8" s="85">
        <f t="shared" si="6"/>
        <v>0.02548049</v>
      </c>
      <c r="T8" s="85">
        <f t="shared" si="7"/>
        <v>0.002548049</v>
      </c>
      <c r="U8" s="82"/>
      <c r="V8" s="85"/>
      <c r="W8" s="82"/>
      <c r="X8" s="85"/>
      <c r="Y8" s="82"/>
      <c r="Z8" s="85"/>
      <c r="AA8" s="82"/>
      <c r="AB8" s="85"/>
      <c r="AC8" s="82"/>
      <c r="AD8" s="86"/>
      <c r="AE8" s="82"/>
      <c r="AF8" s="86"/>
      <c r="AG8" s="82"/>
      <c r="AH8" s="86"/>
      <c r="AI8" s="82"/>
      <c r="AJ8" s="86"/>
      <c r="AK8" s="82"/>
      <c r="AL8" s="86"/>
      <c r="AM8" s="82"/>
      <c r="AN8" s="86"/>
      <c r="AO8" s="82"/>
      <c r="AP8" s="86"/>
      <c r="AQ8" s="82"/>
      <c r="AR8" s="86"/>
    </row>
    <row r="9" spans="1:44" s="81" customFormat="1" ht="12.75">
      <c r="A9" s="81" t="s">
        <v>205</v>
      </c>
      <c r="B9" s="81">
        <v>8</v>
      </c>
      <c r="C9" s="81" t="s">
        <v>229</v>
      </c>
      <c r="D9" s="84">
        <v>0.1</v>
      </c>
      <c r="E9" s="82">
        <v>1</v>
      </c>
      <c r="F9" s="85">
        <v>0.04282</v>
      </c>
      <c r="G9" s="85">
        <f t="shared" si="0"/>
        <v>0.02141</v>
      </c>
      <c r="H9" s="85">
        <f t="shared" si="1"/>
        <v>0.002141</v>
      </c>
      <c r="I9" s="82">
        <v>1</v>
      </c>
      <c r="J9" s="85">
        <v>0.04814636</v>
      </c>
      <c r="K9" s="85">
        <f t="shared" si="2"/>
        <v>0.02407318</v>
      </c>
      <c r="L9" s="85">
        <f t="shared" si="3"/>
        <v>0.0024073180000000003</v>
      </c>
      <c r="M9" s="82">
        <v>1</v>
      </c>
      <c r="N9" s="85">
        <v>0.04553586</v>
      </c>
      <c r="O9" s="85">
        <f t="shared" si="4"/>
        <v>0.02276793</v>
      </c>
      <c r="P9" s="85">
        <f t="shared" si="5"/>
        <v>0.002276793</v>
      </c>
      <c r="Q9" s="82">
        <v>1</v>
      </c>
      <c r="R9" s="85">
        <v>0.05096098</v>
      </c>
      <c r="S9" s="85">
        <f t="shared" si="6"/>
        <v>0.02548049</v>
      </c>
      <c r="T9" s="85">
        <f t="shared" si="7"/>
        <v>0.002548049</v>
      </c>
      <c r="U9" s="82"/>
      <c r="V9" s="85"/>
      <c r="W9" s="82"/>
      <c r="X9" s="85"/>
      <c r="Y9" s="82"/>
      <c r="Z9" s="85"/>
      <c r="AA9" s="82"/>
      <c r="AB9" s="85"/>
      <c r="AC9" s="82"/>
      <c r="AD9" s="86"/>
      <c r="AE9" s="82"/>
      <c r="AF9" s="86"/>
      <c r="AG9" s="82"/>
      <c r="AH9" s="86"/>
      <c r="AI9" s="82"/>
      <c r="AJ9" s="86"/>
      <c r="AK9" s="82"/>
      <c r="AL9" s="86"/>
      <c r="AM9" s="82"/>
      <c r="AN9" s="86"/>
      <c r="AO9" s="82"/>
      <c r="AP9" s="86"/>
      <c r="AQ9" s="82"/>
      <c r="AR9" s="86"/>
    </row>
    <row r="10" spans="1:44" s="81" customFormat="1" ht="12.75">
      <c r="A10" s="81" t="s">
        <v>205</v>
      </c>
      <c r="B10" s="81">
        <v>9</v>
      </c>
      <c r="C10" s="81" t="s">
        <v>230</v>
      </c>
      <c r="D10" s="84">
        <v>0.1</v>
      </c>
      <c r="E10" s="82">
        <v>1</v>
      </c>
      <c r="F10" s="85">
        <v>0.04282</v>
      </c>
      <c r="G10" s="85">
        <f t="shared" si="0"/>
        <v>0.02141</v>
      </c>
      <c r="H10" s="85">
        <f t="shared" si="1"/>
        <v>0.002141</v>
      </c>
      <c r="I10" s="82">
        <v>1</v>
      </c>
      <c r="J10" s="85">
        <v>0.04814636</v>
      </c>
      <c r="K10" s="85">
        <f t="shared" si="2"/>
        <v>0.02407318</v>
      </c>
      <c r="L10" s="85">
        <f t="shared" si="3"/>
        <v>0.0024073180000000003</v>
      </c>
      <c r="M10" s="82">
        <v>1</v>
      </c>
      <c r="N10" s="85">
        <v>0.04553586</v>
      </c>
      <c r="O10" s="85">
        <f t="shared" si="4"/>
        <v>0.02276793</v>
      </c>
      <c r="P10" s="85">
        <f t="shared" si="5"/>
        <v>0.002276793</v>
      </c>
      <c r="Q10" s="82">
        <v>1</v>
      </c>
      <c r="R10" s="85">
        <v>0.05096098</v>
      </c>
      <c r="S10" s="85">
        <f t="shared" si="6"/>
        <v>0.02548049</v>
      </c>
      <c r="T10" s="85">
        <f t="shared" si="7"/>
        <v>0.002548049</v>
      </c>
      <c r="U10" s="82"/>
      <c r="V10" s="85"/>
      <c r="W10" s="82"/>
      <c r="X10" s="85"/>
      <c r="Y10" s="82"/>
      <c r="Z10" s="85"/>
      <c r="AA10" s="82"/>
      <c r="AB10" s="85"/>
      <c r="AC10" s="82"/>
      <c r="AD10" s="86"/>
      <c r="AE10" s="82"/>
      <c r="AF10" s="86"/>
      <c r="AG10" s="82"/>
      <c r="AH10" s="86"/>
      <c r="AI10" s="82"/>
      <c r="AJ10" s="86"/>
      <c r="AK10" s="82"/>
      <c r="AL10" s="86"/>
      <c r="AM10" s="82"/>
      <c r="AN10" s="86"/>
      <c r="AO10" s="82"/>
      <c r="AP10" s="86"/>
      <c r="AQ10" s="82"/>
      <c r="AR10" s="86"/>
    </row>
    <row r="11" spans="1:44" s="81" customFormat="1" ht="12.75">
      <c r="A11" s="81" t="s">
        <v>205</v>
      </c>
      <c r="B11" s="81">
        <v>12</v>
      </c>
      <c r="C11" s="81" t="s">
        <v>231</v>
      </c>
      <c r="D11" s="84">
        <v>0.01</v>
      </c>
      <c r="E11" s="82">
        <v>1</v>
      </c>
      <c r="F11" s="85">
        <v>0.04282</v>
      </c>
      <c r="G11" s="85">
        <f t="shared" si="0"/>
        <v>0.02141</v>
      </c>
      <c r="H11" s="85">
        <f t="shared" si="1"/>
        <v>0.0002141</v>
      </c>
      <c r="I11" s="82">
        <v>1</v>
      </c>
      <c r="J11" s="85">
        <v>0.04814636</v>
      </c>
      <c r="K11" s="85">
        <f t="shared" si="2"/>
        <v>0.02407318</v>
      </c>
      <c r="L11" s="85">
        <f t="shared" si="3"/>
        <v>0.0002407318</v>
      </c>
      <c r="M11" s="82"/>
      <c r="N11" s="85">
        <v>0.08200826019617966</v>
      </c>
      <c r="O11" s="85">
        <f t="shared" si="4"/>
        <v>0.08200826019617966</v>
      </c>
      <c r="P11" s="85">
        <f t="shared" si="5"/>
        <v>0.0008200826019617966</v>
      </c>
      <c r="Q11" s="82">
        <v>1</v>
      </c>
      <c r="R11" s="85">
        <v>0.05096098</v>
      </c>
      <c r="S11" s="85">
        <f t="shared" si="6"/>
        <v>0.02548049</v>
      </c>
      <c r="T11" s="85">
        <f t="shared" si="7"/>
        <v>0.0002548049</v>
      </c>
      <c r="U11" s="82"/>
      <c r="V11" s="85"/>
      <c r="W11" s="82"/>
      <c r="X11" s="85"/>
      <c r="Y11" s="82"/>
      <c r="Z11" s="85"/>
      <c r="AA11" s="82"/>
      <c r="AB11" s="85"/>
      <c r="AC11" s="82"/>
      <c r="AD11" s="86"/>
      <c r="AE11" s="82"/>
      <c r="AF11" s="86"/>
      <c r="AG11" s="82"/>
      <c r="AH11" s="86"/>
      <c r="AI11" s="82"/>
      <c r="AJ11" s="86"/>
      <c r="AK11" s="82"/>
      <c r="AL11" s="86"/>
      <c r="AM11" s="82"/>
      <c r="AN11" s="86"/>
      <c r="AO11" s="82"/>
      <c r="AP11" s="86"/>
      <c r="AQ11" s="82"/>
      <c r="AR11" s="86"/>
    </row>
    <row r="12" spans="1:44" s="81" customFormat="1" ht="12.75">
      <c r="A12" s="81" t="s">
        <v>205</v>
      </c>
      <c r="B12" s="81">
        <v>14</v>
      </c>
      <c r="C12" s="81" t="s">
        <v>232</v>
      </c>
      <c r="D12" s="84">
        <v>0</v>
      </c>
      <c r="E12" s="82">
        <v>1</v>
      </c>
      <c r="F12" s="85">
        <v>0.04286153846153845</v>
      </c>
      <c r="G12" s="85">
        <f t="shared" si="0"/>
        <v>0.021430769230769225</v>
      </c>
      <c r="H12" s="85">
        <f t="shared" si="1"/>
        <v>0</v>
      </c>
      <c r="I12" s="82">
        <v>1</v>
      </c>
      <c r="J12" s="85">
        <v>0.04809677419354839</v>
      </c>
      <c r="K12" s="85">
        <f t="shared" si="2"/>
        <v>0.024048387096774194</v>
      </c>
      <c r="L12" s="85">
        <f t="shared" si="3"/>
        <v>0</v>
      </c>
      <c r="M12" s="82"/>
      <c r="N12" s="85">
        <v>0.20224615384615385</v>
      </c>
      <c r="O12" s="85">
        <f t="shared" si="4"/>
        <v>0.20224615384615385</v>
      </c>
      <c r="P12" s="85">
        <f t="shared" si="5"/>
        <v>0</v>
      </c>
      <c r="Q12" s="82">
        <v>1</v>
      </c>
      <c r="R12" s="85">
        <v>0.05105882352941176</v>
      </c>
      <c r="S12" s="85">
        <f t="shared" si="6"/>
        <v>0.02552941176470588</v>
      </c>
      <c r="T12" s="85">
        <f t="shared" si="7"/>
        <v>0</v>
      </c>
      <c r="U12" s="82"/>
      <c r="V12" s="85"/>
      <c r="W12" s="82"/>
      <c r="X12" s="85"/>
      <c r="Y12" s="82"/>
      <c r="Z12" s="85"/>
      <c r="AA12" s="82"/>
      <c r="AB12" s="85"/>
      <c r="AC12" s="82"/>
      <c r="AD12" s="86"/>
      <c r="AE12" s="82"/>
      <c r="AF12" s="86"/>
      <c r="AG12" s="82"/>
      <c r="AH12" s="86"/>
      <c r="AI12" s="82"/>
      <c r="AJ12" s="86"/>
      <c r="AK12" s="82"/>
      <c r="AL12" s="86"/>
      <c r="AM12" s="82"/>
      <c r="AN12" s="86"/>
      <c r="AO12" s="82"/>
      <c r="AP12" s="86"/>
      <c r="AQ12" s="82"/>
      <c r="AR12" s="86"/>
    </row>
    <row r="13" spans="1:44" s="81" customFormat="1" ht="12.75">
      <c r="A13" s="81" t="s">
        <v>205</v>
      </c>
      <c r="B13" s="81">
        <v>15</v>
      </c>
      <c r="C13" s="81" t="s">
        <v>233</v>
      </c>
      <c r="D13" s="84">
        <v>0.001</v>
      </c>
      <c r="E13" s="82">
        <v>1</v>
      </c>
      <c r="F13" s="85">
        <v>0.085723076923077</v>
      </c>
      <c r="G13" s="85">
        <f t="shared" si="0"/>
        <v>0.0428615384615385</v>
      </c>
      <c r="H13" s="85">
        <f t="shared" si="1"/>
        <v>4.28615384615385E-05</v>
      </c>
      <c r="I13" s="82">
        <v>1</v>
      </c>
      <c r="J13" s="85">
        <v>0.09619354838709678</v>
      </c>
      <c r="K13" s="85">
        <f t="shared" si="2"/>
        <v>0.04809677419354839</v>
      </c>
      <c r="L13" s="85">
        <f t="shared" si="3"/>
        <v>4.809677419354839E-05</v>
      </c>
      <c r="M13" s="82"/>
      <c r="N13" s="85">
        <v>0.12061538461538461</v>
      </c>
      <c r="O13" s="85">
        <f t="shared" si="4"/>
        <v>0.12061538461538461</v>
      </c>
      <c r="P13" s="85">
        <f t="shared" si="5"/>
        <v>0.00012061538461538461</v>
      </c>
      <c r="Q13" s="82">
        <v>1</v>
      </c>
      <c r="R13" s="85">
        <v>0.10211764705882352</v>
      </c>
      <c r="S13" s="85">
        <f t="shared" si="6"/>
        <v>0.05105882352941176</v>
      </c>
      <c r="T13" s="85">
        <f t="shared" si="7"/>
        <v>5.105882352941176E-05</v>
      </c>
      <c r="U13" s="82"/>
      <c r="V13" s="85"/>
      <c r="W13" s="82"/>
      <c r="X13" s="85"/>
      <c r="Y13" s="82"/>
      <c r="Z13" s="85"/>
      <c r="AA13" s="82"/>
      <c r="AB13" s="85"/>
      <c r="AC13" s="82"/>
      <c r="AD13" s="86"/>
      <c r="AE13" s="82"/>
      <c r="AF13" s="86"/>
      <c r="AG13" s="82"/>
      <c r="AH13" s="86"/>
      <c r="AI13" s="82"/>
      <c r="AJ13" s="86"/>
      <c r="AK13" s="82"/>
      <c r="AL13" s="86"/>
      <c r="AM13" s="82"/>
      <c r="AN13" s="86"/>
      <c r="AO13" s="82"/>
      <c r="AP13" s="86"/>
      <c r="AQ13" s="82"/>
      <c r="AR13" s="86"/>
    </row>
    <row r="14" spans="1:44" s="81" customFormat="1" ht="12.75">
      <c r="A14" s="81" t="s">
        <v>205</v>
      </c>
      <c r="B14" s="81">
        <v>16</v>
      </c>
      <c r="C14" s="81" t="s">
        <v>234</v>
      </c>
      <c r="D14" s="84">
        <v>0.1</v>
      </c>
      <c r="E14" s="82">
        <v>1</v>
      </c>
      <c r="F14" s="85">
        <v>0.008564</v>
      </c>
      <c r="G14" s="85">
        <f t="shared" si="0"/>
        <v>0.004282</v>
      </c>
      <c r="H14" s="85">
        <f t="shared" si="1"/>
        <v>0.00042820000000000005</v>
      </c>
      <c r="I14" s="82">
        <v>1</v>
      </c>
      <c r="J14" s="85">
        <v>0.00962927</v>
      </c>
      <c r="K14" s="85">
        <f t="shared" si="2"/>
        <v>0.004814635</v>
      </c>
      <c r="L14" s="85">
        <f t="shared" si="3"/>
        <v>0.00048146350000000007</v>
      </c>
      <c r="M14" s="82">
        <v>1</v>
      </c>
      <c r="N14" s="85">
        <v>0.00910717</v>
      </c>
      <c r="O14" s="85">
        <f t="shared" si="4"/>
        <v>0.004553585</v>
      </c>
      <c r="P14" s="85">
        <f t="shared" si="5"/>
        <v>0.0004553585</v>
      </c>
      <c r="Q14" s="82">
        <v>1</v>
      </c>
      <c r="R14" s="85">
        <v>0.0101922</v>
      </c>
      <c r="S14" s="85">
        <f t="shared" si="6"/>
        <v>0.0050961</v>
      </c>
      <c r="T14" s="85">
        <f t="shared" si="7"/>
        <v>0.0005096100000000001</v>
      </c>
      <c r="U14" s="82"/>
      <c r="V14" s="85"/>
      <c r="W14" s="82"/>
      <c r="X14" s="85"/>
      <c r="Y14" s="82"/>
      <c r="Z14" s="85"/>
      <c r="AA14" s="82"/>
      <c r="AB14" s="85"/>
      <c r="AC14" s="82"/>
      <c r="AD14" s="86"/>
      <c r="AE14" s="82"/>
      <c r="AF14" s="86"/>
      <c r="AG14" s="82"/>
      <c r="AH14" s="86"/>
      <c r="AI14" s="82"/>
      <c r="AJ14" s="86"/>
      <c r="AK14" s="82"/>
      <c r="AL14" s="86"/>
      <c r="AM14" s="82"/>
      <c r="AN14" s="86"/>
      <c r="AO14" s="82"/>
      <c r="AP14" s="86"/>
      <c r="AQ14" s="82"/>
      <c r="AR14" s="86"/>
    </row>
    <row r="15" spans="1:44" s="81" customFormat="1" ht="12.75">
      <c r="A15" s="81" t="s">
        <v>205</v>
      </c>
      <c r="B15" s="81">
        <v>18</v>
      </c>
      <c r="C15" s="81" t="s">
        <v>235</v>
      </c>
      <c r="D15" s="84">
        <v>0</v>
      </c>
      <c r="E15" s="82"/>
      <c r="F15" s="85">
        <v>0.2735384615384615</v>
      </c>
      <c r="G15" s="85">
        <f t="shared" si="0"/>
        <v>0.2735384615384615</v>
      </c>
      <c r="H15" s="85">
        <f t="shared" si="1"/>
        <v>0</v>
      </c>
      <c r="I15" s="82"/>
      <c r="J15" s="85">
        <v>0.1456451612903226</v>
      </c>
      <c r="K15" s="85">
        <f t="shared" si="2"/>
        <v>0.1456451612903226</v>
      </c>
      <c r="L15" s="85">
        <f t="shared" si="3"/>
        <v>0</v>
      </c>
      <c r="M15" s="82"/>
      <c r="N15" s="85">
        <v>0.24123076923077</v>
      </c>
      <c r="O15" s="85">
        <f t="shared" si="4"/>
        <v>0.24123076923077</v>
      </c>
      <c r="P15" s="85">
        <f t="shared" si="5"/>
        <v>0</v>
      </c>
      <c r="Q15" s="82"/>
      <c r="R15" s="85">
        <v>0.09182352941176469</v>
      </c>
      <c r="S15" s="85">
        <f t="shared" si="6"/>
        <v>0.09182352941176469</v>
      </c>
      <c r="T15" s="85">
        <f t="shared" si="7"/>
        <v>0</v>
      </c>
      <c r="U15" s="82"/>
      <c r="V15" s="85"/>
      <c r="W15" s="82"/>
      <c r="X15" s="85"/>
      <c r="Y15" s="82"/>
      <c r="Z15" s="85"/>
      <c r="AA15" s="82"/>
      <c r="AB15" s="85"/>
      <c r="AC15" s="82"/>
      <c r="AD15" s="86"/>
      <c r="AE15" s="82"/>
      <c r="AF15" s="86"/>
      <c r="AG15" s="82"/>
      <c r="AH15" s="86"/>
      <c r="AI15" s="82"/>
      <c r="AJ15" s="86"/>
      <c r="AK15" s="82"/>
      <c r="AL15" s="86"/>
      <c r="AM15" s="82"/>
      <c r="AN15" s="86"/>
      <c r="AO15" s="82"/>
      <c r="AP15" s="86"/>
      <c r="AQ15" s="82"/>
      <c r="AR15" s="86"/>
    </row>
    <row r="16" spans="1:44" s="81" customFormat="1" ht="12.75">
      <c r="A16" s="81" t="s">
        <v>205</v>
      </c>
      <c r="B16" s="81">
        <v>19</v>
      </c>
      <c r="C16" s="81" t="s">
        <v>236</v>
      </c>
      <c r="D16" s="84">
        <v>0.05</v>
      </c>
      <c r="E16" s="82">
        <v>1</v>
      </c>
      <c r="F16" s="85">
        <v>0.04282</v>
      </c>
      <c r="G16" s="85">
        <f t="shared" si="0"/>
        <v>0.02141</v>
      </c>
      <c r="H16" s="85">
        <f t="shared" si="1"/>
        <v>0.0010705</v>
      </c>
      <c r="I16" s="82">
        <v>1</v>
      </c>
      <c r="J16" s="85">
        <v>0.04814636</v>
      </c>
      <c r="K16" s="85">
        <f t="shared" si="2"/>
        <v>0.02407318</v>
      </c>
      <c r="L16" s="85">
        <f t="shared" si="3"/>
        <v>0.0012036590000000002</v>
      </c>
      <c r="M16" s="82">
        <v>1</v>
      </c>
      <c r="N16" s="85">
        <v>0.04553586</v>
      </c>
      <c r="O16" s="85">
        <f t="shared" si="4"/>
        <v>0.02276793</v>
      </c>
      <c r="P16" s="85">
        <f t="shared" si="5"/>
        <v>0.0011383965</v>
      </c>
      <c r="Q16" s="82">
        <v>1</v>
      </c>
      <c r="R16" s="85">
        <v>0.05096098</v>
      </c>
      <c r="S16" s="85">
        <f t="shared" si="6"/>
        <v>0.02548049</v>
      </c>
      <c r="T16" s="85">
        <f t="shared" si="7"/>
        <v>0.0012740245</v>
      </c>
      <c r="U16" s="82"/>
      <c r="V16" s="85"/>
      <c r="W16" s="82"/>
      <c r="X16" s="85"/>
      <c r="Y16" s="82"/>
      <c r="Z16" s="85"/>
      <c r="AA16" s="82"/>
      <c r="AB16" s="85"/>
      <c r="AC16" s="82"/>
      <c r="AD16" s="86"/>
      <c r="AE16" s="82"/>
      <c r="AF16" s="86"/>
      <c r="AG16" s="82"/>
      <c r="AH16" s="86"/>
      <c r="AI16" s="82"/>
      <c r="AJ16" s="86"/>
      <c r="AK16" s="82"/>
      <c r="AL16" s="86"/>
      <c r="AM16" s="82"/>
      <c r="AN16" s="86"/>
      <c r="AO16" s="82"/>
      <c r="AP16" s="86"/>
      <c r="AQ16" s="82"/>
      <c r="AR16" s="86"/>
    </row>
    <row r="17" spans="1:44" s="81" customFormat="1" ht="12.75">
      <c r="A17" s="81" t="s">
        <v>205</v>
      </c>
      <c r="B17" s="81">
        <v>20</v>
      </c>
      <c r="C17" s="81" t="s">
        <v>237</v>
      </c>
      <c r="D17" s="84">
        <v>0.5</v>
      </c>
      <c r="E17" s="82">
        <v>1</v>
      </c>
      <c r="F17" s="85">
        <v>0.04282</v>
      </c>
      <c r="G17" s="85">
        <f t="shared" si="0"/>
        <v>0.02141</v>
      </c>
      <c r="H17" s="85">
        <f t="shared" si="1"/>
        <v>0.010705</v>
      </c>
      <c r="I17" s="82">
        <v>1</v>
      </c>
      <c r="J17" s="85">
        <v>0.04814636</v>
      </c>
      <c r="K17" s="85">
        <f t="shared" si="2"/>
        <v>0.02407318</v>
      </c>
      <c r="L17" s="85">
        <f t="shared" si="3"/>
        <v>0.01203659</v>
      </c>
      <c r="M17" s="82"/>
      <c r="N17" s="85">
        <v>0.15171528136293236</v>
      </c>
      <c r="O17" s="85">
        <f t="shared" si="4"/>
        <v>0.15171528136293236</v>
      </c>
      <c r="P17" s="85">
        <f t="shared" si="5"/>
        <v>0.07585764068146618</v>
      </c>
      <c r="Q17" s="82">
        <v>1</v>
      </c>
      <c r="R17" s="85">
        <v>0.05096098</v>
      </c>
      <c r="S17" s="85">
        <f t="shared" si="6"/>
        <v>0.02548049</v>
      </c>
      <c r="T17" s="85">
        <f t="shared" si="7"/>
        <v>0.012740245</v>
      </c>
      <c r="U17" s="82"/>
      <c r="V17" s="85"/>
      <c r="W17" s="82"/>
      <c r="X17" s="85"/>
      <c r="Y17" s="82"/>
      <c r="Z17" s="85"/>
      <c r="AA17" s="82"/>
      <c r="AB17" s="85"/>
      <c r="AC17" s="82"/>
      <c r="AD17" s="86"/>
      <c r="AE17" s="82"/>
      <c r="AF17" s="86"/>
      <c r="AG17" s="82"/>
      <c r="AH17" s="86"/>
      <c r="AI17" s="82"/>
      <c r="AJ17" s="86"/>
      <c r="AK17" s="82"/>
      <c r="AL17" s="86"/>
      <c r="AM17" s="82"/>
      <c r="AN17" s="86"/>
      <c r="AO17" s="82"/>
      <c r="AP17" s="86"/>
      <c r="AQ17" s="82"/>
      <c r="AR17" s="86"/>
    </row>
    <row r="18" spans="1:44" s="81" customFormat="1" ht="12.75">
      <c r="A18" s="81" t="s">
        <v>205</v>
      </c>
      <c r="B18" s="81">
        <v>22</v>
      </c>
      <c r="C18" s="81" t="s">
        <v>238</v>
      </c>
      <c r="D18" s="84">
        <v>0</v>
      </c>
      <c r="E18" s="82"/>
      <c r="F18" s="85">
        <v>0.06224615384615385</v>
      </c>
      <c r="G18" s="85">
        <f t="shared" si="0"/>
        <v>0.06224615384615385</v>
      </c>
      <c r="H18" s="85">
        <f t="shared" si="1"/>
        <v>0</v>
      </c>
      <c r="I18" s="82"/>
      <c r="J18" s="85">
        <v>0.05283870967741936</v>
      </c>
      <c r="K18" s="85">
        <f t="shared" si="2"/>
        <v>0.05283870967741936</v>
      </c>
      <c r="L18" s="85">
        <f t="shared" si="3"/>
        <v>0</v>
      </c>
      <c r="M18" s="82"/>
      <c r="N18" s="85">
        <v>0.3553846153846154</v>
      </c>
      <c r="O18" s="85">
        <f t="shared" si="4"/>
        <v>0.3553846153846154</v>
      </c>
      <c r="P18" s="85">
        <f t="shared" si="5"/>
        <v>0</v>
      </c>
      <c r="Q18" s="82">
        <v>1</v>
      </c>
      <c r="R18" s="85">
        <v>0.05105882352941176</v>
      </c>
      <c r="S18" s="85">
        <f t="shared" si="6"/>
        <v>0.02552941176470588</v>
      </c>
      <c r="T18" s="85">
        <f t="shared" si="7"/>
        <v>0</v>
      </c>
      <c r="U18" s="82"/>
      <c r="V18" s="85"/>
      <c r="W18" s="82"/>
      <c r="X18" s="85"/>
      <c r="Y18" s="82"/>
      <c r="Z18" s="85"/>
      <c r="AA18" s="82"/>
      <c r="AB18" s="85"/>
      <c r="AC18" s="82"/>
      <c r="AD18" s="86"/>
      <c r="AE18" s="82"/>
      <c r="AF18" s="86"/>
      <c r="AG18" s="82"/>
      <c r="AH18" s="86"/>
      <c r="AI18" s="82"/>
      <c r="AJ18" s="86"/>
      <c r="AK18" s="82"/>
      <c r="AL18" s="86"/>
      <c r="AM18" s="82"/>
      <c r="AN18" s="86"/>
      <c r="AO18" s="82"/>
      <c r="AP18" s="86"/>
      <c r="AQ18" s="82"/>
      <c r="AR18" s="86"/>
    </row>
    <row r="19" spans="1:44" s="81" customFormat="1" ht="12.75">
      <c r="A19" s="81" t="s">
        <v>205</v>
      </c>
      <c r="B19" s="81">
        <v>23</v>
      </c>
      <c r="C19" s="81" t="s">
        <v>239</v>
      </c>
      <c r="D19" s="84">
        <v>0.1</v>
      </c>
      <c r="E19" s="82">
        <v>1</v>
      </c>
      <c r="F19" s="85">
        <v>0.04282</v>
      </c>
      <c r="G19" s="85">
        <f t="shared" si="0"/>
        <v>0.02141</v>
      </c>
      <c r="H19" s="85">
        <f t="shared" si="1"/>
        <v>0.002141</v>
      </c>
      <c r="I19" s="82">
        <v>1</v>
      </c>
      <c r="J19" s="85">
        <v>0.04814636</v>
      </c>
      <c r="K19" s="85">
        <f t="shared" si="2"/>
        <v>0.02407318</v>
      </c>
      <c r="L19" s="85">
        <f t="shared" si="3"/>
        <v>0.0024073180000000003</v>
      </c>
      <c r="M19" s="82"/>
      <c r="N19" s="85">
        <v>0.05284976768198244</v>
      </c>
      <c r="O19" s="85">
        <f t="shared" si="4"/>
        <v>0.05284976768198244</v>
      </c>
      <c r="P19" s="85">
        <f t="shared" si="5"/>
        <v>0.005284976768198245</v>
      </c>
      <c r="Q19" s="82">
        <v>1</v>
      </c>
      <c r="R19" s="85">
        <v>0.05096098</v>
      </c>
      <c r="S19" s="85">
        <f t="shared" si="6"/>
        <v>0.02548049</v>
      </c>
      <c r="T19" s="85">
        <f t="shared" si="7"/>
        <v>0.002548049</v>
      </c>
      <c r="U19" s="82"/>
      <c r="V19" s="85"/>
      <c r="W19" s="82"/>
      <c r="X19" s="85"/>
      <c r="Y19" s="82"/>
      <c r="Z19" s="85"/>
      <c r="AA19" s="82"/>
      <c r="AB19" s="85"/>
      <c r="AC19" s="82"/>
      <c r="AD19" s="86"/>
      <c r="AE19" s="82"/>
      <c r="AF19" s="86"/>
      <c r="AG19" s="82"/>
      <c r="AH19" s="86"/>
      <c r="AI19" s="82"/>
      <c r="AJ19" s="86"/>
      <c r="AK19" s="82"/>
      <c r="AL19" s="86"/>
      <c r="AM19" s="82"/>
      <c r="AN19" s="86"/>
      <c r="AO19" s="82"/>
      <c r="AP19" s="86"/>
      <c r="AQ19" s="82"/>
      <c r="AR19" s="86"/>
    </row>
    <row r="20" spans="1:44" s="81" customFormat="1" ht="12.75">
      <c r="A20" s="81" t="s">
        <v>205</v>
      </c>
      <c r="B20" s="81">
        <v>24</v>
      </c>
      <c r="C20" s="81" t="s">
        <v>240</v>
      </c>
      <c r="D20" s="84">
        <v>0.1</v>
      </c>
      <c r="E20" s="82">
        <v>1</v>
      </c>
      <c r="F20" s="85">
        <v>0.04282</v>
      </c>
      <c r="G20" s="85">
        <f t="shared" si="0"/>
        <v>0.02141</v>
      </c>
      <c r="H20" s="85">
        <f t="shared" si="1"/>
        <v>0.002141</v>
      </c>
      <c r="I20" s="82">
        <v>1</v>
      </c>
      <c r="J20" s="85">
        <v>0.04814636</v>
      </c>
      <c r="K20" s="85">
        <f t="shared" si="2"/>
        <v>0.02407318</v>
      </c>
      <c r="L20" s="85">
        <f t="shared" si="3"/>
        <v>0.0024073180000000003</v>
      </c>
      <c r="M20" s="82"/>
      <c r="N20" s="85">
        <v>0.055127774909654</v>
      </c>
      <c r="O20" s="85">
        <f t="shared" si="4"/>
        <v>0.055127774909654</v>
      </c>
      <c r="P20" s="85">
        <f t="shared" si="5"/>
        <v>0.0055127774909654</v>
      </c>
      <c r="Q20" s="82">
        <v>1</v>
      </c>
      <c r="R20" s="85">
        <v>0.05096098</v>
      </c>
      <c r="S20" s="85">
        <f t="shared" si="6"/>
        <v>0.02548049</v>
      </c>
      <c r="T20" s="85">
        <f t="shared" si="7"/>
        <v>0.002548049</v>
      </c>
      <c r="U20" s="82"/>
      <c r="V20" s="85"/>
      <c r="W20" s="82"/>
      <c r="X20" s="85"/>
      <c r="Y20" s="82"/>
      <c r="Z20" s="85"/>
      <c r="AA20" s="82"/>
      <c r="AB20" s="85"/>
      <c r="AC20" s="82"/>
      <c r="AD20" s="86"/>
      <c r="AE20" s="82"/>
      <c r="AF20" s="86"/>
      <c r="AG20" s="82"/>
      <c r="AH20" s="86"/>
      <c r="AI20" s="82"/>
      <c r="AJ20" s="86"/>
      <c r="AK20" s="82"/>
      <c r="AL20" s="86"/>
      <c r="AM20" s="82"/>
      <c r="AN20" s="86"/>
      <c r="AO20" s="82"/>
      <c r="AP20" s="86"/>
      <c r="AQ20" s="82"/>
      <c r="AR20" s="86"/>
    </row>
    <row r="21" spans="1:44" s="81" customFormat="1" ht="12.75">
      <c r="A21" s="81" t="s">
        <v>205</v>
      </c>
      <c r="B21" s="81">
        <v>25</v>
      </c>
      <c r="C21" s="81" t="s">
        <v>241</v>
      </c>
      <c r="D21" s="84">
        <v>0.1</v>
      </c>
      <c r="E21" s="82">
        <v>1</v>
      </c>
      <c r="F21" s="85">
        <v>0.04282</v>
      </c>
      <c r="G21" s="85">
        <f t="shared" si="0"/>
        <v>0.02141</v>
      </c>
      <c r="H21" s="85">
        <f t="shared" si="1"/>
        <v>0.002141</v>
      </c>
      <c r="I21" s="82">
        <v>1</v>
      </c>
      <c r="J21" s="85">
        <v>0.04814636</v>
      </c>
      <c r="K21" s="85">
        <f t="shared" si="2"/>
        <v>0.02407318</v>
      </c>
      <c r="L21" s="85">
        <f t="shared" si="3"/>
        <v>0.0024073180000000003</v>
      </c>
      <c r="M21" s="82">
        <v>1</v>
      </c>
      <c r="N21" s="85">
        <v>0.04553586</v>
      </c>
      <c r="O21" s="85">
        <f t="shared" si="4"/>
        <v>0.02276793</v>
      </c>
      <c r="P21" s="85">
        <f t="shared" si="5"/>
        <v>0.002276793</v>
      </c>
      <c r="Q21" s="82">
        <v>1</v>
      </c>
      <c r="R21" s="85">
        <v>0.05096098</v>
      </c>
      <c r="S21" s="85">
        <f t="shared" si="6"/>
        <v>0.02548049</v>
      </c>
      <c r="T21" s="85">
        <f t="shared" si="7"/>
        <v>0.002548049</v>
      </c>
      <c r="U21" s="82"/>
      <c r="V21" s="85"/>
      <c r="W21" s="82"/>
      <c r="X21" s="85"/>
      <c r="Y21" s="82"/>
      <c r="Z21" s="85"/>
      <c r="AA21" s="82"/>
      <c r="AB21" s="85"/>
      <c r="AC21" s="82"/>
      <c r="AD21" s="86"/>
      <c r="AE21" s="82"/>
      <c r="AF21" s="86"/>
      <c r="AG21" s="82"/>
      <c r="AH21" s="86"/>
      <c r="AI21" s="82"/>
      <c r="AJ21" s="86"/>
      <c r="AK21" s="82"/>
      <c r="AL21" s="86"/>
      <c r="AM21" s="82"/>
      <c r="AN21" s="86"/>
      <c r="AO21" s="82"/>
      <c r="AP21" s="86"/>
      <c r="AQ21" s="82"/>
      <c r="AR21" s="86"/>
    </row>
    <row r="22" spans="1:44" s="81" customFormat="1" ht="12.75">
      <c r="A22" s="81" t="s">
        <v>205</v>
      </c>
      <c r="B22" s="81">
        <v>26</v>
      </c>
      <c r="C22" s="81" t="s">
        <v>242</v>
      </c>
      <c r="D22" s="84">
        <v>0.1</v>
      </c>
      <c r="E22" s="82">
        <v>1</v>
      </c>
      <c r="F22" s="85">
        <v>0.04282</v>
      </c>
      <c r="G22" s="85">
        <f t="shared" si="0"/>
        <v>0.02141</v>
      </c>
      <c r="H22" s="85">
        <f t="shared" si="1"/>
        <v>0.002141</v>
      </c>
      <c r="I22" s="82">
        <v>1</v>
      </c>
      <c r="J22" s="85">
        <v>0.04814636</v>
      </c>
      <c r="K22" s="85">
        <f t="shared" si="2"/>
        <v>0.02407318</v>
      </c>
      <c r="L22" s="85">
        <f t="shared" si="3"/>
        <v>0.0024073180000000003</v>
      </c>
      <c r="M22" s="82"/>
      <c r="N22" s="85">
        <v>0.11845637583892617</v>
      </c>
      <c r="O22" s="85">
        <f t="shared" si="4"/>
        <v>0.11845637583892617</v>
      </c>
      <c r="P22" s="85">
        <f t="shared" si="5"/>
        <v>0.011845637583892617</v>
      </c>
      <c r="Q22" s="82">
        <v>1</v>
      </c>
      <c r="R22" s="85">
        <v>0.05096098</v>
      </c>
      <c r="S22" s="85">
        <f t="shared" si="6"/>
        <v>0.02548049</v>
      </c>
      <c r="T22" s="85">
        <f t="shared" si="7"/>
        <v>0.002548049</v>
      </c>
      <c r="U22" s="82"/>
      <c r="V22" s="85"/>
      <c r="W22" s="82"/>
      <c r="X22" s="85"/>
      <c r="Y22" s="82"/>
      <c r="Z22" s="85"/>
      <c r="AA22" s="82"/>
      <c r="AB22" s="85"/>
      <c r="AC22" s="82"/>
      <c r="AD22" s="86"/>
      <c r="AE22" s="82"/>
      <c r="AF22" s="86"/>
      <c r="AG22" s="82"/>
      <c r="AH22" s="86"/>
      <c r="AI22" s="82"/>
      <c r="AJ22" s="86"/>
      <c r="AK22" s="82"/>
      <c r="AL22" s="86"/>
      <c r="AM22" s="82"/>
      <c r="AN22" s="86"/>
      <c r="AO22" s="82"/>
      <c r="AP22" s="86"/>
      <c r="AQ22" s="82"/>
      <c r="AR22" s="86"/>
    </row>
    <row r="23" spans="1:44" s="81" customFormat="1" ht="12.75">
      <c r="A23" s="81" t="s">
        <v>205</v>
      </c>
      <c r="B23" s="81">
        <v>28</v>
      </c>
      <c r="C23" s="81" t="s">
        <v>243</v>
      </c>
      <c r="D23" s="84">
        <v>0</v>
      </c>
      <c r="E23" s="82"/>
      <c r="F23" s="85">
        <v>0.00588</v>
      </c>
      <c r="G23" s="85">
        <f t="shared" si="0"/>
        <v>0.00588</v>
      </c>
      <c r="H23" s="85">
        <f t="shared" si="1"/>
        <v>0</v>
      </c>
      <c r="I23" s="82">
        <v>1</v>
      </c>
      <c r="J23" s="85">
        <v>0.04809677419354839</v>
      </c>
      <c r="K23" s="85">
        <f t="shared" si="2"/>
        <v>0.024048387096774194</v>
      </c>
      <c r="L23" s="85">
        <f t="shared" si="3"/>
        <v>0</v>
      </c>
      <c r="M23" s="82"/>
      <c r="N23" s="85">
        <v>0.6849230769230769</v>
      </c>
      <c r="O23" s="85">
        <f t="shared" si="4"/>
        <v>0.6849230769230769</v>
      </c>
      <c r="P23" s="85">
        <f t="shared" si="5"/>
        <v>0</v>
      </c>
      <c r="Q23" s="82"/>
      <c r="R23" s="85">
        <v>0.09697058823529411</v>
      </c>
      <c r="S23" s="85">
        <f t="shared" si="6"/>
        <v>0.09697058823529411</v>
      </c>
      <c r="T23" s="85">
        <f t="shared" si="7"/>
        <v>0</v>
      </c>
      <c r="U23" s="82"/>
      <c r="V23" s="85"/>
      <c r="W23" s="82"/>
      <c r="X23" s="85"/>
      <c r="Y23" s="82"/>
      <c r="Z23" s="85"/>
      <c r="AA23" s="82"/>
      <c r="AB23" s="85"/>
      <c r="AC23" s="82"/>
      <c r="AD23" s="86"/>
      <c r="AE23" s="82"/>
      <c r="AF23" s="86"/>
      <c r="AG23" s="82"/>
      <c r="AH23" s="86"/>
      <c r="AI23" s="82"/>
      <c r="AJ23" s="86"/>
      <c r="AK23" s="82"/>
      <c r="AL23" s="86"/>
      <c r="AM23" s="82"/>
      <c r="AN23" s="86"/>
      <c r="AO23" s="82"/>
      <c r="AP23" s="86"/>
      <c r="AQ23" s="82"/>
      <c r="AR23" s="86"/>
    </row>
    <row r="24" spans="1:44" s="81" customFormat="1" ht="12.75">
      <c r="A24" s="81" t="s">
        <v>205</v>
      </c>
      <c r="B24" s="81">
        <v>29</v>
      </c>
      <c r="C24" s="81" t="s">
        <v>244</v>
      </c>
      <c r="D24" s="84">
        <v>0.01</v>
      </c>
      <c r="E24" s="82">
        <v>1</v>
      </c>
      <c r="F24" s="85">
        <v>0.04282</v>
      </c>
      <c r="G24" s="85">
        <f t="shared" si="0"/>
        <v>0.02141</v>
      </c>
      <c r="H24" s="85">
        <f t="shared" si="1"/>
        <v>0.0002141</v>
      </c>
      <c r="I24" s="82">
        <v>1</v>
      </c>
      <c r="J24" s="85">
        <v>0.04814636</v>
      </c>
      <c r="K24" s="85">
        <f t="shared" si="2"/>
        <v>0.02407318</v>
      </c>
      <c r="L24" s="85">
        <f t="shared" si="3"/>
        <v>0.0002407318</v>
      </c>
      <c r="M24" s="82"/>
      <c r="N24" s="85">
        <v>0.5831698502839442</v>
      </c>
      <c r="O24" s="85">
        <f t="shared" si="4"/>
        <v>0.5831698502839442</v>
      </c>
      <c r="P24" s="85">
        <f t="shared" si="5"/>
        <v>0.005831698502839442</v>
      </c>
      <c r="Q24" s="82"/>
      <c r="R24" s="85">
        <v>0.10089000334060566</v>
      </c>
      <c r="S24" s="85">
        <f t="shared" si="6"/>
        <v>0.10089000334060566</v>
      </c>
      <c r="T24" s="85">
        <f t="shared" si="7"/>
        <v>0.0010089000334060566</v>
      </c>
      <c r="U24" s="82"/>
      <c r="V24" s="85"/>
      <c r="W24" s="82"/>
      <c r="X24" s="85"/>
      <c r="Y24" s="82"/>
      <c r="Z24" s="85"/>
      <c r="AA24" s="82"/>
      <c r="AB24" s="85"/>
      <c r="AC24" s="82"/>
      <c r="AD24" s="86"/>
      <c r="AE24" s="82"/>
      <c r="AF24" s="86"/>
      <c r="AG24" s="82"/>
      <c r="AH24" s="86"/>
      <c r="AI24" s="82"/>
      <c r="AJ24" s="86"/>
      <c r="AK24" s="82"/>
      <c r="AL24" s="86"/>
      <c r="AM24" s="82"/>
      <c r="AN24" s="86"/>
      <c r="AO24" s="82"/>
      <c r="AP24" s="86"/>
      <c r="AQ24" s="82"/>
      <c r="AR24" s="86"/>
    </row>
    <row r="25" spans="1:44" s="81" customFormat="1" ht="12.75">
      <c r="A25" s="81" t="s">
        <v>205</v>
      </c>
      <c r="B25" s="81">
        <v>30</v>
      </c>
      <c r="C25" s="81" t="s">
        <v>245</v>
      </c>
      <c r="D25" s="84">
        <v>0.01</v>
      </c>
      <c r="E25" s="82"/>
      <c r="F25" s="85">
        <v>0.08683608728393244</v>
      </c>
      <c r="G25" s="85">
        <f t="shared" si="0"/>
        <v>0.08683608728393244</v>
      </c>
      <c r="H25" s="85">
        <f t="shared" si="1"/>
        <v>0.0008683608728393245</v>
      </c>
      <c r="I25" s="82"/>
      <c r="J25" s="85">
        <v>0.07163294291606677</v>
      </c>
      <c r="K25" s="85">
        <f t="shared" si="2"/>
        <v>0.07163294291606677</v>
      </c>
      <c r="L25" s="85">
        <f t="shared" si="3"/>
        <v>0.0007163294291606678</v>
      </c>
      <c r="M25" s="82"/>
      <c r="N25" s="85">
        <v>0.18770779556014452</v>
      </c>
      <c r="O25" s="85">
        <f t="shared" si="4"/>
        <v>0.18770779556014452</v>
      </c>
      <c r="P25" s="85">
        <f t="shared" si="5"/>
        <v>0.0018770779556014452</v>
      </c>
      <c r="Q25" s="82"/>
      <c r="R25" s="85">
        <v>0.10343773069769169</v>
      </c>
      <c r="S25" s="85">
        <f t="shared" si="6"/>
        <v>0.10343773069769169</v>
      </c>
      <c r="T25" s="85">
        <f t="shared" si="7"/>
        <v>0.001034377306976917</v>
      </c>
      <c r="U25" s="82"/>
      <c r="V25" s="85"/>
      <c r="W25" s="82"/>
      <c r="X25" s="85"/>
      <c r="Y25" s="82"/>
      <c r="Z25" s="85"/>
      <c r="AA25" s="82"/>
      <c r="AB25" s="85"/>
      <c r="AC25" s="82"/>
      <c r="AD25" s="86"/>
      <c r="AE25" s="82"/>
      <c r="AF25" s="86"/>
      <c r="AG25" s="82"/>
      <c r="AH25" s="86"/>
      <c r="AI25" s="82"/>
      <c r="AJ25" s="86"/>
      <c r="AK25" s="82"/>
      <c r="AL25" s="86"/>
      <c r="AM25" s="82"/>
      <c r="AN25" s="86"/>
      <c r="AO25" s="82"/>
      <c r="AP25" s="86"/>
      <c r="AQ25" s="82"/>
      <c r="AR25" s="86"/>
    </row>
    <row r="26" spans="1:44" s="81" customFormat="1" ht="12.75">
      <c r="A26" s="81" t="s">
        <v>205</v>
      </c>
      <c r="B26" s="81">
        <v>32</v>
      </c>
      <c r="C26" s="81" t="s">
        <v>246</v>
      </c>
      <c r="D26" s="84">
        <v>0</v>
      </c>
      <c r="E26" s="82"/>
      <c r="F26" s="85">
        <v>0.12815384615384615</v>
      </c>
      <c r="G26" s="85">
        <f t="shared" si="0"/>
        <v>0.12815384615384615</v>
      </c>
      <c r="H26" s="85">
        <f t="shared" si="1"/>
        <v>0</v>
      </c>
      <c r="I26" s="82">
        <v>1</v>
      </c>
      <c r="J26" s="85">
        <v>0.04809677419354839</v>
      </c>
      <c r="K26" s="85">
        <f t="shared" si="2"/>
        <v>0.024048387096774194</v>
      </c>
      <c r="L26" s="85">
        <f t="shared" si="3"/>
        <v>0</v>
      </c>
      <c r="M26" s="82"/>
      <c r="N26" s="85">
        <v>1.1286153846153846</v>
      </c>
      <c r="O26" s="85">
        <f t="shared" si="4"/>
        <v>1.1286153846153846</v>
      </c>
      <c r="P26" s="85">
        <f t="shared" si="5"/>
        <v>0</v>
      </c>
      <c r="Q26" s="82"/>
      <c r="R26" s="85">
        <v>0.23470588235294115</v>
      </c>
      <c r="S26" s="85">
        <f t="shared" si="6"/>
        <v>0.23470588235294115</v>
      </c>
      <c r="T26" s="85">
        <f t="shared" si="7"/>
        <v>0</v>
      </c>
      <c r="U26" s="82"/>
      <c r="V26" s="85"/>
      <c r="W26" s="82"/>
      <c r="X26" s="85"/>
      <c r="Y26" s="82"/>
      <c r="Z26" s="85"/>
      <c r="AA26" s="82"/>
      <c r="AB26" s="85"/>
      <c r="AC26" s="82"/>
      <c r="AD26" s="86"/>
      <c r="AE26" s="82"/>
      <c r="AF26" s="86"/>
      <c r="AG26" s="82"/>
      <c r="AH26" s="86"/>
      <c r="AI26" s="82"/>
      <c r="AJ26" s="86"/>
      <c r="AK26" s="82"/>
      <c r="AL26" s="86"/>
      <c r="AM26" s="82"/>
      <c r="AN26" s="86"/>
      <c r="AO26" s="82"/>
      <c r="AP26" s="86"/>
      <c r="AQ26" s="82"/>
      <c r="AR26" s="86"/>
    </row>
    <row r="27" spans="1:44" s="81" customFormat="1" ht="12.75">
      <c r="A27" s="81" t="s">
        <v>205</v>
      </c>
      <c r="B27" s="81">
        <v>33</v>
      </c>
      <c r="C27" s="81" t="s">
        <v>247</v>
      </c>
      <c r="D27" s="84">
        <v>0.001</v>
      </c>
      <c r="E27" s="82">
        <v>1</v>
      </c>
      <c r="F27" s="85">
        <v>0.085723076923077</v>
      </c>
      <c r="G27" s="85">
        <f t="shared" si="0"/>
        <v>0.0428615384615385</v>
      </c>
      <c r="H27" s="85">
        <f t="shared" si="1"/>
        <v>4.28615384615385E-05</v>
      </c>
      <c r="I27" s="82">
        <v>1</v>
      </c>
      <c r="J27" s="85">
        <v>0.09619354838709678</v>
      </c>
      <c r="K27" s="85">
        <f t="shared" si="2"/>
        <v>0.04809677419354839</v>
      </c>
      <c r="L27" s="85">
        <f t="shared" si="3"/>
        <v>4.809677419354839E-05</v>
      </c>
      <c r="M27" s="82"/>
      <c r="N27" s="85">
        <v>0.42215384615384616</v>
      </c>
      <c r="O27" s="85">
        <f t="shared" si="4"/>
        <v>0.42215384615384616</v>
      </c>
      <c r="P27" s="85">
        <f t="shared" si="5"/>
        <v>0.0004221538461538462</v>
      </c>
      <c r="Q27" s="82">
        <v>1</v>
      </c>
      <c r="R27" s="85">
        <v>0.10211764705882352</v>
      </c>
      <c r="S27" s="85">
        <f t="shared" si="6"/>
        <v>0.05105882352941176</v>
      </c>
      <c r="T27" s="85">
        <f t="shared" si="7"/>
        <v>5.105882352941176E-05</v>
      </c>
      <c r="U27" s="82"/>
      <c r="V27" s="85"/>
      <c r="W27" s="82"/>
      <c r="X27" s="85"/>
      <c r="Y27" s="82"/>
      <c r="Z27" s="85"/>
      <c r="AA27" s="82"/>
      <c r="AB27" s="85"/>
      <c r="AC27" s="82"/>
      <c r="AD27" s="86"/>
      <c r="AE27" s="82"/>
      <c r="AF27" s="86"/>
      <c r="AG27" s="82"/>
      <c r="AH27" s="86"/>
      <c r="AI27" s="82"/>
      <c r="AJ27" s="86"/>
      <c r="AK27" s="82"/>
      <c r="AL27" s="86"/>
      <c r="AM27" s="82"/>
      <c r="AN27" s="86"/>
      <c r="AO27" s="82"/>
      <c r="AP27" s="86"/>
      <c r="AQ27" s="82"/>
      <c r="AR27" s="86"/>
    </row>
    <row r="28" spans="1:44" s="81" customFormat="1" ht="12.75">
      <c r="A28" s="81" t="s">
        <v>205</v>
      </c>
      <c r="B28" s="81">
        <v>34</v>
      </c>
      <c r="C28" s="81" t="s">
        <v>248</v>
      </c>
      <c r="D28" s="84"/>
      <c r="E28" s="82"/>
      <c r="F28" s="85">
        <v>0.7034246153846153</v>
      </c>
      <c r="G28" s="85">
        <f>G27+G26+G23+G18+G15+G13+G12+G6</f>
        <v>0.5962707692307693</v>
      </c>
      <c r="H28" s="85"/>
      <c r="I28" s="82"/>
      <c r="J28" s="85">
        <v>0.5527741935483872</v>
      </c>
      <c r="K28" s="85">
        <f>K27+K26+K23+K18+K15+K13+K12+K6</f>
        <v>0.38443548387096776</v>
      </c>
      <c r="L28" s="85"/>
      <c r="M28" s="82"/>
      <c r="N28" s="85">
        <v>3.1808</v>
      </c>
      <c r="O28" s="85">
        <f>O27+O26+O23+O18+O15+O13+O12+O6</f>
        <v>3.1808000000000005</v>
      </c>
      <c r="P28" s="85"/>
      <c r="Q28" s="82"/>
      <c r="R28" s="85">
        <v>0.740620588235294</v>
      </c>
      <c r="S28" s="85">
        <f>S27+S26+S23+S18+S15+S13+S12+S6</f>
        <v>0.5874441176470587</v>
      </c>
      <c r="T28" s="85"/>
      <c r="U28" s="82"/>
      <c r="V28" s="85"/>
      <c r="W28" s="82"/>
      <c r="X28" s="85"/>
      <c r="Y28" s="82"/>
      <c r="Z28" s="85"/>
      <c r="AA28" s="82"/>
      <c r="AB28" s="85"/>
      <c r="AC28" s="82"/>
      <c r="AD28" s="86"/>
      <c r="AE28" s="82"/>
      <c r="AF28" s="86"/>
      <c r="AG28" s="82"/>
      <c r="AH28" s="86"/>
      <c r="AI28" s="82"/>
      <c r="AJ28" s="86"/>
      <c r="AK28" s="82"/>
      <c r="AL28" s="86"/>
      <c r="AM28" s="82"/>
      <c r="AN28" s="86"/>
      <c r="AO28" s="82"/>
      <c r="AP28" s="86"/>
      <c r="AQ28" s="82"/>
      <c r="AR28" s="86"/>
    </row>
    <row r="29" spans="1:44" s="81" customFormat="1" ht="12.75">
      <c r="A29" s="81" t="s">
        <v>205</v>
      </c>
      <c r="B29" s="81">
        <v>35</v>
      </c>
      <c r="C29" s="81" t="s">
        <v>27</v>
      </c>
      <c r="D29" s="84"/>
      <c r="E29" s="93">
        <f>(F29-H29)*2/F29*100</f>
        <v>98.99322354356752</v>
      </c>
      <c r="F29" s="85">
        <f>SUM(H5,H7:H14,H16:H17,H19:H22,H24,H27)*2+SUM(H6,H15,H18,H23,H25:H26)</f>
        <v>0.08625160702668545</v>
      </c>
      <c r="G29" s="85"/>
      <c r="H29" s="85">
        <f>SUM(H5:H27)</f>
        <v>0.04355998394976239</v>
      </c>
      <c r="I29" s="93">
        <f>(J29-L29)*2/J29*100</f>
        <v>99.25937795081592</v>
      </c>
      <c r="J29" s="85">
        <f>SUM(L5,L7:L14,L16:L17,L19:L24,L26:L27)*2+SUM(L6,L15,L18,L25)</f>
        <v>0.09671997072593484</v>
      </c>
      <c r="K29" s="85"/>
      <c r="L29" s="85">
        <f>SUM(L5:L27)</f>
        <v>0.048718150077547755</v>
      </c>
      <c r="M29" s="93">
        <f>(N29-P29)*2/N29*100</f>
        <v>33.12221422540934</v>
      </c>
      <c r="N29" s="85">
        <f>SUM(P5,P7:P10,P14,P16,P21)*2+SUM(P6,P11:P13,P15,P17:P20,P22:P27)</f>
        <v>0.16084961481569438</v>
      </c>
      <c r="O29" s="85"/>
      <c r="P29" s="85">
        <f>SUM(P5:P27)</f>
        <v>0.13421113781569435</v>
      </c>
      <c r="Q29" s="93">
        <f>(R29-T29)*2/R29*100</f>
        <v>98.0191253117517</v>
      </c>
      <c r="R29" s="85">
        <f>SUM(T5,T7:T14,T16:T22,T27)*2+SUM(T6,T15,T23:T26)</f>
        <v>0.1031502574345006</v>
      </c>
      <c r="S29" s="85"/>
      <c r="T29" s="85">
        <f>SUM(T5:T27)</f>
        <v>0.05259676738744179</v>
      </c>
      <c r="U29" s="82"/>
      <c r="V29" s="85"/>
      <c r="W29" s="82"/>
      <c r="X29" s="85"/>
      <c r="Y29" s="82"/>
      <c r="Z29" s="85"/>
      <c r="AA29" s="82"/>
      <c r="AB29" s="85"/>
      <c r="AC29" s="82"/>
      <c r="AD29" s="86"/>
      <c r="AE29" s="82"/>
      <c r="AF29" s="86"/>
      <c r="AG29" s="82"/>
      <c r="AH29" s="86"/>
      <c r="AI29" s="82"/>
      <c r="AJ29" s="86"/>
      <c r="AK29" s="82"/>
      <c r="AL29" s="86"/>
      <c r="AM29" s="82"/>
      <c r="AN29" s="86"/>
      <c r="AO29" s="82"/>
      <c r="AP29" s="86"/>
      <c r="AQ29" s="82"/>
      <c r="AR29" s="86"/>
    </row>
    <row r="32" spans="3:5" ht="12.75">
      <c r="C32" t="s">
        <v>249</v>
      </c>
      <c r="E32" s="60">
        <f>AVERAGE(H29,L29,P29,T29)</f>
        <v>0.06977150980761157</v>
      </c>
    </row>
    <row r="33" ht="12.75">
      <c r="C33" s="60"/>
    </row>
  </sheetData>
  <mergeCells count="4">
    <mergeCell ref="F2:H2"/>
    <mergeCell ref="J2:L2"/>
    <mergeCell ref="N2:P2"/>
    <mergeCell ref="R2:T2"/>
  </mergeCells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462"/>
  <sheetViews>
    <sheetView workbookViewId="0" topLeftCell="B4">
      <selection activeCell="B15" sqref="B15"/>
    </sheetView>
  </sheetViews>
  <sheetFormatPr defaultColWidth="9.140625" defaultRowHeight="12.75"/>
  <cols>
    <col min="1" max="1" width="4.28125" style="1" hidden="1" customWidth="1"/>
    <col min="2" max="2" width="25.140625" style="1" customWidth="1"/>
    <col min="3" max="3" width="70.57421875" style="1" customWidth="1"/>
    <col min="4" max="16384" width="8.8515625" style="1" customWidth="1"/>
  </cols>
  <sheetData>
    <row r="1" spans="2:12" ht="12.75">
      <c r="B1" s="6" t="s">
        <v>81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12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12.75">
      <c r="B3" s="13" t="s">
        <v>131</v>
      </c>
      <c r="C3" s="14">
        <v>470</v>
      </c>
      <c r="D3" s="13"/>
      <c r="E3" s="13"/>
      <c r="F3" s="13"/>
      <c r="G3" s="13"/>
      <c r="H3" s="13"/>
      <c r="I3" s="13"/>
      <c r="J3" s="13"/>
      <c r="K3" s="13"/>
      <c r="L3" s="13"/>
    </row>
    <row r="4" spans="2:12" ht="12.75">
      <c r="B4" s="13" t="s">
        <v>0</v>
      </c>
      <c r="C4" s="13" t="s">
        <v>113</v>
      </c>
      <c r="D4" s="13"/>
      <c r="E4" s="13"/>
      <c r="F4" s="13"/>
      <c r="G4" s="13"/>
      <c r="H4" s="13"/>
      <c r="I4" s="13"/>
      <c r="J4" s="13"/>
      <c r="K4" s="13"/>
      <c r="L4" s="13"/>
    </row>
    <row r="5" spans="2:12" ht="12.75">
      <c r="B5" s="13" t="s">
        <v>1</v>
      </c>
      <c r="C5" s="13" t="s">
        <v>111</v>
      </c>
      <c r="D5" s="13"/>
      <c r="E5" s="13"/>
      <c r="F5" s="13"/>
      <c r="G5" s="13"/>
      <c r="H5" s="13"/>
      <c r="I5" s="13"/>
      <c r="J5" s="13"/>
      <c r="K5" s="13"/>
      <c r="L5" s="13"/>
    </row>
    <row r="6" spans="2:12" ht="12.75">
      <c r="B6" s="13" t="s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2:12" ht="12.75">
      <c r="B7" s="13" t="s">
        <v>3</v>
      </c>
      <c r="C7" s="13" t="s">
        <v>132</v>
      </c>
      <c r="D7" s="13"/>
      <c r="E7" s="13"/>
      <c r="F7" s="13"/>
      <c r="G7" s="13"/>
      <c r="H7" s="13"/>
      <c r="I7" s="13"/>
      <c r="J7" s="13"/>
      <c r="K7" s="13"/>
      <c r="L7" s="13"/>
    </row>
    <row r="8" spans="2:12" ht="12.75">
      <c r="B8" s="13" t="s">
        <v>4</v>
      </c>
      <c r="C8" s="13" t="s">
        <v>112</v>
      </c>
      <c r="D8" s="13"/>
      <c r="E8" s="13"/>
      <c r="F8" s="13"/>
      <c r="G8" s="13"/>
      <c r="H8" s="13"/>
      <c r="I8" s="13"/>
      <c r="J8" s="13"/>
      <c r="K8" s="13"/>
      <c r="L8" s="13"/>
    </row>
    <row r="9" spans="2:12" ht="12.75">
      <c r="B9" s="13" t="s">
        <v>5</v>
      </c>
      <c r="C9" s="13" t="s">
        <v>114</v>
      </c>
      <c r="D9" s="13"/>
      <c r="E9" s="13"/>
      <c r="F9" s="13"/>
      <c r="G9" s="13"/>
      <c r="H9" s="13"/>
      <c r="I9" s="13"/>
      <c r="J9" s="13"/>
      <c r="K9" s="13"/>
      <c r="L9" s="13"/>
    </row>
    <row r="10" spans="2:12" ht="12.75">
      <c r="B10" s="13" t="s">
        <v>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2:12" ht="12.75">
      <c r="B11" s="13" t="s">
        <v>276</v>
      </c>
      <c r="C11" s="14">
        <v>0</v>
      </c>
      <c r="D11" s="13"/>
      <c r="E11" s="13"/>
      <c r="F11" s="13"/>
      <c r="G11" s="13"/>
      <c r="H11" s="13"/>
      <c r="I11" s="13"/>
      <c r="J11" s="13"/>
      <c r="K11" s="13"/>
      <c r="L11" s="13"/>
    </row>
    <row r="12" spans="2:12" ht="12.75">
      <c r="B12" s="13" t="s">
        <v>266</v>
      </c>
      <c r="C12" s="13" t="s">
        <v>293</v>
      </c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13" t="s">
        <v>267</v>
      </c>
      <c r="C13" s="13" t="s">
        <v>268</v>
      </c>
      <c r="D13" s="13"/>
      <c r="E13" s="13"/>
      <c r="F13" s="13"/>
      <c r="G13" s="13"/>
      <c r="H13" s="13"/>
      <c r="I13" s="13"/>
      <c r="J13" s="13"/>
      <c r="K13" s="13"/>
      <c r="L13" s="13"/>
    </row>
    <row r="14" spans="2:12" s="44" customFormat="1" ht="12.75">
      <c r="B14" s="43" t="s">
        <v>70</v>
      </c>
      <c r="C14" s="43" t="s">
        <v>117</v>
      </c>
      <c r="D14" s="43"/>
      <c r="E14" s="43"/>
      <c r="F14" s="43"/>
      <c r="G14" s="43"/>
      <c r="H14" s="43"/>
      <c r="I14" s="43"/>
      <c r="J14" s="43"/>
      <c r="K14" s="43"/>
      <c r="L14" s="43"/>
    </row>
    <row r="15" spans="2:12" s="44" customFormat="1" ht="25.5">
      <c r="B15" s="43"/>
      <c r="C15" s="43" t="s">
        <v>116</v>
      </c>
      <c r="D15" s="43"/>
      <c r="E15" s="43"/>
      <c r="F15" s="43"/>
      <c r="G15" s="43"/>
      <c r="H15" s="43"/>
      <c r="I15" s="43"/>
      <c r="J15" s="43"/>
      <c r="K15" s="43"/>
      <c r="L15" s="43"/>
    </row>
    <row r="16" spans="2:12" s="44" customFormat="1" ht="12.75">
      <c r="B16" s="43" t="s">
        <v>77</v>
      </c>
      <c r="C16" s="45"/>
      <c r="D16" s="43"/>
      <c r="E16" s="43"/>
      <c r="F16" s="43"/>
      <c r="G16" s="43"/>
      <c r="H16" s="43"/>
      <c r="I16" s="43"/>
      <c r="J16" s="43"/>
      <c r="K16" s="43"/>
      <c r="L16" s="43"/>
    </row>
    <row r="17" spans="2:12" s="44" customFormat="1" ht="12.75">
      <c r="B17" s="13" t="s">
        <v>82</v>
      </c>
      <c r="C17" s="43"/>
      <c r="F17" s="43"/>
      <c r="G17" s="43"/>
      <c r="H17" s="43"/>
      <c r="I17" s="43"/>
      <c r="J17" s="43"/>
      <c r="K17" s="43"/>
      <c r="L17" s="43"/>
    </row>
    <row r="18" spans="2:12" s="44" customFormat="1" ht="12.75">
      <c r="B18" s="13" t="s">
        <v>277</v>
      </c>
      <c r="C18" s="43" t="s">
        <v>118</v>
      </c>
      <c r="D18" s="43"/>
      <c r="E18" s="43"/>
      <c r="F18" s="43"/>
      <c r="G18" s="43"/>
      <c r="H18" s="43"/>
      <c r="I18" s="43"/>
      <c r="J18" s="43"/>
      <c r="K18" s="43"/>
      <c r="L18" s="43"/>
    </row>
    <row r="19" spans="2:12" s="44" customFormat="1" ht="12.75">
      <c r="B19" s="13" t="s">
        <v>278</v>
      </c>
      <c r="C19" s="43" t="s">
        <v>279</v>
      </c>
      <c r="D19" s="43"/>
      <c r="E19" s="43"/>
      <c r="F19" s="43"/>
      <c r="G19" s="43"/>
      <c r="H19" s="43"/>
      <c r="I19" s="43"/>
      <c r="J19" s="43"/>
      <c r="K19" s="43"/>
      <c r="L19" s="43"/>
    </row>
    <row r="20" spans="2:12" ht="12.75">
      <c r="B20" s="43" t="s">
        <v>7</v>
      </c>
      <c r="C20" s="43" t="s">
        <v>264</v>
      </c>
      <c r="D20" s="13"/>
      <c r="E20" s="13"/>
      <c r="F20" s="13"/>
      <c r="G20" s="13"/>
      <c r="H20" s="13"/>
      <c r="I20" s="13"/>
      <c r="J20" s="13"/>
      <c r="K20" s="13"/>
      <c r="L20" s="13"/>
    </row>
    <row r="21" spans="2:12" ht="12.75">
      <c r="B21" s="13" t="s">
        <v>75</v>
      </c>
      <c r="C21" s="13" t="s">
        <v>265</v>
      </c>
      <c r="D21" s="13"/>
      <c r="E21" s="13"/>
      <c r="F21" s="13"/>
      <c r="G21" s="13"/>
      <c r="H21" s="13"/>
      <c r="I21" s="13"/>
      <c r="J21" s="13"/>
      <c r="K21" s="13"/>
      <c r="L21" s="13"/>
    </row>
    <row r="22" spans="2:12" ht="25.5">
      <c r="B22" s="13" t="s">
        <v>83</v>
      </c>
      <c r="C22" s="49" t="s">
        <v>164</v>
      </c>
      <c r="D22" s="13"/>
      <c r="E22" s="13"/>
      <c r="F22" s="13"/>
      <c r="G22" s="13"/>
      <c r="H22" s="13"/>
      <c r="I22" s="13"/>
      <c r="J22" s="13"/>
      <c r="K22" s="13"/>
      <c r="L22" s="13"/>
    </row>
    <row r="23" spans="2:12" ht="12.75">
      <c r="B23" s="13" t="s">
        <v>76</v>
      </c>
      <c r="C23" s="1" t="s">
        <v>280</v>
      </c>
      <c r="D23" s="13"/>
      <c r="E23" s="13"/>
      <c r="F23" s="13"/>
      <c r="G23" s="13"/>
      <c r="H23" s="13"/>
      <c r="I23" s="13"/>
      <c r="J23" s="13"/>
      <c r="K23" s="13"/>
      <c r="L23" s="13"/>
    </row>
    <row r="24" spans="2:12" ht="12.75" customHeight="1">
      <c r="B24" s="13"/>
      <c r="C24" s="13" t="s">
        <v>115</v>
      </c>
      <c r="D24" s="13"/>
      <c r="E24" s="13"/>
      <c r="F24" s="13"/>
      <c r="G24" s="13"/>
      <c r="H24" s="13"/>
      <c r="I24" s="13"/>
      <c r="J24" s="13"/>
      <c r="K24" s="13"/>
      <c r="L24" s="13"/>
    </row>
    <row r="25" spans="2:12" ht="12.7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12.75">
      <c r="B26" s="13" t="s">
        <v>8</v>
      </c>
      <c r="C26" s="14" t="s">
        <v>182</v>
      </c>
      <c r="D26" s="13"/>
      <c r="E26" s="13"/>
      <c r="F26" s="13"/>
      <c r="G26" s="13"/>
      <c r="H26" s="13"/>
      <c r="I26" s="13"/>
      <c r="J26" s="13"/>
      <c r="K26" s="13"/>
      <c r="L26" s="13"/>
    </row>
    <row r="27" spans="2:12" ht="12.75">
      <c r="B27" s="13" t="s">
        <v>9</v>
      </c>
      <c r="C27" s="48">
        <v>4.5</v>
      </c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12.75">
      <c r="B28" s="13" t="s">
        <v>10</v>
      </c>
      <c r="C28" s="14">
        <v>100</v>
      </c>
      <c r="D28" s="13"/>
      <c r="E28" s="13"/>
      <c r="F28" s="13"/>
      <c r="G28" s="13"/>
      <c r="H28" s="13"/>
      <c r="I28" s="13"/>
      <c r="J28" s="13"/>
      <c r="K28" s="13"/>
      <c r="L28" s="13"/>
    </row>
    <row r="29" spans="2:12" ht="12.75">
      <c r="B29" s="13" t="s">
        <v>78</v>
      </c>
      <c r="C29" s="15">
        <f>10500/15.9/60</f>
        <v>11.0062893081761</v>
      </c>
      <c r="D29" s="13"/>
      <c r="E29" s="13"/>
      <c r="F29" s="13"/>
      <c r="G29" s="13"/>
      <c r="H29" s="13"/>
      <c r="I29" s="13"/>
      <c r="J29" s="13"/>
      <c r="K29" s="13"/>
      <c r="L29" s="13"/>
    </row>
    <row r="30" spans="2:12" ht="14.25" customHeight="1">
      <c r="B30" s="13" t="s">
        <v>79</v>
      </c>
      <c r="C30" s="65">
        <f>'emiss 1'!O49</f>
        <v>197.75</v>
      </c>
      <c r="D30" s="13"/>
      <c r="E30" s="13"/>
      <c r="F30" s="13"/>
      <c r="G30" s="13"/>
      <c r="H30" s="13"/>
      <c r="I30" s="13"/>
      <c r="J30" s="13"/>
      <c r="K30" s="13"/>
      <c r="L30" s="13"/>
    </row>
    <row r="31" spans="2:12" ht="12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2:12" ht="12.75">
      <c r="B32" s="13" t="s">
        <v>11</v>
      </c>
      <c r="C32" s="13" t="s">
        <v>186</v>
      </c>
      <c r="D32" s="13"/>
      <c r="E32" s="13"/>
      <c r="F32" s="13"/>
      <c r="G32" s="13"/>
      <c r="H32" s="13"/>
      <c r="I32" s="13"/>
      <c r="J32" s="13"/>
      <c r="K32" s="13"/>
      <c r="L32" s="13"/>
    </row>
    <row r="33" spans="2:12" ht="25.5">
      <c r="B33" s="43" t="s">
        <v>98</v>
      </c>
      <c r="C33" s="43" t="s">
        <v>306</v>
      </c>
      <c r="D33" s="13"/>
      <c r="E33" s="13"/>
      <c r="F33" s="13"/>
      <c r="G33" s="13"/>
      <c r="H33" s="13"/>
      <c r="I33" s="13"/>
      <c r="J33" s="13"/>
      <c r="K33" s="13"/>
      <c r="L33" s="13"/>
    </row>
    <row r="34" spans="2:12" ht="12.7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2:12" ht="12.7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62" spans="2:12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2:12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2:12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2:12" ht="12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2:12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2:12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2:12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2:12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2:12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2:12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2:12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2:12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2:12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2:12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2:12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2:12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2:12" ht="12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2:12" ht="12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2:12" ht="12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2:12" ht="12.7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2:12" ht="12.7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2:12" ht="12.7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2:12" ht="12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2" ht="12.7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2:12" ht="12.7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2:12" ht="12.7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2:12" ht="12.7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2:12" ht="12.7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2:12" ht="12.7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2:12" ht="12.7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2:12" ht="12.7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2:12" ht="12.7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2:12" ht="12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2:12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2:12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2:12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2:12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2:12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2:12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2:12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2:12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2:12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2:12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2:12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2:12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2:12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2:12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2:12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2:12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2:12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2:12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2:12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2:12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2:12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2:12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2:12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2:12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2:12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2:12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2:12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2:12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2:12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2:12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2:12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2:12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2:12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2:12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2:12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2:12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2:12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2:12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2:12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2:12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2:12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2:12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2:12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2:12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2:12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2:12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2:12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2:12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2:12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2:12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2:12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2:12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2:12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2:12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2:12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2:12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2:12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2:12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2:12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2:12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2:12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2:12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2:12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2:12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2:12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2:12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2:12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2:12" ht="12.7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2:12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2:12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2:12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2:12" ht="12.7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2:12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2:12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2:12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2:12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2:12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2:12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2:12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2:12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2:12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2:12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2:12" ht="12.7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2:12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2:12" ht="12.7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2:12" ht="12.7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2:12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2:12" ht="12.7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2:12" ht="12.7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2:12" ht="12.7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2:12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2:12" ht="12.7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2:12" ht="12.7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2:12" ht="12.7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2:12" ht="12.7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2:12" ht="12.7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2:12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2:12" ht="12.7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2:12" ht="12.7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2:12" ht="12.7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2:12" ht="12.7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2:12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2:12" ht="12.7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2:12" ht="12.7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2:12" ht="12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2:12" ht="12.7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2:12" ht="12.7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2:12" ht="12.7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2:12" ht="12.7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2:12" ht="12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2:12" ht="12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2:12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2:12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2:12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2:12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2:12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2:12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2:12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2:12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2:12" ht="12.7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2:12" ht="12.7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2:12" ht="12.7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2:12" ht="12.7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2:12" ht="12.7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2:12" ht="12.7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2:12" ht="12.7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2:12" ht="12.7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2:12" ht="12.7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2:12" ht="12.7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2:12" ht="12.7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2:12" ht="12.7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2:12" ht="12.7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2:12" ht="12.7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2:12" ht="12.7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2:12" ht="12.7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2:12" ht="12.7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2:12" ht="12.7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2:12" ht="12.7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2:12" ht="12.7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2:12" ht="12.7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2:12" ht="12.7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2:12" ht="12.7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2:12" ht="12.7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2:12" ht="12.7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2:12" ht="12.7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2:12" ht="12.7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2:12" ht="12.7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2:12" ht="12.7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2:12" ht="12.7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2:12" ht="12.7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2:12" ht="12.7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2:12" ht="12.7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2:12" ht="12.7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2:12" ht="12.7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2:12" ht="12.7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2:12" ht="12.7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2:12" ht="12.7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2:12" ht="12.7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2:12" ht="12.7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2:12" ht="12.7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2:12" ht="12.7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2:12" ht="12.7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2:12" ht="12.7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2:12" ht="12.7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2:12" ht="12.7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2:12" ht="12.7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2:12" ht="12.7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2:12" ht="12.7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2:12" ht="12.7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2:12" ht="12.7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2:12" ht="12.7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2:12" ht="12.7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2:12" ht="12.7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2:12" ht="12.7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2:12" ht="12.7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2:12" ht="12.7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2:12" ht="12.7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2:12" ht="12.7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2:12" ht="12.7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2:12" ht="12.7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2:12" ht="12.7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2:12" ht="12.7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2:12" ht="12.7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2:12" ht="12.7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2:12" ht="12.7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2:12" ht="12.7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2:12" ht="12.7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2:12" ht="12.7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2:12" ht="12.7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2:12" ht="12.7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2:12" ht="12.7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2:12" ht="12.7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2:12" ht="12.7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2:12" ht="12.7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2:12" ht="12.7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2:12" ht="12.7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2:12" ht="12.7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2:12" ht="12.7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2:12" ht="12.7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2:12" ht="12.7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2:12" ht="12.7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2:12" ht="12.7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2:12" ht="12.7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2:12" ht="12.7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2:12" ht="12.7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2:12" ht="12.7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2:12" ht="12.7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2:12" ht="12.7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2:12" ht="12.7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2:12" ht="12.7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2:12" ht="12.7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2:12" ht="12.7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2:12" ht="12.7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2:12" ht="12.7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2:12" ht="12.7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2:12" ht="12.7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2:12" ht="12.7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2:12" ht="12.7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2:12" ht="12.7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2:12" ht="12.7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2:12" ht="12.7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2:12" ht="12.7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2:12" ht="12.7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2:12" ht="12.7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2:12" ht="12.7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2:12" ht="12.7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2:12" ht="12.7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2:12" ht="12.7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2:12" ht="12.7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2:12" ht="12.7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2:12" ht="12.7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2:12" ht="12.7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2:12" ht="12.7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2:12" ht="12.7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2:12" ht="12.7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2:12" ht="12.7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2:12" ht="12.7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2:12" ht="12.7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2:12" ht="12.7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2:12" ht="12.7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2:12" ht="12.7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2:12" ht="12.7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2:12" ht="12.7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2:12" ht="12.7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2:12" ht="12.7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2:12" ht="12.7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2:12" ht="12.7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2:12" ht="12.7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2:12" ht="12.7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2:12" ht="12.7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2:12" ht="12.7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2:12" ht="12.7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2:12" ht="12.7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2:12" ht="12.7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2:12" ht="12.7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2:12" ht="12.7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</row>
    <row r="351" spans="2:12" ht="12.7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2:12" ht="12.7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2:12" ht="12.7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2:12" ht="12.7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2:12" ht="12.7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2:12" ht="12.7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</row>
    <row r="357" spans="2:12" ht="12.7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</row>
    <row r="358" spans="2:12" ht="12.7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</row>
    <row r="359" spans="2:12" ht="12.7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2:12" ht="12.7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2:12" ht="12.7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2:12" ht="12.7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</row>
    <row r="363" spans="2:12" ht="12.7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</row>
    <row r="364" spans="2:12" ht="12.7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</row>
    <row r="365" spans="2:12" ht="12.7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2:12" ht="12.7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</row>
    <row r="367" spans="2:12" ht="12.7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2:12" ht="12.7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2:12" ht="12.7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2:12" ht="12.7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</row>
    <row r="371" spans="2:12" ht="12.7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</row>
    <row r="372" spans="2:12" ht="12.7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</row>
    <row r="373" spans="2:12" ht="12.7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</row>
    <row r="374" spans="2:12" ht="12.7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</row>
    <row r="375" spans="2:12" ht="12.7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</row>
    <row r="376" spans="2:12" ht="12.7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</row>
    <row r="377" spans="2:12" ht="12.7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2:12" ht="12.7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</row>
    <row r="379" spans="2:12" ht="12.7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</row>
    <row r="380" spans="2:12" ht="12.7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</row>
    <row r="381" spans="2:12" ht="12.7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</row>
    <row r="382" spans="2:12" ht="12.7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</row>
    <row r="383" spans="2:12" ht="12.7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</row>
    <row r="384" spans="2:12" ht="12.7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2:12" ht="12.7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2:12" ht="12.7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2:12" ht="12.7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</row>
    <row r="388" spans="2:12" ht="12.7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</row>
    <row r="389" spans="2:12" ht="12.7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</row>
    <row r="390" spans="2:12" ht="12.7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</row>
    <row r="391" spans="2:12" ht="12.7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</row>
    <row r="392" spans="2:12" ht="12.7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2:12" ht="12.7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2:12" ht="12.7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</row>
    <row r="395" spans="2:12" ht="12.7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</row>
    <row r="396" spans="2:12" ht="12.7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</row>
    <row r="397" spans="2:12" ht="12.7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</row>
    <row r="398" spans="2:12" ht="12.7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</row>
    <row r="399" spans="2:12" ht="12.7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</row>
    <row r="400" spans="2:12" ht="12.7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</row>
    <row r="401" spans="2:12" ht="12.7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</row>
    <row r="402" spans="2:12" ht="12.7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</row>
    <row r="403" spans="2:12" ht="12.7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</row>
    <row r="404" spans="2:12" ht="12.7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</row>
    <row r="405" spans="2:12" ht="12.7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</row>
    <row r="406" spans="2:12" ht="12.7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</row>
    <row r="407" spans="2:12" ht="12.7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</row>
    <row r="408" spans="2:12" ht="12.7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</row>
    <row r="409" spans="2:12" ht="12.7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</row>
    <row r="410" spans="2:12" ht="12.7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</row>
    <row r="411" spans="2:12" ht="12.7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</row>
    <row r="412" spans="2:12" ht="12.7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</row>
    <row r="413" spans="2:12" ht="12.7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</row>
    <row r="414" spans="2:12" ht="12.7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</row>
    <row r="415" spans="2:12" ht="12.7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</row>
    <row r="416" spans="2:12" ht="12.7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</row>
    <row r="417" spans="2:12" ht="12.7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</row>
    <row r="418" spans="2:12" ht="12.7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</row>
    <row r="419" spans="2:12" ht="12.7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</row>
    <row r="420" spans="2:12" ht="12.7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</row>
    <row r="421" spans="2:12" ht="12.7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</row>
    <row r="422" spans="2:12" ht="12.7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</row>
    <row r="423" spans="2:12" ht="12.7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</row>
    <row r="424" spans="2:12" ht="12.7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</row>
    <row r="425" spans="2:12" ht="12.7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</row>
    <row r="426" spans="2:12" ht="12.7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</row>
    <row r="427" spans="2:12" ht="12.7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</row>
    <row r="428" spans="2:12" ht="12.7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</row>
    <row r="429" spans="2:12" ht="12.7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</row>
    <row r="430" spans="2:12" ht="12.7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</row>
    <row r="431" spans="2:12" ht="12.7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</row>
    <row r="432" spans="2:12" ht="12.7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</row>
    <row r="433" spans="2:12" ht="12.7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</row>
    <row r="434" spans="2:12" ht="12.7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</row>
    <row r="435" spans="2:12" ht="12.7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</row>
    <row r="436" spans="2:12" ht="12.7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</row>
    <row r="437" spans="2:12" ht="12.7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</row>
    <row r="438" spans="2:12" ht="12.7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</row>
    <row r="439" spans="2:12" ht="12.7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</row>
    <row r="440" spans="2:12" ht="12.7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</row>
    <row r="441" spans="2:12" ht="12.7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</row>
    <row r="442" spans="2:12" ht="12.7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</row>
    <row r="443" spans="2:12" ht="12.7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</row>
    <row r="444" spans="2:12" ht="12.7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</row>
    <row r="445" spans="2:12" ht="12.7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</row>
    <row r="446" spans="2:12" ht="12.7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</row>
    <row r="447" spans="2:12" ht="12.7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</row>
    <row r="448" spans="2:12" ht="12.7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</row>
    <row r="449" spans="2:12" ht="12.7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</row>
    <row r="450" spans="2:12" ht="12.7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</row>
    <row r="451" spans="2:12" ht="12.7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</row>
    <row r="452" spans="2:12" ht="12.7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</row>
    <row r="453" spans="2:12" ht="12.7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</row>
    <row r="454" spans="2:12" ht="12.7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</row>
    <row r="455" spans="2:12" ht="12.7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</row>
    <row r="456" spans="2:12" ht="12.7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</row>
    <row r="457" spans="2:12" ht="12.7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</row>
    <row r="458" spans="2:12" ht="12.7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</row>
    <row r="459" spans="2:12" ht="12.7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</row>
    <row r="460" spans="2:12" ht="12.7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</row>
    <row r="461" spans="2:12" ht="12.7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</row>
    <row r="462" spans="2:12" ht="12.7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B6">
      <selection activeCell="C32" sqref="C32"/>
    </sheetView>
  </sheetViews>
  <sheetFormatPr defaultColWidth="9.140625" defaultRowHeight="12.75"/>
  <cols>
    <col min="1" max="1" width="3.8515625" style="0" hidden="1" customWidth="1"/>
    <col min="2" max="2" width="18.28125" style="0" customWidth="1"/>
    <col min="3" max="3" width="64.7109375" style="74" customWidth="1"/>
  </cols>
  <sheetData>
    <row r="1" ht="12.75">
      <c r="B1" s="6" t="s">
        <v>250</v>
      </c>
    </row>
    <row r="4" spans="2:12" s="1" customFormat="1" ht="12.75">
      <c r="B4" s="6" t="s">
        <v>166</v>
      </c>
      <c r="C4" s="13" t="s">
        <v>166</v>
      </c>
      <c r="D4" s="13"/>
      <c r="E4" s="13"/>
      <c r="F4" s="13"/>
      <c r="G4" s="13"/>
      <c r="H4" s="13"/>
      <c r="I4" s="13"/>
      <c r="J4" s="13"/>
      <c r="K4" s="13"/>
      <c r="L4" s="13"/>
    </row>
    <row r="5" spans="2:12" s="1" customFormat="1" ht="12.75">
      <c r="B5" s="6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2" s="1" customFormat="1" ht="25.5">
      <c r="B6" s="56" t="s">
        <v>199</v>
      </c>
      <c r="C6" s="49" t="s">
        <v>123</v>
      </c>
      <c r="D6" s="13"/>
      <c r="E6" s="13"/>
      <c r="F6" s="13"/>
      <c r="G6" s="13"/>
      <c r="H6" s="13"/>
      <c r="I6" s="13"/>
      <c r="J6" s="13"/>
      <c r="K6" s="13"/>
      <c r="L6" s="13"/>
    </row>
    <row r="7" spans="2:12" s="1" customFormat="1" ht="12.75">
      <c r="B7" s="13" t="s">
        <v>200</v>
      </c>
      <c r="C7" s="13" t="s">
        <v>124</v>
      </c>
      <c r="D7" s="13"/>
      <c r="E7" s="13"/>
      <c r="F7" s="13"/>
      <c r="G7" s="13"/>
      <c r="H7" s="13"/>
      <c r="I7" s="13"/>
      <c r="J7" s="13"/>
      <c r="K7" s="13"/>
      <c r="L7" s="13"/>
    </row>
    <row r="8" spans="2:12" s="1" customFormat="1" ht="12.75">
      <c r="B8" s="13" t="s">
        <v>201</v>
      </c>
      <c r="C8" s="13" t="s">
        <v>125</v>
      </c>
      <c r="D8" s="13"/>
      <c r="E8" s="13"/>
      <c r="F8" s="13"/>
      <c r="G8" s="13"/>
      <c r="H8" s="13"/>
      <c r="I8" s="13"/>
      <c r="J8" s="13"/>
      <c r="K8" s="13"/>
      <c r="L8" s="13"/>
    </row>
    <row r="9" spans="2:12" s="1" customFormat="1" ht="12.75">
      <c r="B9" s="13" t="s">
        <v>202</v>
      </c>
      <c r="C9" s="16" t="s">
        <v>274</v>
      </c>
      <c r="D9" s="13"/>
      <c r="E9" s="13"/>
      <c r="F9" s="13"/>
      <c r="G9" s="13"/>
      <c r="H9" s="13"/>
      <c r="I9" s="13"/>
      <c r="J9" s="13"/>
      <c r="K9" s="13"/>
      <c r="L9" s="13"/>
    </row>
    <row r="10" spans="2:12" s="1" customFormat="1" ht="12.75">
      <c r="B10" s="13" t="s">
        <v>273</v>
      </c>
      <c r="C10" s="89">
        <v>36951</v>
      </c>
      <c r="D10" s="13"/>
      <c r="E10" s="13"/>
      <c r="F10" s="13"/>
      <c r="G10" s="13"/>
      <c r="H10" s="13"/>
      <c r="I10" s="13"/>
      <c r="J10" s="13"/>
      <c r="K10" s="13"/>
      <c r="L10" s="13"/>
    </row>
    <row r="11" spans="2:12" s="1" customFormat="1" ht="12.75">
      <c r="B11" s="13" t="s">
        <v>203</v>
      </c>
      <c r="C11" s="13" t="s">
        <v>188</v>
      </c>
      <c r="D11" s="13"/>
      <c r="E11" s="13"/>
      <c r="F11" s="13"/>
      <c r="G11" s="13"/>
      <c r="H11" s="13"/>
      <c r="I11" s="13"/>
      <c r="J11" s="13"/>
      <c r="K11" s="13"/>
      <c r="L11" s="13"/>
    </row>
    <row r="12" spans="2:12" s="1" customFormat="1" ht="25.5">
      <c r="B12" s="56" t="s">
        <v>204</v>
      </c>
      <c r="C12" s="50" t="s">
        <v>187</v>
      </c>
      <c r="D12" s="13"/>
      <c r="E12" s="13"/>
      <c r="F12" s="13"/>
      <c r="G12" s="13"/>
      <c r="H12" s="13"/>
      <c r="I12" s="13"/>
      <c r="J12" s="13"/>
      <c r="K12" s="13"/>
      <c r="L12" s="13"/>
    </row>
    <row r="13" spans="2:12" s="1" customFormat="1" ht="12.7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2:12" s="1" customFormat="1" ht="12.75">
      <c r="B14" s="73" t="s">
        <v>165</v>
      </c>
      <c r="C14" s="1" t="s">
        <v>165</v>
      </c>
      <c r="D14" s="13"/>
      <c r="E14" s="13"/>
      <c r="F14" s="13"/>
      <c r="G14" s="13"/>
      <c r="H14" s="13"/>
      <c r="I14" s="13"/>
      <c r="J14" s="13"/>
      <c r="K14" s="13"/>
      <c r="L14" s="13"/>
    </row>
    <row r="15" spans="2:12" s="1" customFormat="1" ht="12.75">
      <c r="B15" s="73"/>
      <c r="D15" s="13"/>
      <c r="E15" s="13"/>
      <c r="F15" s="13"/>
      <c r="G15" s="13"/>
      <c r="H15" s="13"/>
      <c r="I15" s="13"/>
      <c r="J15" s="13"/>
      <c r="K15" s="13"/>
      <c r="L15" s="13"/>
    </row>
    <row r="16" spans="2:12" s="1" customFormat="1" ht="25.5">
      <c r="B16" s="56" t="s">
        <v>199</v>
      </c>
      <c r="C16" s="43" t="s">
        <v>169</v>
      </c>
      <c r="D16" s="13"/>
      <c r="E16" s="13"/>
      <c r="F16" s="13"/>
      <c r="G16" s="13"/>
      <c r="H16" s="13"/>
      <c r="I16" s="13"/>
      <c r="J16" s="13"/>
      <c r="K16" s="13"/>
      <c r="L16" s="13"/>
    </row>
    <row r="17" spans="2:12" s="1" customFormat="1" ht="12.75">
      <c r="B17" s="13" t="s">
        <v>200</v>
      </c>
      <c r="C17" s="13" t="s">
        <v>163</v>
      </c>
      <c r="D17" s="13"/>
      <c r="E17" s="13"/>
      <c r="F17" s="13"/>
      <c r="G17" s="13"/>
      <c r="H17" s="13"/>
      <c r="I17" s="13"/>
      <c r="J17" s="13"/>
      <c r="K17" s="13"/>
      <c r="L17" s="13"/>
    </row>
    <row r="18" spans="2:12" s="1" customFormat="1" ht="12.75">
      <c r="B18" s="13" t="s">
        <v>201</v>
      </c>
      <c r="C18" s="13" t="s">
        <v>125</v>
      </c>
      <c r="D18" s="13"/>
      <c r="E18" s="13"/>
      <c r="F18" s="13"/>
      <c r="G18" s="13"/>
      <c r="H18" s="13"/>
      <c r="I18" s="13"/>
      <c r="J18" s="13"/>
      <c r="K18" s="13"/>
      <c r="L18" s="13"/>
    </row>
    <row r="19" spans="2:12" s="1" customFormat="1" ht="12.75">
      <c r="B19" s="13" t="s">
        <v>202</v>
      </c>
      <c r="C19" s="13" t="s">
        <v>275</v>
      </c>
      <c r="D19" s="13"/>
      <c r="E19" s="13"/>
      <c r="F19" s="13"/>
      <c r="G19" s="13"/>
      <c r="H19" s="13"/>
      <c r="I19" s="13"/>
      <c r="J19" s="13"/>
      <c r="K19" s="13"/>
      <c r="L19" s="13"/>
    </row>
    <row r="20" spans="2:12" s="1" customFormat="1" ht="12.75">
      <c r="B20" s="13" t="s">
        <v>273</v>
      </c>
      <c r="C20" s="89">
        <v>36220</v>
      </c>
      <c r="D20" s="13"/>
      <c r="E20" s="13"/>
      <c r="F20" s="13"/>
      <c r="G20" s="13"/>
      <c r="H20" s="13"/>
      <c r="I20" s="13"/>
      <c r="J20" s="13"/>
      <c r="K20" s="13"/>
      <c r="L20" s="13"/>
    </row>
    <row r="21" spans="2:12" s="1" customFormat="1" ht="12.75">
      <c r="B21" s="13" t="s">
        <v>203</v>
      </c>
      <c r="C21" s="16" t="s">
        <v>167</v>
      </c>
      <c r="D21" s="13"/>
      <c r="E21" s="13"/>
      <c r="F21" s="13"/>
      <c r="G21" s="13"/>
      <c r="H21" s="13"/>
      <c r="I21" s="13"/>
      <c r="J21" s="13"/>
      <c r="K21" s="13"/>
      <c r="L21" s="13"/>
    </row>
    <row r="22" spans="2:12" s="1" customFormat="1" ht="12.75">
      <c r="B22" s="56" t="s">
        <v>204</v>
      </c>
      <c r="C22" s="13" t="s">
        <v>183</v>
      </c>
      <c r="D22" s="13"/>
      <c r="E22" s="13"/>
      <c r="F22" s="13"/>
      <c r="G22" s="13"/>
      <c r="H22" s="13"/>
      <c r="I22" s="13"/>
      <c r="J22" s="13"/>
      <c r="K22" s="13"/>
      <c r="L22" s="13"/>
    </row>
    <row r="23" spans="2:12" s="1" customFormat="1" ht="12.7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s="1" customFormat="1" ht="12.75">
      <c r="B24" s="72" t="s">
        <v>193</v>
      </c>
      <c r="D24" s="13"/>
      <c r="E24" s="13"/>
      <c r="F24" s="13"/>
      <c r="G24" s="13"/>
      <c r="H24" s="13"/>
      <c r="I24" s="13"/>
      <c r="J24" s="13"/>
      <c r="K24" s="13"/>
      <c r="L24" s="13"/>
    </row>
    <row r="25" spans="2:12" s="1" customFormat="1" ht="12.75">
      <c r="B25" s="72"/>
      <c r="D25" s="13"/>
      <c r="E25" s="13"/>
      <c r="F25" s="13"/>
      <c r="G25" s="13"/>
      <c r="H25" s="13"/>
      <c r="I25" s="13"/>
      <c r="J25" s="13"/>
      <c r="K25" s="13"/>
      <c r="L25" s="13"/>
    </row>
    <row r="26" spans="2:12" s="1" customFormat="1" ht="25.5">
      <c r="B26" s="56" t="s">
        <v>199</v>
      </c>
      <c r="C26" s="43" t="s">
        <v>304</v>
      </c>
      <c r="D26" s="13"/>
      <c r="E26" s="13"/>
      <c r="F26" s="13"/>
      <c r="G26" s="13"/>
      <c r="H26" s="13"/>
      <c r="I26" s="13"/>
      <c r="J26" s="13"/>
      <c r="K26" s="13"/>
      <c r="L26" s="13"/>
    </row>
    <row r="27" spans="2:12" s="1" customFormat="1" ht="12.75">
      <c r="B27" s="13" t="s">
        <v>200</v>
      </c>
      <c r="C27" s="13" t="s">
        <v>163</v>
      </c>
      <c r="D27" s="13"/>
      <c r="E27" s="13"/>
      <c r="F27" s="13"/>
      <c r="G27" s="13"/>
      <c r="H27" s="13"/>
      <c r="I27" s="13"/>
      <c r="J27" s="13"/>
      <c r="K27" s="13"/>
      <c r="L27" s="13"/>
    </row>
    <row r="28" spans="2:12" s="1" customFormat="1" ht="12.75">
      <c r="B28" s="13" t="s">
        <v>201</v>
      </c>
      <c r="C28" s="13" t="s">
        <v>125</v>
      </c>
      <c r="D28" s="13"/>
      <c r="E28" s="13"/>
      <c r="F28" s="13"/>
      <c r="G28" s="13"/>
      <c r="H28" s="13"/>
      <c r="I28" s="13"/>
      <c r="J28" s="13"/>
      <c r="K28" s="13"/>
      <c r="L28" s="13"/>
    </row>
    <row r="29" spans="2:12" s="1" customFormat="1" ht="12.75">
      <c r="B29" s="13" t="s">
        <v>202</v>
      </c>
      <c r="C29" s="13" t="s">
        <v>191</v>
      </c>
      <c r="D29" s="13"/>
      <c r="E29" s="13"/>
      <c r="F29" s="13"/>
      <c r="G29" s="13"/>
      <c r="H29" s="13"/>
      <c r="I29" s="13"/>
      <c r="J29" s="13"/>
      <c r="K29" s="13"/>
      <c r="L29" s="13"/>
    </row>
    <row r="30" spans="2:12" s="1" customFormat="1" ht="12.75">
      <c r="B30" s="13" t="s">
        <v>273</v>
      </c>
      <c r="C30" s="89">
        <v>35855</v>
      </c>
      <c r="D30" s="13"/>
      <c r="E30" s="13"/>
      <c r="F30" s="13"/>
      <c r="G30" s="13"/>
      <c r="H30" s="13"/>
      <c r="I30" s="13"/>
      <c r="J30" s="13"/>
      <c r="K30" s="13"/>
      <c r="L30" s="13"/>
    </row>
    <row r="31" spans="2:12" s="1" customFormat="1" ht="12.75">
      <c r="B31" s="13" t="s">
        <v>203</v>
      </c>
      <c r="C31" s="16" t="s">
        <v>192</v>
      </c>
      <c r="D31" s="13"/>
      <c r="E31" s="13"/>
      <c r="F31" s="13"/>
      <c r="G31" s="13"/>
      <c r="H31" s="13"/>
      <c r="I31" s="13"/>
      <c r="J31" s="13"/>
      <c r="K31" s="13"/>
      <c r="L31" s="13"/>
    </row>
    <row r="32" spans="2:12" s="1" customFormat="1" ht="12.75">
      <c r="B32" s="56" t="s">
        <v>204</v>
      </c>
      <c r="C32" s="13" t="s">
        <v>183</v>
      </c>
      <c r="D32" s="13"/>
      <c r="E32" s="13"/>
      <c r="F32" s="13"/>
      <c r="G32" s="13"/>
      <c r="H32" s="13"/>
      <c r="I32" s="13"/>
      <c r="J32" s="13"/>
      <c r="K32" s="13"/>
      <c r="L32" s="13"/>
    </row>
    <row r="34" ht="12.75">
      <c r="B34" s="6" t="s">
        <v>205</v>
      </c>
    </row>
    <row r="36" spans="2:3" s="75" customFormat="1" ht="38.25">
      <c r="B36" s="75" t="s">
        <v>199</v>
      </c>
      <c r="C36" s="76" t="s">
        <v>206</v>
      </c>
    </row>
    <row r="37" spans="2:3" ht="12.75">
      <c r="B37" t="s">
        <v>200</v>
      </c>
      <c r="C37" s="74" t="s">
        <v>207</v>
      </c>
    </row>
    <row r="38" spans="2:3" ht="12.75">
      <c r="B38" t="s">
        <v>201</v>
      </c>
      <c r="C38" s="74" t="s">
        <v>208</v>
      </c>
    </row>
    <row r="39" spans="1:3" ht="12.75">
      <c r="A39" t="s">
        <v>205</v>
      </c>
      <c r="B39" t="s">
        <v>209</v>
      </c>
      <c r="C39" s="74" t="s">
        <v>210</v>
      </c>
    </row>
    <row r="40" spans="1:3" ht="12.75">
      <c r="A40" t="s">
        <v>205</v>
      </c>
      <c r="B40" s="13" t="s">
        <v>202</v>
      </c>
      <c r="C40" s="74" t="s">
        <v>211</v>
      </c>
    </row>
    <row r="41" spans="1:3" ht="12.75">
      <c r="A41" t="s">
        <v>205</v>
      </c>
      <c r="B41" s="13" t="s">
        <v>273</v>
      </c>
      <c r="C41" s="90">
        <v>33832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36"/>
  <sheetViews>
    <sheetView workbookViewId="0" topLeftCell="B1">
      <selection activeCell="G22" sqref="G22"/>
    </sheetView>
  </sheetViews>
  <sheetFormatPr defaultColWidth="9.140625" defaultRowHeight="12.75"/>
  <cols>
    <col min="1" max="1" width="3.00390625" style="18" hidden="1" customWidth="1"/>
    <col min="2" max="2" width="17.00390625" style="18" customWidth="1"/>
    <col min="3" max="3" width="5.00390625" style="18" customWidth="1"/>
    <col min="4" max="4" width="8.00390625" style="8" customWidth="1"/>
    <col min="5" max="5" width="3.8515625" style="8" customWidth="1"/>
    <col min="6" max="6" width="4.00390625" style="8" customWidth="1"/>
    <col min="7" max="7" width="11.421875" style="18" customWidth="1"/>
    <col min="8" max="8" width="3.8515625" style="18" customWidth="1"/>
    <col min="9" max="9" width="10.7109375" style="19" customWidth="1"/>
    <col min="10" max="10" width="4.28125" style="18" customWidth="1"/>
    <col min="11" max="11" width="10.28125" style="18" customWidth="1"/>
    <col min="12" max="12" width="3.8515625" style="18" customWidth="1"/>
    <col min="13" max="13" width="11.421875" style="18" customWidth="1"/>
    <col min="14" max="14" width="4.00390625" style="18" customWidth="1"/>
    <col min="15" max="15" width="9.28125" style="18" customWidth="1"/>
    <col min="16" max="16" width="29.00390625" style="20" hidden="1" customWidth="1"/>
    <col min="17" max="16384" width="8.8515625" style="18" customWidth="1"/>
  </cols>
  <sheetData>
    <row r="1" spans="2:3" ht="12.75">
      <c r="B1" s="17" t="s">
        <v>251</v>
      </c>
      <c r="C1" s="17"/>
    </row>
    <row r="2" spans="2:16" ht="12.75">
      <c r="B2" s="20"/>
      <c r="C2" s="20"/>
      <c r="G2" s="20"/>
      <c r="H2" s="20"/>
      <c r="I2" s="21"/>
      <c r="J2" s="20"/>
      <c r="K2" s="20"/>
      <c r="L2" s="20"/>
      <c r="M2" s="20"/>
      <c r="N2" s="20"/>
      <c r="P2" s="20" t="s">
        <v>189</v>
      </c>
    </row>
    <row r="3" spans="2:5" ht="12.75">
      <c r="B3" s="13"/>
      <c r="C3" s="13" t="s">
        <v>89</v>
      </c>
      <c r="D3" s="8" t="s">
        <v>12</v>
      </c>
      <c r="E3" s="8" t="s">
        <v>71</v>
      </c>
    </row>
    <row r="4" spans="2:14" ht="12.75">
      <c r="B4" s="13"/>
      <c r="C4" s="13"/>
      <c r="G4" s="20"/>
      <c r="H4" s="20"/>
      <c r="I4" s="21"/>
      <c r="J4" s="20"/>
      <c r="K4" s="20"/>
      <c r="L4" s="20"/>
      <c r="M4" s="20"/>
      <c r="N4" s="20"/>
    </row>
    <row r="5" spans="2:14" ht="12.75">
      <c r="B5" s="13"/>
      <c r="C5" s="13"/>
      <c r="G5" s="20"/>
      <c r="H5" s="20"/>
      <c r="I5" s="21"/>
      <c r="J5" s="20"/>
      <c r="K5" s="20"/>
      <c r="L5" s="20"/>
      <c r="M5" s="20"/>
      <c r="N5" s="20"/>
    </row>
    <row r="6" spans="1:15" ht="12.75">
      <c r="A6" s="18">
        <v>1</v>
      </c>
      <c r="B6" s="22" t="s">
        <v>166</v>
      </c>
      <c r="C6" s="8" t="str">
        <f>cond!C11</f>
        <v>Halogenated waste trial burn, no metals spiking nor DRE</v>
      </c>
      <c r="G6" s="20" t="s">
        <v>212</v>
      </c>
      <c r="H6" s="20"/>
      <c r="I6" s="21" t="s">
        <v>213</v>
      </c>
      <c r="J6" s="20"/>
      <c r="K6" s="20" t="s">
        <v>214</v>
      </c>
      <c r="L6" s="20"/>
      <c r="M6" s="20" t="s">
        <v>215</v>
      </c>
      <c r="N6" s="20"/>
      <c r="O6" s="18" t="s">
        <v>48</v>
      </c>
    </row>
    <row r="7" spans="2:14" ht="12.75">
      <c r="B7" s="8"/>
      <c r="C7" s="8"/>
      <c r="D7" s="13"/>
      <c r="E7" s="13"/>
      <c r="F7" s="13"/>
      <c r="G7" s="13"/>
      <c r="H7" s="13"/>
      <c r="I7" s="23"/>
      <c r="J7" s="13"/>
      <c r="K7" s="13"/>
      <c r="L7" s="13"/>
      <c r="M7" s="13"/>
      <c r="N7" s="20"/>
    </row>
    <row r="8" spans="2:15" ht="12.75">
      <c r="B8" s="8" t="s">
        <v>150</v>
      </c>
      <c r="C8" s="8" t="s">
        <v>269</v>
      </c>
      <c r="D8" s="13" t="s">
        <v>16</v>
      </c>
      <c r="E8" s="13" t="s">
        <v>15</v>
      </c>
      <c r="F8" s="13"/>
      <c r="G8" s="13">
        <v>44</v>
      </c>
      <c r="H8" s="13"/>
      <c r="I8" s="23">
        <v>43</v>
      </c>
      <c r="J8" s="13"/>
      <c r="K8" s="13">
        <v>35</v>
      </c>
      <c r="L8" s="13"/>
      <c r="M8" s="13">
        <v>46</v>
      </c>
      <c r="N8" s="20"/>
      <c r="O8" s="18">
        <f>AVERAGE(M8,K8,I8,G8)</f>
        <v>42</v>
      </c>
    </row>
    <row r="9" spans="2:15" ht="12.75">
      <c r="B9" s="8" t="s">
        <v>151</v>
      </c>
      <c r="C9" s="8" t="s">
        <v>269</v>
      </c>
      <c r="D9" s="13" t="s">
        <v>16</v>
      </c>
      <c r="E9" s="13" t="s">
        <v>15</v>
      </c>
      <c r="F9" s="13"/>
      <c r="G9" s="13">
        <v>69</v>
      </c>
      <c r="H9" s="13"/>
      <c r="I9" s="23">
        <v>73</v>
      </c>
      <c r="J9" s="13"/>
      <c r="K9" s="13">
        <v>69</v>
      </c>
      <c r="L9" s="13"/>
      <c r="M9" s="13">
        <v>74</v>
      </c>
      <c r="N9" s="20"/>
      <c r="O9" s="64">
        <f>AVERAGE(M9,K9,I9,G9)</f>
        <v>71.25</v>
      </c>
    </row>
    <row r="10" spans="2:14" ht="12.75">
      <c r="B10" s="8"/>
      <c r="C10" s="8"/>
      <c r="D10" s="13"/>
      <c r="E10" s="13"/>
      <c r="F10" s="13"/>
      <c r="G10" s="13"/>
      <c r="H10" s="13"/>
      <c r="I10" s="23"/>
      <c r="J10" s="13"/>
      <c r="K10" s="13"/>
      <c r="L10" s="13"/>
      <c r="M10" s="13"/>
      <c r="N10" s="20"/>
    </row>
    <row r="11" spans="2:15" ht="12.75">
      <c r="B11" s="8" t="s">
        <v>13</v>
      </c>
      <c r="C11" s="8"/>
      <c r="D11" s="8" t="s">
        <v>14</v>
      </c>
      <c r="E11" s="8" t="s">
        <v>126</v>
      </c>
      <c r="F11"/>
      <c r="G11">
        <v>0.0014</v>
      </c>
      <c r="H11"/>
      <c r="I11">
        <v>0.0013</v>
      </c>
      <c r="J11"/>
      <c r="K11">
        <v>0.0014</v>
      </c>
      <c r="L11"/>
      <c r="M11">
        <v>0.0012</v>
      </c>
      <c r="N11"/>
      <c r="O11" s="57"/>
    </row>
    <row r="12" spans="2:15" ht="12.75">
      <c r="B12" s="8" t="s">
        <v>13</v>
      </c>
      <c r="C12" s="8"/>
      <c r="D12" s="8" t="s">
        <v>14</v>
      </c>
      <c r="E12" s="8" t="s">
        <v>15</v>
      </c>
      <c r="F12"/>
      <c r="G12" s="57">
        <f>G11*(21-7)/(21-G47)</f>
        <v>0.002202247191011236</v>
      </c>
      <c r="H12"/>
      <c r="I12" s="57">
        <f>I11*(21-7)/(21-I47)</f>
        <v>0.0021666666666666666</v>
      </c>
      <c r="J12"/>
      <c r="K12" s="57">
        <f>K11*(21-7)/(21-K47)</f>
        <v>0.00210752688172043</v>
      </c>
      <c r="L12"/>
      <c r="M12" s="57">
        <f>M11*(21-7)/(21-M47)</f>
        <v>0.001887640449438202</v>
      </c>
      <c r="N12"/>
      <c r="O12" s="57">
        <f>AVERAGE(K12,I12,G12,M12)</f>
        <v>0.0020910202972091335</v>
      </c>
    </row>
    <row r="13" spans="2:15" ht="12.75">
      <c r="B13" s="8"/>
      <c r="C13" s="8"/>
      <c r="F13"/>
      <c r="G13" s="57"/>
      <c r="H13"/>
      <c r="I13" s="57"/>
      <c r="J13"/>
      <c r="K13" s="57"/>
      <c r="L13"/>
      <c r="M13" s="57"/>
      <c r="N13"/>
      <c r="O13" s="57"/>
    </row>
    <row r="14" spans="2:15" ht="12.75">
      <c r="B14" s="8" t="s">
        <v>51</v>
      </c>
      <c r="C14" s="8"/>
      <c r="D14" s="8" t="s">
        <v>127</v>
      </c>
      <c r="E14" s="8" t="s">
        <v>15</v>
      </c>
      <c r="F14"/>
      <c r="G14">
        <v>0.019</v>
      </c>
      <c r="H14"/>
      <c r="I14">
        <v>0.02</v>
      </c>
      <c r="J14"/>
      <c r="K14">
        <v>0.021</v>
      </c>
      <c r="L14"/>
      <c r="M14">
        <v>0.025</v>
      </c>
      <c r="N14" s="5"/>
      <c r="O14" s="57">
        <f aca="true" t="shared" si="0" ref="O14:O19">AVERAGE(K14,I14,G14,M14)</f>
        <v>0.021249999999999998</v>
      </c>
    </row>
    <row r="15" spans="2:15" ht="12.75">
      <c r="B15" s="8" t="s">
        <v>52</v>
      </c>
      <c r="C15" s="8"/>
      <c r="D15" s="8" t="s">
        <v>127</v>
      </c>
      <c r="E15" s="8" t="s">
        <v>15</v>
      </c>
      <c r="F15"/>
      <c r="G15">
        <v>0.013</v>
      </c>
      <c r="H15"/>
      <c r="I15">
        <v>0.008</v>
      </c>
      <c r="J15"/>
      <c r="K15">
        <v>0.015</v>
      </c>
      <c r="L15"/>
      <c r="M15">
        <v>0.005</v>
      </c>
      <c r="N15" s="5"/>
      <c r="O15" s="57">
        <f t="shared" si="0"/>
        <v>0.010249999999999999</v>
      </c>
    </row>
    <row r="16" spans="2:15" ht="12.75">
      <c r="B16" s="8" t="s">
        <v>128</v>
      </c>
      <c r="C16" s="8"/>
      <c r="D16" s="8" t="s">
        <v>127</v>
      </c>
      <c r="E16" s="8" t="s">
        <v>15</v>
      </c>
      <c r="F16" t="s">
        <v>109</v>
      </c>
      <c r="G16">
        <v>0.036</v>
      </c>
      <c r="H16" t="s">
        <v>109</v>
      </c>
      <c r="I16">
        <v>0.039</v>
      </c>
      <c r="J16" t="s">
        <v>109</v>
      </c>
      <c r="K16">
        <v>0.036</v>
      </c>
      <c r="L16" t="s">
        <v>109</v>
      </c>
      <c r="M16">
        <v>0.039</v>
      </c>
      <c r="N16" s="5"/>
      <c r="O16" s="57">
        <f t="shared" si="0"/>
        <v>0.0375</v>
      </c>
    </row>
    <row r="17" spans="2:15" ht="12.75">
      <c r="B17" s="8"/>
      <c r="C17" s="8"/>
      <c r="F17"/>
      <c r="G17"/>
      <c r="H17"/>
      <c r="I17"/>
      <c r="J17"/>
      <c r="K17"/>
      <c r="L17"/>
      <c r="M17"/>
      <c r="N17" s="5"/>
      <c r="O17" s="57"/>
    </row>
    <row r="18" spans="2:15" ht="12.75">
      <c r="B18" s="8" t="s">
        <v>51</v>
      </c>
      <c r="C18" s="8" t="s">
        <v>269</v>
      </c>
      <c r="D18" s="8" t="s">
        <v>16</v>
      </c>
      <c r="E18" s="8" t="s">
        <v>15</v>
      </c>
      <c r="F18"/>
      <c r="G18" s="58">
        <f>G14/0.0283/1.518</f>
        <v>0.4422780578872144</v>
      </c>
      <c r="H18"/>
      <c r="I18" s="58">
        <f>I14/0.0283/1.518</f>
        <v>0.4655558504075942</v>
      </c>
      <c r="J18"/>
      <c r="K18" s="58">
        <f>K14/0.0283/1.518</f>
        <v>0.4888336429279739</v>
      </c>
      <c r="L18"/>
      <c r="M18" s="58">
        <f>M14/0.0283/1.518</f>
        <v>0.5819448130094927</v>
      </c>
      <c r="N18" s="5"/>
      <c r="O18" s="58">
        <f t="shared" si="0"/>
        <v>0.49465309105806876</v>
      </c>
    </row>
    <row r="19" spans="2:15" ht="12.75">
      <c r="B19" s="8" t="s">
        <v>52</v>
      </c>
      <c r="C19" s="8" t="s">
        <v>269</v>
      </c>
      <c r="D19" s="8" t="s">
        <v>16</v>
      </c>
      <c r="E19" s="8" t="s">
        <v>15</v>
      </c>
      <c r="F19"/>
      <c r="G19" s="58">
        <f>G15/0.0283/2.953</f>
        <v>0.15555840081177555</v>
      </c>
      <c r="H19"/>
      <c r="I19" s="58">
        <f>I15/0.0283/2.953</f>
        <v>0.09572824665340034</v>
      </c>
      <c r="J19"/>
      <c r="K19" s="58">
        <f>K15/0.0283/2.953</f>
        <v>0.17949046247512562</v>
      </c>
      <c r="L19"/>
      <c r="M19" s="58">
        <f>M15/0.0283/2.953</f>
        <v>0.05983015415837521</v>
      </c>
      <c r="N19" s="5"/>
      <c r="O19" s="58">
        <f t="shared" si="0"/>
        <v>0.12265181602466918</v>
      </c>
    </row>
    <row r="20" spans="2:15" ht="12.75">
      <c r="B20" s="8" t="s">
        <v>130</v>
      </c>
      <c r="C20" s="8" t="s">
        <v>269</v>
      </c>
      <c r="D20" s="8" t="s">
        <v>16</v>
      </c>
      <c r="E20" s="8" t="s">
        <v>15</v>
      </c>
      <c r="F20"/>
      <c r="G20" s="58">
        <f>G18+2*G19</f>
        <v>0.7533948595107656</v>
      </c>
      <c r="H20"/>
      <c r="I20" s="58">
        <f>I18+2*I19</f>
        <v>0.6570123437143949</v>
      </c>
      <c r="J20"/>
      <c r="K20" s="58">
        <f>K18+2*K19</f>
        <v>0.8478145678782252</v>
      </c>
      <c r="L20"/>
      <c r="M20" s="58">
        <f>M18+2*M19</f>
        <v>0.7016051213262432</v>
      </c>
      <c r="N20" s="5"/>
      <c r="O20" s="5">
        <f>AVERAGE(M20,K20,I20,G20)</f>
        <v>0.7399567231074073</v>
      </c>
    </row>
    <row r="21" spans="2:15" ht="12.75">
      <c r="B21" s="8" t="s">
        <v>128</v>
      </c>
      <c r="C21" s="8" t="s">
        <v>269</v>
      </c>
      <c r="D21" s="8" t="s">
        <v>16</v>
      </c>
      <c r="E21" s="8" t="s">
        <v>15</v>
      </c>
      <c r="F21"/>
      <c r="G21" s="58">
        <f>G16/2/0.0283/0.759</f>
        <v>0.8380005307336694</v>
      </c>
      <c r="H21"/>
      <c r="I21" s="58">
        <f>I16/2/0.0283/0.759</f>
        <v>0.9078339082948086</v>
      </c>
      <c r="J21"/>
      <c r="K21" s="58">
        <f>K16/2/0.0283/0.759</f>
        <v>0.8380005307336694</v>
      </c>
      <c r="L21"/>
      <c r="M21" s="58">
        <f>M16/2/0.0283/0.759</f>
        <v>0.9078339082948086</v>
      </c>
      <c r="N21" s="5"/>
      <c r="O21" s="5">
        <f>AVERAGE(M21,K21,I21,G21)</f>
        <v>0.872917219514239</v>
      </c>
    </row>
    <row r="22" spans="2:15" ht="12.75">
      <c r="B22" s="8"/>
      <c r="C22" s="8"/>
      <c r="F22"/>
      <c r="G22" s="58"/>
      <c r="H22"/>
      <c r="I22" s="58"/>
      <c r="J22"/>
      <c r="K22" s="58"/>
      <c r="L22"/>
      <c r="M22" s="58"/>
      <c r="N22" s="5"/>
      <c r="O22" s="5"/>
    </row>
    <row r="23" spans="2:15" ht="12.75">
      <c r="B23" s="8" t="s">
        <v>133</v>
      </c>
      <c r="C23" s="8"/>
      <c r="D23" s="8" t="s">
        <v>149</v>
      </c>
      <c r="E23" s="8" t="s">
        <v>126</v>
      </c>
      <c r="F23" t="s">
        <v>109</v>
      </c>
      <c r="G23">
        <v>0.038</v>
      </c>
      <c r="H23" t="s">
        <v>109</v>
      </c>
      <c r="I23">
        <v>0.039</v>
      </c>
      <c r="J23" t="s">
        <v>109</v>
      </c>
      <c r="K23">
        <v>0.072</v>
      </c>
      <c r="L23" t="s">
        <v>109</v>
      </c>
      <c r="M23">
        <v>0.038</v>
      </c>
      <c r="N23" s="5"/>
      <c r="O23" s="5"/>
    </row>
    <row r="24" spans="2:15" ht="12.75">
      <c r="B24" s="8" t="s">
        <v>134</v>
      </c>
      <c r="C24" s="8"/>
      <c r="D24" s="8" t="s">
        <v>149</v>
      </c>
      <c r="E24" s="8" t="s">
        <v>126</v>
      </c>
      <c r="F24"/>
      <c r="G24">
        <v>6.381</v>
      </c>
      <c r="H24"/>
      <c r="I24">
        <v>7.714</v>
      </c>
      <c r="J24"/>
      <c r="K24">
        <v>10.031</v>
      </c>
      <c r="L24"/>
      <c r="M24">
        <v>5.723</v>
      </c>
      <c r="N24" s="5"/>
      <c r="O24" s="5"/>
    </row>
    <row r="25" spans="2:15" ht="12.75">
      <c r="B25" s="8" t="s">
        <v>135</v>
      </c>
      <c r="C25" s="8"/>
      <c r="D25" s="8" t="s">
        <v>149</v>
      </c>
      <c r="E25" s="8" t="s">
        <v>126</v>
      </c>
      <c r="F25"/>
      <c r="G25" s="58">
        <f>0.8/119.859</f>
        <v>0.006674509214994286</v>
      </c>
      <c r="H25" s="58"/>
      <c r="I25" s="58">
        <f>0.6/119.036</f>
        <v>0.005040491952014516</v>
      </c>
      <c r="J25" s="58"/>
      <c r="K25" s="58">
        <f>0.5/126.774</f>
        <v>0.003944026377648414</v>
      </c>
      <c r="L25" s="58"/>
      <c r="M25" s="58">
        <f>0.6/120.995</f>
        <v>0.004958882598454481</v>
      </c>
      <c r="N25" s="5"/>
      <c r="O25" s="5"/>
    </row>
    <row r="26" spans="2:15" ht="12.75">
      <c r="B26" s="8" t="s">
        <v>136</v>
      </c>
      <c r="C26" s="8"/>
      <c r="D26" s="8" t="s">
        <v>149</v>
      </c>
      <c r="E26" s="8" t="s">
        <v>126</v>
      </c>
      <c r="F26"/>
      <c r="G26">
        <v>0.692</v>
      </c>
      <c r="H26"/>
      <c r="I26">
        <v>0.586</v>
      </c>
      <c r="J26"/>
      <c r="K26">
        <v>1.036</v>
      </c>
      <c r="L26"/>
      <c r="M26">
        <v>0.564</v>
      </c>
      <c r="N26" s="5"/>
      <c r="O26" s="5"/>
    </row>
    <row r="27" spans="2:15" ht="12.75">
      <c r="B27" s="8" t="s">
        <v>87</v>
      </c>
      <c r="C27" s="8"/>
      <c r="D27" s="8" t="s">
        <v>149</v>
      </c>
      <c r="E27" s="8" t="s">
        <v>126</v>
      </c>
      <c r="F27" t="s">
        <v>109</v>
      </c>
      <c r="G27" s="58">
        <f>2.2/119.859</f>
        <v>0.018354900341234284</v>
      </c>
      <c r="H27" s="58" t="s">
        <v>109</v>
      </c>
      <c r="I27" s="58">
        <f>2.4/119.036</f>
        <v>0.020161967808058064</v>
      </c>
      <c r="J27" s="58" t="s">
        <v>109</v>
      </c>
      <c r="K27" s="58">
        <f>4.6/126.774</f>
        <v>0.0362850426743654</v>
      </c>
      <c r="L27" s="58" t="s">
        <v>109</v>
      </c>
      <c r="M27" s="58">
        <f>2.2/120.995</f>
        <v>0.018182569527666434</v>
      </c>
      <c r="N27" s="5"/>
      <c r="O27" s="5"/>
    </row>
    <row r="28" spans="2:15" ht="12.75">
      <c r="B28" s="8" t="s">
        <v>137</v>
      </c>
      <c r="C28" s="8"/>
      <c r="D28" s="8" t="s">
        <v>149</v>
      </c>
      <c r="E28" s="8" t="s">
        <v>126</v>
      </c>
      <c r="F28"/>
      <c r="G28">
        <v>3.125</v>
      </c>
      <c r="H28"/>
      <c r="I28">
        <v>2.829</v>
      </c>
      <c r="J28"/>
      <c r="K28">
        <v>5.208</v>
      </c>
      <c r="L28"/>
      <c r="M28">
        <v>2.852</v>
      </c>
      <c r="N28" s="5"/>
      <c r="O28" s="5"/>
    </row>
    <row r="29" spans="2:15" ht="12.75">
      <c r="B29" s="8" t="s">
        <v>138</v>
      </c>
      <c r="C29" s="8"/>
      <c r="D29" s="8" t="s">
        <v>149</v>
      </c>
      <c r="E29" s="8" t="s">
        <v>126</v>
      </c>
      <c r="F29"/>
      <c r="G29" s="58">
        <f>21.6/119.859</f>
        <v>0.18021174880484572</v>
      </c>
      <c r="H29" s="58"/>
      <c r="I29" s="58">
        <f>24.595/119.036</f>
        <v>0.20661816593299503</v>
      </c>
      <c r="J29" s="58"/>
      <c r="K29" s="58">
        <f>25.605/126.774</f>
        <v>0.20197359079937527</v>
      </c>
      <c r="L29" s="58"/>
      <c r="M29" s="58">
        <f>37.09/120.995</f>
        <v>0.30654159262779457</v>
      </c>
      <c r="N29" s="5"/>
      <c r="O29" s="5"/>
    </row>
    <row r="30" spans="2:15" ht="12.75">
      <c r="B30" s="8" t="s">
        <v>194</v>
      </c>
      <c r="C30" s="8"/>
      <c r="D30" s="8" t="s">
        <v>149</v>
      </c>
      <c r="E30" s="8" t="s">
        <v>126</v>
      </c>
      <c r="F30" t="s">
        <v>109</v>
      </c>
      <c r="G30">
        <v>0.189</v>
      </c>
      <c r="H30" t="s">
        <v>109</v>
      </c>
      <c r="I30">
        <v>0.193</v>
      </c>
      <c r="J30" t="s">
        <v>109</v>
      </c>
      <c r="K30">
        <v>0.36</v>
      </c>
      <c r="L30" t="s">
        <v>109</v>
      </c>
      <c r="M30">
        <v>0.188</v>
      </c>
      <c r="N30" s="5"/>
      <c r="O30" s="5"/>
    </row>
    <row r="31" spans="2:15" ht="12.75">
      <c r="B31" s="8" t="s">
        <v>92</v>
      </c>
      <c r="C31" s="8"/>
      <c r="D31" s="8" t="s">
        <v>149</v>
      </c>
      <c r="E31" s="8" t="s">
        <v>126</v>
      </c>
      <c r="F31"/>
      <c r="G31" s="58">
        <f>9.1/119.859</f>
        <v>0.07592254232055999</v>
      </c>
      <c r="H31" s="58"/>
      <c r="I31" s="58">
        <f>12.8/119.036</f>
        <v>0.10753049497630969</v>
      </c>
      <c r="J31" s="58"/>
      <c r="K31" s="58">
        <f>11.2/126.774</f>
        <v>0.08834619085932446</v>
      </c>
      <c r="L31" s="58"/>
      <c r="M31" s="58">
        <f>9.2/120.995</f>
        <v>0.07603619984296871</v>
      </c>
      <c r="N31" s="5"/>
      <c r="O31" s="5"/>
    </row>
    <row r="32" spans="2:15" ht="12.75">
      <c r="B32" s="8" t="s">
        <v>139</v>
      </c>
      <c r="C32" s="8"/>
      <c r="D32" s="8" t="s">
        <v>149</v>
      </c>
      <c r="E32" s="8" t="s">
        <v>126</v>
      </c>
      <c r="F32"/>
      <c r="G32">
        <v>0.527</v>
      </c>
      <c r="H32"/>
      <c r="I32">
        <v>0.21</v>
      </c>
      <c r="J32"/>
      <c r="K32">
        <v>0.437</v>
      </c>
      <c r="L32"/>
      <c r="M32">
        <v>0.502</v>
      </c>
      <c r="N32" s="5"/>
      <c r="O32" s="5"/>
    </row>
    <row r="33" spans="2:15" ht="12.75">
      <c r="B33" s="8" t="s">
        <v>140</v>
      </c>
      <c r="C33" s="8"/>
      <c r="D33" s="8" t="s">
        <v>149</v>
      </c>
      <c r="E33" s="8" t="s">
        <v>126</v>
      </c>
      <c r="F33"/>
      <c r="G33">
        <v>0.231</v>
      </c>
      <c r="H33"/>
      <c r="I33">
        <v>0.046</v>
      </c>
      <c r="J33"/>
      <c r="K33">
        <v>0.34</v>
      </c>
      <c r="L33"/>
      <c r="M33">
        <v>1.63</v>
      </c>
      <c r="N33" s="5"/>
      <c r="O33" s="5"/>
    </row>
    <row r="34" spans="2:15" ht="12.75">
      <c r="B34" s="8" t="s">
        <v>141</v>
      </c>
      <c r="C34" s="8"/>
      <c r="D34" s="8" t="s">
        <v>149</v>
      </c>
      <c r="E34" s="8" t="s">
        <v>126</v>
      </c>
      <c r="F34" t="s">
        <v>109</v>
      </c>
      <c r="G34">
        <v>0.152</v>
      </c>
      <c r="H34"/>
      <c r="I34">
        <v>0.158</v>
      </c>
      <c r="J34" t="s">
        <v>109</v>
      </c>
      <c r="K34">
        <v>0.288</v>
      </c>
      <c r="L34"/>
      <c r="M34">
        <v>0.203</v>
      </c>
      <c r="N34" s="5"/>
      <c r="O34" s="5"/>
    </row>
    <row r="35" spans="2:15" ht="12.75">
      <c r="B35" s="8" t="s">
        <v>86</v>
      </c>
      <c r="C35" s="8"/>
      <c r="D35" s="8" t="s">
        <v>149</v>
      </c>
      <c r="E35" s="8" t="s">
        <v>126</v>
      </c>
      <c r="F35"/>
      <c r="G35" s="58">
        <f>11.4/119.859</f>
        <v>0.09511175631366857</v>
      </c>
      <c r="H35" s="58"/>
      <c r="I35" s="58">
        <f>14.39/119.036</f>
        <v>0.12088779864914816</v>
      </c>
      <c r="J35" s="58"/>
      <c r="K35" s="58">
        <f>17.19/126.774</f>
        <v>0.13559562686355248</v>
      </c>
      <c r="L35" s="58"/>
      <c r="M35" s="58">
        <f>16.39/120.995</f>
        <v>0.13546014298111492</v>
      </c>
      <c r="N35" s="5"/>
      <c r="O35" s="5"/>
    </row>
    <row r="36" spans="2:15" ht="12.75">
      <c r="B36" s="8" t="s">
        <v>142</v>
      </c>
      <c r="C36" s="8"/>
      <c r="D36" s="8" t="s">
        <v>149</v>
      </c>
      <c r="E36" s="8" t="s">
        <v>126</v>
      </c>
      <c r="F36"/>
      <c r="G36">
        <v>4.388</v>
      </c>
      <c r="H36"/>
      <c r="I36">
        <v>3.343</v>
      </c>
      <c r="J36"/>
      <c r="K36">
        <v>2.647</v>
      </c>
      <c r="L36"/>
      <c r="M36">
        <v>6.487</v>
      </c>
      <c r="N36" s="5"/>
      <c r="O36" s="5"/>
    </row>
    <row r="37" spans="2:15" ht="12.75">
      <c r="B37" s="8" t="s">
        <v>143</v>
      </c>
      <c r="C37" s="8"/>
      <c r="D37" s="8" t="s">
        <v>149</v>
      </c>
      <c r="E37" s="8" t="s">
        <v>126</v>
      </c>
      <c r="F37"/>
      <c r="G37">
        <v>0.015</v>
      </c>
      <c r="H37"/>
      <c r="I37">
        <v>0.033</v>
      </c>
      <c r="J37"/>
      <c r="K37">
        <v>0.017</v>
      </c>
      <c r="L37"/>
      <c r="M37">
        <v>0.02</v>
      </c>
      <c r="N37" s="5"/>
      <c r="O37" s="5"/>
    </row>
    <row r="38" spans="2:15" ht="12.75">
      <c r="B38" s="8" t="s">
        <v>144</v>
      </c>
      <c r="C38" s="8"/>
      <c r="D38" s="8" t="s">
        <v>149</v>
      </c>
      <c r="E38" s="8" t="s">
        <v>126</v>
      </c>
      <c r="F38"/>
      <c r="G38">
        <v>0.008</v>
      </c>
      <c r="H38" t="s">
        <v>109</v>
      </c>
      <c r="I38">
        <v>0.009</v>
      </c>
      <c r="J38"/>
      <c r="K38">
        <v>0.004</v>
      </c>
      <c r="L38"/>
      <c r="M38">
        <v>0.003</v>
      </c>
      <c r="N38" s="5"/>
      <c r="O38" s="5"/>
    </row>
    <row r="39" spans="2:15" ht="12.75">
      <c r="B39" s="8" t="s">
        <v>145</v>
      </c>
      <c r="C39" s="8"/>
      <c r="D39" s="8" t="s">
        <v>149</v>
      </c>
      <c r="E39" s="8" t="s">
        <v>126</v>
      </c>
      <c r="F39"/>
      <c r="G39">
        <v>0.656</v>
      </c>
      <c r="H39"/>
      <c r="I39">
        <v>0.45</v>
      </c>
      <c r="J39"/>
      <c r="K39">
        <v>1.634</v>
      </c>
      <c r="L39"/>
      <c r="M39">
        <v>6.688</v>
      </c>
      <c r="N39" s="5"/>
      <c r="O39" s="5"/>
    </row>
    <row r="40" spans="2:15" ht="12.75">
      <c r="B40" s="8" t="s">
        <v>146</v>
      </c>
      <c r="C40" s="8"/>
      <c r="D40" s="8" t="s">
        <v>149</v>
      </c>
      <c r="E40" s="8" t="s">
        <v>126</v>
      </c>
      <c r="F40" t="s">
        <v>109</v>
      </c>
      <c r="G40">
        <v>0.003</v>
      </c>
      <c r="H40" t="s">
        <v>109</v>
      </c>
      <c r="I40">
        <v>0.003</v>
      </c>
      <c r="J40" t="s">
        <v>109</v>
      </c>
      <c r="K40">
        <v>0.002</v>
      </c>
      <c r="L40" t="s">
        <v>109</v>
      </c>
      <c r="M40">
        <v>0.002</v>
      </c>
      <c r="N40" s="5"/>
      <c r="O40" s="5"/>
    </row>
    <row r="41" spans="2:15" ht="12.75">
      <c r="B41" s="8" t="s">
        <v>147</v>
      </c>
      <c r="C41" s="8"/>
      <c r="D41" s="8" t="s">
        <v>149</v>
      </c>
      <c r="E41" s="8" t="s">
        <v>126</v>
      </c>
      <c r="F41" t="s">
        <v>109</v>
      </c>
      <c r="G41">
        <v>0.076</v>
      </c>
      <c r="H41" t="s">
        <v>109</v>
      </c>
      <c r="I41">
        <v>0.077</v>
      </c>
      <c r="J41" t="s">
        <v>109</v>
      </c>
      <c r="K41">
        <v>0.144</v>
      </c>
      <c r="L41" t="s">
        <v>109</v>
      </c>
      <c r="M41">
        <v>0.075</v>
      </c>
      <c r="N41" s="5"/>
      <c r="O41" s="5"/>
    </row>
    <row r="42" spans="2:15" ht="12.75">
      <c r="B42" s="8" t="s">
        <v>148</v>
      </c>
      <c r="C42" s="8"/>
      <c r="D42" s="8" t="s">
        <v>149</v>
      </c>
      <c r="E42" s="8" t="s">
        <v>126</v>
      </c>
      <c r="F42"/>
      <c r="G42">
        <v>4.338</v>
      </c>
      <c r="H42"/>
      <c r="I42">
        <v>4.237</v>
      </c>
      <c r="J42"/>
      <c r="K42">
        <v>7.616</v>
      </c>
      <c r="L42"/>
      <c r="M42">
        <v>8.68</v>
      </c>
      <c r="N42" s="5"/>
      <c r="O42" s="5"/>
    </row>
    <row r="43" spans="2:15" ht="12.75">
      <c r="B43" s="8" t="s">
        <v>88</v>
      </c>
      <c r="C43" s="8"/>
      <c r="D43" s="8" t="s">
        <v>149</v>
      </c>
      <c r="E43" s="8" t="s">
        <v>126</v>
      </c>
      <c r="F43"/>
      <c r="G43" s="58">
        <f>4.265/119.859</f>
        <v>0.03558347725243828</v>
      </c>
      <c r="H43" s="58"/>
      <c r="I43" s="58">
        <f>2.37/119.036</f>
        <v>0.019909943210457342</v>
      </c>
      <c r="J43" s="58"/>
      <c r="K43" s="58">
        <f>2.735/126.774</f>
        <v>0.02157382428573682</v>
      </c>
      <c r="L43" s="58" t="s">
        <v>109</v>
      </c>
      <c r="M43" s="58">
        <f>3.257/120.995</f>
        <v>0.026918467705277078</v>
      </c>
      <c r="N43" s="5"/>
      <c r="O43" s="5"/>
    </row>
    <row r="44" spans="2:15" ht="12.75">
      <c r="B44" s="8"/>
      <c r="C44" s="8"/>
      <c r="F44"/>
      <c r="G44"/>
      <c r="H44"/>
      <c r="I44"/>
      <c r="J44"/>
      <c r="K44"/>
      <c r="L44"/>
      <c r="M44"/>
      <c r="N44"/>
      <c r="O44"/>
    </row>
    <row r="45" spans="2:15" ht="12.75">
      <c r="B45" s="8" t="s">
        <v>93</v>
      </c>
      <c r="C45" s="8" t="s">
        <v>129</v>
      </c>
      <c r="D45" s="8" t="s">
        <v>269</v>
      </c>
      <c r="F45"/>
      <c r="G45"/>
      <c r="H45"/>
      <c r="I45"/>
      <c r="J45"/>
      <c r="K45"/>
      <c r="L45"/>
      <c r="M45"/>
      <c r="N45"/>
      <c r="O45"/>
    </row>
    <row r="46" spans="2:15" ht="12.75">
      <c r="B46" s="8" t="s">
        <v>85</v>
      </c>
      <c r="C46" s="8"/>
      <c r="D46" s="8" t="s">
        <v>17</v>
      </c>
      <c r="F46"/>
      <c r="G46">
        <v>4441</v>
      </c>
      <c r="H46"/>
      <c r="I46">
        <v>4530</v>
      </c>
      <c r="J46"/>
      <c r="K46">
        <v>4630</v>
      </c>
      <c r="L46"/>
      <c r="M46">
        <v>4444</v>
      </c>
      <c r="N46"/>
      <c r="O46" s="66">
        <f>AVERAGE(K46,I46,G46,M46)</f>
        <v>4511.25</v>
      </c>
    </row>
    <row r="47" spans="2:15" ht="12.75">
      <c r="B47" s="8" t="s">
        <v>90</v>
      </c>
      <c r="C47" s="8"/>
      <c r="D47" s="8" t="s">
        <v>18</v>
      </c>
      <c r="F47"/>
      <c r="G47">
        <v>12.1</v>
      </c>
      <c r="H47"/>
      <c r="I47">
        <v>12.6</v>
      </c>
      <c r="J47"/>
      <c r="K47">
        <v>11.7</v>
      </c>
      <c r="L47"/>
      <c r="M47">
        <v>12.1</v>
      </c>
      <c r="N47"/>
      <c r="O47" s="66">
        <f>AVERAGE(K47,I47,G47,M47)</f>
        <v>12.125</v>
      </c>
    </row>
    <row r="48" spans="2:15" ht="12.75">
      <c r="B48" s="8" t="s">
        <v>91</v>
      </c>
      <c r="C48" s="8"/>
      <c r="D48" s="8" t="s">
        <v>18</v>
      </c>
      <c r="F48"/>
      <c r="G48">
        <v>46.04</v>
      </c>
      <c r="H48"/>
      <c r="I48">
        <v>46.17</v>
      </c>
      <c r="J48"/>
      <c r="K48">
        <v>46.69</v>
      </c>
      <c r="L48"/>
      <c r="M48">
        <v>46.94</v>
      </c>
      <c r="N48"/>
      <c r="O48" s="66">
        <f>AVERAGE(K48,I48,G48,M48)</f>
        <v>46.46</v>
      </c>
    </row>
    <row r="49" spans="2:15" ht="12.75">
      <c r="B49" s="8" t="s">
        <v>84</v>
      </c>
      <c r="C49" s="8"/>
      <c r="D49" s="8" t="s">
        <v>19</v>
      </c>
      <c r="F49"/>
      <c r="G49">
        <v>196</v>
      </c>
      <c r="H49"/>
      <c r="I49">
        <v>198</v>
      </c>
      <c r="J49"/>
      <c r="K49">
        <v>198</v>
      </c>
      <c r="L49"/>
      <c r="M49">
        <v>199</v>
      </c>
      <c r="N49"/>
      <c r="O49" s="66">
        <f>AVERAGE(K49,I49,G49,M49)</f>
        <v>197.75</v>
      </c>
    </row>
    <row r="50" spans="2:15" ht="12.75">
      <c r="B50" s="8"/>
      <c r="C50" s="8"/>
      <c r="F50"/>
      <c r="G50"/>
      <c r="H50"/>
      <c r="I50"/>
      <c r="J50"/>
      <c r="K50"/>
      <c r="L50"/>
      <c r="M50"/>
      <c r="N50"/>
      <c r="O50" s="66"/>
    </row>
    <row r="51" spans="2:15" ht="12.75">
      <c r="B51" s="8" t="s">
        <v>93</v>
      </c>
      <c r="C51" s="8" t="s">
        <v>108</v>
      </c>
      <c r="D51" s="8" t="s">
        <v>270</v>
      </c>
      <c r="F51"/>
      <c r="G51"/>
      <c r="H51"/>
      <c r="I51"/>
      <c r="J51"/>
      <c r="K51"/>
      <c r="L51"/>
      <c r="M51"/>
      <c r="N51"/>
      <c r="O51" s="66"/>
    </row>
    <row r="52" spans="2:15" ht="12.75">
      <c r="B52" s="8" t="s">
        <v>85</v>
      </c>
      <c r="C52" s="8"/>
      <c r="D52" s="8" t="s">
        <v>17</v>
      </c>
      <c r="F52"/>
      <c r="G52">
        <v>4695</v>
      </c>
      <c r="H52"/>
      <c r="I52">
        <v>4621</v>
      </c>
      <c r="J52"/>
      <c r="K52">
        <v>4846</v>
      </c>
      <c r="L52"/>
      <c r="M52">
        <v>4614</v>
      </c>
      <c r="N52"/>
      <c r="O52" s="66">
        <f>AVERAGE(K52,I52,G52,M52)</f>
        <v>4694</v>
      </c>
    </row>
    <row r="53" spans="2:15" ht="12.75">
      <c r="B53" s="8" t="s">
        <v>90</v>
      </c>
      <c r="C53" s="8"/>
      <c r="D53" s="8" t="s">
        <v>18</v>
      </c>
      <c r="F53"/>
      <c r="G53">
        <v>12.1</v>
      </c>
      <c r="H53"/>
      <c r="I53">
        <v>12.6</v>
      </c>
      <c r="J53"/>
      <c r="K53">
        <v>11.7</v>
      </c>
      <c r="L53"/>
      <c r="M53">
        <v>12.1</v>
      </c>
      <c r="N53"/>
      <c r="O53" s="66">
        <f>AVERAGE(K53,I53,G53,M53)</f>
        <v>12.125</v>
      </c>
    </row>
    <row r="54" spans="2:15" ht="12.75">
      <c r="B54" s="8" t="s">
        <v>91</v>
      </c>
      <c r="C54" s="8"/>
      <c r="D54" s="8" t="s">
        <v>18</v>
      </c>
      <c r="F54"/>
      <c r="G54">
        <v>45.75</v>
      </c>
      <c r="H54"/>
      <c r="I54">
        <v>46.3</v>
      </c>
      <c r="J54"/>
      <c r="K54">
        <v>46.42</v>
      </c>
      <c r="L54"/>
      <c r="M54">
        <v>46.72</v>
      </c>
      <c r="N54"/>
      <c r="O54" s="66">
        <f>AVERAGE(K54,I54,G54,M54)</f>
        <v>46.2975</v>
      </c>
    </row>
    <row r="55" spans="2:15" ht="12.75">
      <c r="B55" s="8" t="s">
        <v>84</v>
      </c>
      <c r="C55" s="8"/>
      <c r="D55" s="8" t="s">
        <v>19</v>
      </c>
      <c r="F55"/>
      <c r="G55">
        <v>203</v>
      </c>
      <c r="H55"/>
      <c r="I55">
        <v>197</v>
      </c>
      <c r="J55"/>
      <c r="K55">
        <v>192</v>
      </c>
      <c r="L55"/>
      <c r="M55">
        <v>211</v>
      </c>
      <c r="N55"/>
      <c r="O55" s="66">
        <f>AVERAGE(K55,I55,G55,M55)</f>
        <v>200.75</v>
      </c>
    </row>
    <row r="56" spans="2:15" ht="12.75">
      <c r="B56" s="8"/>
      <c r="C56" s="8"/>
      <c r="F56"/>
      <c r="G56"/>
      <c r="H56"/>
      <c r="I56"/>
      <c r="J56"/>
      <c r="K56"/>
      <c r="L56"/>
      <c r="M56"/>
      <c r="N56"/>
      <c r="O56"/>
    </row>
    <row r="57" spans="2:15" ht="12.75">
      <c r="B57" s="8" t="s">
        <v>133</v>
      </c>
      <c r="C57" s="8" t="s">
        <v>270</v>
      </c>
      <c r="D57" s="8" t="s">
        <v>59</v>
      </c>
      <c r="E57" s="8" t="s">
        <v>15</v>
      </c>
      <c r="F57" t="s">
        <v>109</v>
      </c>
      <c r="G57" s="5">
        <f aca="true" t="shared" si="1" ref="G57:I77">G23/0.0283*(21-7)/(21-G$53)</f>
        <v>2.1122007384761976</v>
      </c>
      <c r="H57" t="s">
        <v>109</v>
      </c>
      <c r="I57" s="5">
        <f t="shared" si="1"/>
        <v>2.296819787985866</v>
      </c>
      <c r="J57" t="s">
        <v>109</v>
      </c>
      <c r="K57" s="5">
        <f aca="true" t="shared" si="2" ref="K57:K77">K23/0.0283*(21-7)/(21-K$53)</f>
        <v>3.8299327482047185</v>
      </c>
      <c r="L57" t="s">
        <v>109</v>
      </c>
      <c r="M57" s="5">
        <f aca="true" t="shared" si="3" ref="M57:M77">M23/0.0283*(21-7)/(21-M$53)</f>
        <v>2.1122007384761976</v>
      </c>
      <c r="N57" s="5"/>
      <c r="O57" s="5">
        <f aca="true" t="shared" si="4" ref="O57:O76">AVERAGE(G57,I57,K57,M57)</f>
        <v>2.587788503285745</v>
      </c>
    </row>
    <row r="58" spans="2:15" ht="12.75">
      <c r="B58" s="8" t="s">
        <v>134</v>
      </c>
      <c r="C58" s="8" t="s">
        <v>270</v>
      </c>
      <c r="D58" s="8" t="s">
        <v>59</v>
      </c>
      <c r="E58" s="8" t="s">
        <v>15</v>
      </c>
      <c r="F58"/>
      <c r="G58" s="5">
        <f t="shared" si="1"/>
        <v>354.6829713741216</v>
      </c>
      <c r="H58"/>
      <c r="I58" s="5">
        <f t="shared" si="1"/>
        <v>454.29917550058894</v>
      </c>
      <c r="J58"/>
      <c r="K58" s="5">
        <f t="shared" si="2"/>
        <v>533.5841027394658</v>
      </c>
      <c r="L58"/>
      <c r="M58" s="5">
        <f t="shared" si="3"/>
        <v>318.1085480605074</v>
      </c>
      <c r="N58" s="5"/>
      <c r="O58" s="5">
        <f t="shared" si="4"/>
        <v>415.16869941867094</v>
      </c>
    </row>
    <row r="59" spans="2:15" ht="12.75">
      <c r="B59" s="8" t="s">
        <v>135</v>
      </c>
      <c r="C59" s="8" t="s">
        <v>270</v>
      </c>
      <c r="D59" s="8" t="s">
        <v>59</v>
      </c>
      <c r="E59" s="8" t="s">
        <v>15</v>
      </c>
      <c r="F59"/>
      <c r="G59" s="5">
        <f t="shared" si="1"/>
        <v>0.3709974550757137</v>
      </c>
      <c r="H59" s="58"/>
      <c r="I59" s="5">
        <f t="shared" si="1"/>
        <v>0.2968487604248832</v>
      </c>
      <c r="J59" s="58"/>
      <c r="K59" s="5">
        <f t="shared" si="2"/>
        <v>0.20979660810470682</v>
      </c>
      <c r="L59" s="58"/>
      <c r="M59" s="5">
        <f t="shared" si="3"/>
        <v>0.2756356706966401</v>
      </c>
      <c r="N59" s="5"/>
      <c r="O59" s="5">
        <f t="shared" si="4"/>
        <v>0.2883196235754859</v>
      </c>
    </row>
    <row r="60" spans="2:15" ht="12.75">
      <c r="B60" s="8" t="s">
        <v>136</v>
      </c>
      <c r="C60" s="8" t="s">
        <v>270</v>
      </c>
      <c r="D60" s="8" t="s">
        <v>59</v>
      </c>
      <c r="E60" s="8" t="s">
        <v>15</v>
      </c>
      <c r="F60"/>
      <c r="G60" s="5">
        <f t="shared" si="1"/>
        <v>38.46428713225076</v>
      </c>
      <c r="H60"/>
      <c r="I60" s="5">
        <f t="shared" si="1"/>
        <v>34.51118963486454</v>
      </c>
      <c r="J60"/>
      <c r="K60" s="5">
        <f t="shared" si="2"/>
        <v>55.108476765834574</v>
      </c>
      <c r="L60"/>
      <c r="M60" s="5">
        <f t="shared" si="3"/>
        <v>31.34950569738357</v>
      </c>
      <c r="N60" s="5"/>
      <c r="O60" s="5">
        <f t="shared" si="4"/>
        <v>39.858364807583364</v>
      </c>
    </row>
    <row r="61" spans="2:15" ht="12.75">
      <c r="B61" s="8" t="s">
        <v>87</v>
      </c>
      <c r="C61" s="8" t="s">
        <v>270</v>
      </c>
      <c r="D61" s="8" t="s">
        <v>59</v>
      </c>
      <c r="E61" s="8" t="s">
        <v>15</v>
      </c>
      <c r="F61" t="s">
        <v>109</v>
      </c>
      <c r="G61" s="5">
        <f t="shared" si="1"/>
        <v>1.0202430014582125</v>
      </c>
      <c r="H61" s="58" t="s">
        <v>109</v>
      </c>
      <c r="I61" s="5">
        <f t="shared" si="1"/>
        <v>1.1873950416995327</v>
      </c>
      <c r="J61" s="58" t="s">
        <v>109</v>
      </c>
      <c r="K61" s="5">
        <f t="shared" si="2"/>
        <v>1.9301287945633026</v>
      </c>
      <c r="L61" s="58" t="s">
        <v>109</v>
      </c>
      <c r="M61" s="5">
        <f t="shared" si="3"/>
        <v>1.0106641258876805</v>
      </c>
      <c r="N61" s="5"/>
      <c r="O61" s="5">
        <f t="shared" si="4"/>
        <v>1.287107740902182</v>
      </c>
    </row>
    <row r="62" spans="2:15" ht="12.75">
      <c r="B62" s="8" t="s">
        <v>137</v>
      </c>
      <c r="C62" s="8" t="s">
        <v>270</v>
      </c>
      <c r="D62" s="8" t="s">
        <v>59</v>
      </c>
      <c r="E62" s="8" t="s">
        <v>15</v>
      </c>
      <c r="F62"/>
      <c r="G62" s="5">
        <f t="shared" si="1"/>
        <v>173.70071862468734</v>
      </c>
      <c r="H62"/>
      <c r="I62" s="5">
        <f t="shared" si="1"/>
        <v>166.60777385159014</v>
      </c>
      <c r="J62"/>
      <c r="K62" s="5">
        <f t="shared" si="2"/>
        <v>277.0318021201414</v>
      </c>
      <c r="L62"/>
      <c r="M62" s="5">
        <f t="shared" si="3"/>
        <v>158.52622384563466</v>
      </c>
      <c r="N62" s="5"/>
      <c r="O62" s="5">
        <f t="shared" si="4"/>
        <v>193.9666296105134</v>
      </c>
    </row>
    <row r="63" spans="2:15" ht="12.75">
      <c r="B63" s="8" t="s">
        <v>138</v>
      </c>
      <c r="C63" s="8" t="s">
        <v>270</v>
      </c>
      <c r="D63" s="8" t="s">
        <v>59</v>
      </c>
      <c r="E63" s="8" t="s">
        <v>15</v>
      </c>
      <c r="F63"/>
      <c r="G63" s="5">
        <f t="shared" si="1"/>
        <v>10.01693128704427</v>
      </c>
      <c r="H63" s="58"/>
      <c r="I63" s="5">
        <f t="shared" si="1"/>
        <v>12.168325437750001</v>
      </c>
      <c r="J63" s="58"/>
      <c r="K63" s="5">
        <f t="shared" si="2"/>
        <v>10.743684301042038</v>
      </c>
      <c r="L63" s="58"/>
      <c r="M63" s="5">
        <f t="shared" si="3"/>
        <v>17.0388783768973</v>
      </c>
      <c r="N63" s="5"/>
      <c r="O63" s="5">
        <f t="shared" si="4"/>
        <v>12.491954850683403</v>
      </c>
    </row>
    <row r="64" spans="2:15" ht="12.75">
      <c r="B64" s="8" t="s">
        <v>194</v>
      </c>
      <c r="C64" s="8" t="s">
        <v>270</v>
      </c>
      <c r="D64" s="8" t="s">
        <v>59</v>
      </c>
      <c r="E64" s="8" t="s">
        <v>15</v>
      </c>
      <c r="F64" t="s">
        <v>109</v>
      </c>
      <c r="G64" s="5">
        <f t="shared" si="1"/>
        <v>10.505419462421091</v>
      </c>
      <c r="H64" t="s">
        <v>109</v>
      </c>
      <c r="I64" s="5">
        <f t="shared" si="1"/>
        <v>11.366313309776208</v>
      </c>
      <c r="J64" t="s">
        <v>109</v>
      </c>
      <c r="K64" s="5">
        <f t="shared" si="2"/>
        <v>19.14966374102359</v>
      </c>
      <c r="L64" t="s">
        <v>109</v>
      </c>
      <c r="M64" s="5">
        <f t="shared" si="3"/>
        <v>10.44983523246119</v>
      </c>
      <c r="N64" s="5"/>
      <c r="O64" s="5">
        <f t="shared" si="4"/>
        <v>12.86780793642052</v>
      </c>
    </row>
    <row r="65" spans="2:15" ht="12.75">
      <c r="B65" s="8" t="s">
        <v>92</v>
      </c>
      <c r="C65" s="8" t="s">
        <v>270</v>
      </c>
      <c r="D65" s="8" t="s">
        <v>59</v>
      </c>
      <c r="E65" s="8" t="s">
        <v>15</v>
      </c>
      <c r="F65"/>
      <c r="G65" s="5">
        <f t="shared" si="1"/>
        <v>4.220096051486243</v>
      </c>
      <c r="H65" s="58"/>
      <c r="I65" s="5">
        <f t="shared" si="1"/>
        <v>6.332773555730841</v>
      </c>
      <c r="J65" s="58"/>
      <c r="K65" s="5">
        <f t="shared" si="2"/>
        <v>4.699444021545433</v>
      </c>
      <c r="L65" s="58"/>
      <c r="M65" s="5">
        <f t="shared" si="3"/>
        <v>4.226413617348481</v>
      </c>
      <c r="N65" s="5"/>
      <c r="O65" s="5">
        <f t="shared" si="4"/>
        <v>4.869681811527749</v>
      </c>
    </row>
    <row r="66" spans="2:15" ht="12.75">
      <c r="B66" s="8" t="s">
        <v>139</v>
      </c>
      <c r="C66" s="8" t="s">
        <v>270</v>
      </c>
      <c r="D66" s="8" t="s">
        <v>59</v>
      </c>
      <c r="E66" s="8" t="s">
        <v>15</v>
      </c>
      <c r="F66"/>
      <c r="G66" s="5">
        <f t="shared" si="1"/>
        <v>29.29288918886727</v>
      </c>
      <c r="H66"/>
      <c r="I66" s="5">
        <f t="shared" si="1"/>
        <v>12.367491166077738</v>
      </c>
      <c r="J66"/>
      <c r="K66" s="5">
        <f t="shared" si="2"/>
        <v>23.245564041186977</v>
      </c>
      <c r="L66"/>
      <c r="M66" s="5">
        <f t="shared" si="3"/>
        <v>27.903283439869778</v>
      </c>
      <c r="N66" s="5"/>
      <c r="O66" s="5">
        <f t="shared" si="4"/>
        <v>23.202306959000442</v>
      </c>
    </row>
    <row r="67" spans="2:15" ht="12.75">
      <c r="B67" s="8" t="s">
        <v>140</v>
      </c>
      <c r="C67" s="8" t="s">
        <v>270</v>
      </c>
      <c r="D67" s="8" t="s">
        <v>59</v>
      </c>
      <c r="E67" s="8" t="s">
        <v>15</v>
      </c>
      <c r="F67"/>
      <c r="G67" s="5">
        <f t="shared" si="1"/>
        <v>12.839957120736889</v>
      </c>
      <c r="H67"/>
      <c r="I67" s="5">
        <f t="shared" si="1"/>
        <v>2.70906949352179</v>
      </c>
      <c r="J67"/>
      <c r="K67" s="5">
        <f t="shared" si="2"/>
        <v>18.08579353318895</v>
      </c>
      <c r="L67"/>
      <c r="M67" s="5">
        <f t="shared" si="3"/>
        <v>90.60229483463691</v>
      </c>
      <c r="N67" s="5"/>
      <c r="O67" s="5">
        <f t="shared" si="4"/>
        <v>31.059278745521134</v>
      </c>
    </row>
    <row r="68" spans="2:15" ht="12.75">
      <c r="B68" s="8" t="s">
        <v>141</v>
      </c>
      <c r="C68" s="8" t="s">
        <v>270</v>
      </c>
      <c r="D68" s="8" t="s">
        <v>59</v>
      </c>
      <c r="E68" s="8" t="s">
        <v>15</v>
      </c>
      <c r="F68" t="s">
        <v>109</v>
      </c>
      <c r="G68" s="5">
        <f t="shared" si="1"/>
        <v>8.44880295390479</v>
      </c>
      <c r="H68"/>
      <c r="I68" s="5">
        <f t="shared" si="1"/>
        <v>9.305064782096586</v>
      </c>
      <c r="J68" t="s">
        <v>109</v>
      </c>
      <c r="K68" s="5">
        <f t="shared" si="2"/>
        <v>15.319730992818874</v>
      </c>
      <c r="L68"/>
      <c r="M68" s="5">
        <f t="shared" si="3"/>
        <v>11.283598681859692</v>
      </c>
      <c r="N68" s="5"/>
      <c r="O68" s="5">
        <f t="shared" si="4"/>
        <v>11.089299352669986</v>
      </c>
    </row>
    <row r="69" spans="2:15" ht="12.75">
      <c r="B69" s="8" t="s">
        <v>86</v>
      </c>
      <c r="C69" s="8" t="s">
        <v>270</v>
      </c>
      <c r="D69" s="8" t="s">
        <v>59</v>
      </c>
      <c r="E69" s="8" t="s">
        <v>15</v>
      </c>
      <c r="F69"/>
      <c r="G69" s="5">
        <f t="shared" si="1"/>
        <v>5.286713734828919</v>
      </c>
      <c r="H69" s="58"/>
      <c r="I69" s="5">
        <f t="shared" si="1"/>
        <v>7.119422770856781</v>
      </c>
      <c r="J69" s="58"/>
      <c r="K69" s="5">
        <f t="shared" si="2"/>
        <v>7.21280738663982</v>
      </c>
      <c r="L69" s="58"/>
      <c r="M69" s="5">
        <f t="shared" si="3"/>
        <v>7.529447737863219</v>
      </c>
      <c r="N69" s="5"/>
      <c r="O69" s="5">
        <f t="shared" si="4"/>
        <v>6.787097907547185</v>
      </c>
    </row>
    <row r="70" spans="2:15" ht="12.75">
      <c r="B70" s="8" t="s">
        <v>142</v>
      </c>
      <c r="C70" s="8" t="s">
        <v>270</v>
      </c>
      <c r="D70" s="8" t="s">
        <v>59</v>
      </c>
      <c r="E70" s="8" t="s">
        <v>15</v>
      </c>
      <c r="F70"/>
      <c r="G70" s="5">
        <f t="shared" si="1"/>
        <v>243.90360106404094</v>
      </c>
      <c r="H70"/>
      <c r="I70" s="5">
        <f t="shared" si="1"/>
        <v>196.87868080094228</v>
      </c>
      <c r="J70"/>
      <c r="K70" s="5">
        <f t="shared" si="2"/>
        <v>140.80322200691515</v>
      </c>
      <c r="L70"/>
      <c r="M70" s="5">
        <f t="shared" si="3"/>
        <v>360.57489974987095</v>
      </c>
      <c r="N70" s="5"/>
      <c r="O70" s="5">
        <f t="shared" si="4"/>
        <v>235.54010090544233</v>
      </c>
    </row>
    <row r="71" spans="2:15" ht="12.75">
      <c r="B71" s="8" t="s">
        <v>143</v>
      </c>
      <c r="C71" s="8" t="s">
        <v>270</v>
      </c>
      <c r="D71" s="8" t="s">
        <v>59</v>
      </c>
      <c r="E71" s="8" t="s">
        <v>15</v>
      </c>
      <c r="F71"/>
      <c r="G71" s="5">
        <f t="shared" si="1"/>
        <v>0.8337634493984991</v>
      </c>
      <c r="H71"/>
      <c r="I71" s="5">
        <f t="shared" si="1"/>
        <v>1.943462897526502</v>
      </c>
      <c r="J71"/>
      <c r="K71" s="5">
        <f t="shared" si="2"/>
        <v>0.9042896766594476</v>
      </c>
      <c r="L71"/>
      <c r="M71" s="5">
        <f t="shared" si="3"/>
        <v>1.1116845991979991</v>
      </c>
      <c r="N71" s="5"/>
      <c r="O71" s="5">
        <f t="shared" si="4"/>
        <v>1.198300155695612</v>
      </c>
    </row>
    <row r="72" spans="2:15" ht="12.75">
      <c r="B72" s="8" t="s">
        <v>144</v>
      </c>
      <c r="C72" s="8" t="s">
        <v>270</v>
      </c>
      <c r="D72" s="8" t="s">
        <v>59</v>
      </c>
      <c r="E72" s="8" t="s">
        <v>15</v>
      </c>
      <c r="F72"/>
      <c r="G72" s="5">
        <f t="shared" si="1"/>
        <v>0.4446738396791996</v>
      </c>
      <c r="H72" t="s">
        <v>109</v>
      </c>
      <c r="I72" s="5">
        <f t="shared" si="1"/>
        <v>0.5300353356890459</v>
      </c>
      <c r="J72"/>
      <c r="K72" s="5">
        <f t="shared" si="2"/>
        <v>0.21277404156692883</v>
      </c>
      <c r="L72"/>
      <c r="M72" s="5">
        <f t="shared" si="3"/>
        <v>0.16675268987969985</v>
      </c>
      <c r="N72" s="5"/>
      <c r="O72" s="5">
        <f t="shared" si="4"/>
        <v>0.33855897670371854</v>
      </c>
    </row>
    <row r="73" spans="2:15" ht="12.75">
      <c r="B73" s="8" t="s">
        <v>145</v>
      </c>
      <c r="C73" s="8" t="s">
        <v>270</v>
      </c>
      <c r="D73" s="8" t="s">
        <v>59</v>
      </c>
      <c r="E73" s="8" t="s">
        <v>15</v>
      </c>
      <c r="F73"/>
      <c r="G73" s="5">
        <f t="shared" si="1"/>
        <v>36.463254853694366</v>
      </c>
      <c r="H73"/>
      <c r="I73" s="5">
        <f t="shared" si="1"/>
        <v>26.501766784452297</v>
      </c>
      <c r="J73"/>
      <c r="K73" s="5">
        <f t="shared" si="2"/>
        <v>86.91819598009042</v>
      </c>
      <c r="L73"/>
      <c r="M73" s="5">
        <f t="shared" si="3"/>
        <v>371.7473299718108</v>
      </c>
      <c r="N73" s="5"/>
      <c r="O73" s="5">
        <f t="shared" si="4"/>
        <v>130.40763689751196</v>
      </c>
    </row>
    <row r="74" spans="2:15" ht="12.75">
      <c r="B74" s="8" t="s">
        <v>146</v>
      </c>
      <c r="C74" s="8" t="s">
        <v>270</v>
      </c>
      <c r="D74" s="8" t="s">
        <v>59</v>
      </c>
      <c r="E74" s="8" t="s">
        <v>15</v>
      </c>
      <c r="F74" t="s">
        <v>109</v>
      </c>
      <c r="G74" s="5">
        <f t="shared" si="1"/>
        <v>0.16675268987969985</v>
      </c>
      <c r="H74" t="s">
        <v>109</v>
      </c>
      <c r="I74" s="5">
        <f t="shared" si="1"/>
        <v>0.17667844522968199</v>
      </c>
      <c r="J74" t="s">
        <v>109</v>
      </c>
      <c r="K74" s="5">
        <f t="shared" si="2"/>
        <v>0.10638702078346442</v>
      </c>
      <c r="L74" t="s">
        <v>109</v>
      </c>
      <c r="M74" s="5">
        <f t="shared" si="3"/>
        <v>0.1111684599197999</v>
      </c>
      <c r="N74" s="5"/>
      <c r="O74" s="5">
        <f t="shared" si="4"/>
        <v>0.14024665395316155</v>
      </c>
    </row>
    <row r="75" spans="2:15" ht="12.75">
      <c r="B75" s="8" t="s">
        <v>147</v>
      </c>
      <c r="C75" s="8" t="s">
        <v>270</v>
      </c>
      <c r="D75" s="8" t="s">
        <v>59</v>
      </c>
      <c r="E75" s="8" t="s">
        <v>15</v>
      </c>
      <c r="F75" t="s">
        <v>109</v>
      </c>
      <c r="G75" s="5">
        <f t="shared" si="1"/>
        <v>4.224401476952395</v>
      </c>
      <c r="H75" t="s">
        <v>109</v>
      </c>
      <c r="I75" s="5">
        <f t="shared" si="1"/>
        <v>4.534746760895171</v>
      </c>
      <c r="J75" t="s">
        <v>109</v>
      </c>
      <c r="K75" s="5">
        <f t="shared" si="2"/>
        <v>7.659865496409437</v>
      </c>
      <c r="L75" t="s">
        <v>109</v>
      </c>
      <c r="M75" s="5">
        <f t="shared" si="3"/>
        <v>4.1688172469924965</v>
      </c>
      <c r="N75" s="5"/>
      <c r="O75" s="5">
        <f t="shared" si="4"/>
        <v>5.146957745312375</v>
      </c>
    </row>
    <row r="76" spans="2:15" ht="12.75">
      <c r="B76" s="8" t="s">
        <v>148</v>
      </c>
      <c r="C76" s="8" t="s">
        <v>270</v>
      </c>
      <c r="D76" s="8" t="s">
        <v>59</v>
      </c>
      <c r="E76" s="8" t="s">
        <v>15</v>
      </c>
      <c r="F76"/>
      <c r="G76" s="5">
        <f t="shared" si="1"/>
        <v>241.12438956604598</v>
      </c>
      <c r="H76"/>
      <c r="I76" s="5">
        <f t="shared" si="1"/>
        <v>249.52885747938754</v>
      </c>
      <c r="J76"/>
      <c r="K76" s="5">
        <f t="shared" si="2"/>
        <v>405.1217751434324</v>
      </c>
      <c r="L76"/>
      <c r="M76" s="5">
        <f t="shared" si="3"/>
        <v>482.4711160519316</v>
      </c>
      <c r="N76" s="5"/>
      <c r="O76" s="5">
        <f t="shared" si="4"/>
        <v>344.5615345601994</v>
      </c>
    </row>
    <row r="77" spans="2:15" ht="12.75">
      <c r="B77" s="8" t="s">
        <v>88</v>
      </c>
      <c r="C77" s="8" t="s">
        <v>270</v>
      </c>
      <c r="D77" s="8" t="s">
        <v>59</v>
      </c>
      <c r="E77" s="8" t="s">
        <v>15</v>
      </c>
      <c r="F77"/>
      <c r="G77" s="5">
        <f t="shared" si="1"/>
        <v>1.9778801823723984</v>
      </c>
      <c r="H77"/>
      <c r="I77" s="5">
        <f t="shared" si="1"/>
        <v>1.1725526036782885</v>
      </c>
      <c r="J77"/>
      <c r="K77" s="5">
        <f t="shared" si="2"/>
        <v>1.1475874463327462</v>
      </c>
      <c r="L77" s="58" t="s">
        <v>109</v>
      </c>
      <c r="M77" s="5">
        <f t="shared" si="3"/>
        <v>1.4962422990982616</v>
      </c>
      <c r="N77" s="5"/>
      <c r="O77" s="5">
        <f>AVERAGE(G77,I77,K77,M77)</f>
        <v>1.4485656328704237</v>
      </c>
    </row>
    <row r="78" spans="2:15" ht="12.75">
      <c r="B78" s="8"/>
      <c r="C78" s="8"/>
      <c r="F78"/>
      <c r="G78"/>
      <c r="H78"/>
      <c r="I78"/>
      <c r="J78"/>
      <c r="K78"/>
      <c r="L78"/>
      <c r="M78"/>
      <c r="N78"/>
      <c r="O78"/>
    </row>
    <row r="79" spans="2:18" ht="12.75">
      <c r="B79" t="s">
        <v>60</v>
      </c>
      <c r="C79" s="8" t="s">
        <v>270</v>
      </c>
      <c r="D79" s="8" t="s">
        <v>59</v>
      </c>
      <c r="E79"/>
      <c r="F79"/>
      <c r="G79" s="5">
        <f>SUM(G69,G63)</f>
        <v>15.30364502187319</v>
      </c>
      <c r="H79" s="5"/>
      <c r="I79" s="5">
        <f>I69+I63</f>
        <v>19.287748208606782</v>
      </c>
      <c r="J79" s="5"/>
      <c r="K79" s="5">
        <f>K69+K63</f>
        <v>17.956491687681858</v>
      </c>
      <c r="L79" s="5"/>
      <c r="M79" s="5">
        <f>M69+M63</f>
        <v>24.56832611476052</v>
      </c>
      <c r="N79" s="5"/>
      <c r="O79" s="5">
        <f>AVERAGE(G79,I79,K79,M79)</f>
        <v>19.279052758230588</v>
      </c>
      <c r="P79" s="52"/>
      <c r="Q79"/>
      <c r="R79"/>
    </row>
    <row r="80" spans="2:18" ht="12.75">
      <c r="B80" t="s">
        <v>61</v>
      </c>
      <c r="C80" s="8" t="s">
        <v>270</v>
      </c>
      <c r="D80" s="8" t="s">
        <v>59</v>
      </c>
      <c r="E80"/>
      <c r="F80"/>
      <c r="G80" s="5">
        <f>G65+G59+G61</f>
        <v>5.61133650802017</v>
      </c>
      <c r="H80" s="5"/>
      <c r="I80" s="5">
        <f>I65+I59+I61</f>
        <v>7.817017357855256</v>
      </c>
      <c r="J80" s="5"/>
      <c r="K80" s="5">
        <f>K65+K59+K61</f>
        <v>6.839369424213443</v>
      </c>
      <c r="L80" s="5"/>
      <c r="M80" s="5">
        <f>M65+M59+M61</f>
        <v>5.512713413932801</v>
      </c>
      <c r="N80" s="5"/>
      <c r="O80" s="5">
        <f>AVERAGE(G80,I80,K80,M80)</f>
        <v>6.445109176005417</v>
      </c>
      <c r="P80" s="52"/>
      <c r="Q80"/>
      <c r="R80"/>
    </row>
    <row r="81" spans="2:18" ht="12.7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 s="52"/>
      <c r="Q81"/>
      <c r="R81"/>
    </row>
    <row r="82" spans="2:18" ht="12.7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 s="52"/>
      <c r="Q82"/>
      <c r="R82"/>
    </row>
    <row r="83" spans="2:18" ht="13.5" customHeight="1">
      <c r="B83" s="22" t="s">
        <v>165</v>
      </c>
      <c r="C83" s="8" t="str">
        <f>cond!C21</f>
        <v>Trial burn, low temp, no metals spiking</v>
      </c>
      <c r="D83"/>
      <c r="E83"/>
      <c r="F83"/>
      <c r="G83" s="20" t="s">
        <v>212</v>
      </c>
      <c r="H83" s="20"/>
      <c r="I83" s="21" t="s">
        <v>213</v>
      </c>
      <c r="J83" s="20"/>
      <c r="K83" s="20" t="s">
        <v>214</v>
      </c>
      <c r="L83" s="20"/>
      <c r="M83" s="20" t="s">
        <v>215</v>
      </c>
      <c r="N83" s="20"/>
      <c r="O83" s="18" t="s">
        <v>48</v>
      </c>
      <c r="P83" s="52"/>
      <c r="Q83"/>
      <c r="R83"/>
    </row>
    <row r="84" spans="2:16" ht="12.75">
      <c r="B84" s="22"/>
      <c r="C84" s="22"/>
      <c r="P84" s="52"/>
    </row>
    <row r="85" spans="2:16" ht="12.75">
      <c r="B85" s="8" t="s">
        <v>150</v>
      </c>
      <c r="C85" s="8" t="s">
        <v>269</v>
      </c>
      <c r="D85" s="13" t="s">
        <v>16</v>
      </c>
      <c r="E85" t="s">
        <v>15</v>
      </c>
      <c r="G85">
        <v>15.5</v>
      </c>
      <c r="I85">
        <v>14.3</v>
      </c>
      <c r="K85">
        <v>11.7</v>
      </c>
      <c r="M85">
        <v>14.9</v>
      </c>
      <c r="O85" s="5">
        <f>AVERAGE(K85,I85,G85,M85)</f>
        <v>14.1</v>
      </c>
      <c r="P85" s="52"/>
    </row>
    <row r="86" spans="2:16" ht="12.75">
      <c r="B86" s="8" t="s">
        <v>151</v>
      </c>
      <c r="C86" s="8"/>
      <c r="D86" s="13" t="s">
        <v>16</v>
      </c>
      <c r="O86" s="57"/>
      <c r="P86" s="52"/>
    </row>
    <row r="87" spans="15:16" ht="12.75">
      <c r="O87" s="57"/>
      <c r="P87" s="52"/>
    </row>
    <row r="88" spans="1:16" ht="12.75">
      <c r="A88" s="18">
        <v>2</v>
      </c>
      <c r="B88" s="8" t="s">
        <v>13</v>
      </c>
      <c r="C88" s="8" t="s">
        <v>269</v>
      </c>
      <c r="D88" s="8" t="s">
        <v>14</v>
      </c>
      <c r="E88" s="8" t="s">
        <v>15</v>
      </c>
      <c r="G88" s="57">
        <v>0.0018</v>
      </c>
      <c r="I88" s="57">
        <v>0.0016</v>
      </c>
      <c r="K88" s="57">
        <v>0.0013</v>
      </c>
      <c r="M88" s="57">
        <v>0.002</v>
      </c>
      <c r="O88" s="57">
        <f>AVERAGE(K88,I88,G88,M88)</f>
        <v>0.0016749999999999998</v>
      </c>
      <c r="P88" s="20" t="s">
        <v>172</v>
      </c>
    </row>
    <row r="89" spans="1:16" ht="12.75">
      <c r="A89" s="18"/>
      <c r="O89" s="57"/>
      <c r="P89" s="52"/>
    </row>
    <row r="90" spans="1:16" ht="12.75">
      <c r="A90" s="18"/>
      <c r="B90" s="8" t="s">
        <v>51</v>
      </c>
      <c r="C90" s="8"/>
      <c r="D90" s="8" t="s">
        <v>127</v>
      </c>
      <c r="E90" s="8" t="s">
        <v>15</v>
      </c>
      <c r="F90" t="s">
        <v>109</v>
      </c>
      <c r="G90">
        <v>0.012</v>
      </c>
      <c r="H90" t="s">
        <v>109</v>
      </c>
      <c r="I90">
        <v>0.012</v>
      </c>
      <c r="J90" t="s">
        <v>109</v>
      </c>
      <c r="K90">
        <v>0.012</v>
      </c>
      <c r="L90" t="s">
        <v>109</v>
      </c>
      <c r="M90">
        <v>0.012</v>
      </c>
      <c r="N90" s="5"/>
      <c r="O90" s="60">
        <f aca="true" t="shared" si="5" ref="O90:O95">AVERAGE(K90,I90,G90,M90)</f>
        <v>0.012</v>
      </c>
      <c r="P90" s="20" t="s">
        <v>172</v>
      </c>
    </row>
    <row r="91" spans="1:16" ht="12.75">
      <c r="A91" s="18"/>
      <c r="B91" s="8" t="s">
        <v>52</v>
      </c>
      <c r="C91" s="8"/>
      <c r="D91" s="8" t="s">
        <v>127</v>
      </c>
      <c r="E91" s="8" t="s">
        <v>15</v>
      </c>
      <c r="F91" t="s">
        <v>109</v>
      </c>
      <c r="G91">
        <v>0.028</v>
      </c>
      <c r="I91">
        <v>0.026</v>
      </c>
      <c r="J91" t="s">
        <v>109</v>
      </c>
      <c r="K91">
        <v>0.03</v>
      </c>
      <c r="L91" t="s">
        <v>109</v>
      </c>
      <c r="M91">
        <v>0.025</v>
      </c>
      <c r="N91" s="5"/>
      <c r="O91" s="60">
        <f t="shared" si="5"/>
        <v>0.027249999999999996</v>
      </c>
      <c r="P91" s="20" t="s">
        <v>172</v>
      </c>
    </row>
    <row r="92" spans="2:16" ht="12.75">
      <c r="B92" s="8" t="s">
        <v>128</v>
      </c>
      <c r="C92" s="8"/>
      <c r="D92" s="8" t="s">
        <v>127</v>
      </c>
      <c r="E92" s="8" t="s">
        <v>15</v>
      </c>
      <c r="F92" t="s">
        <v>109</v>
      </c>
      <c r="G92">
        <v>0.012</v>
      </c>
      <c r="H92" t="s">
        <v>109</v>
      </c>
      <c r="I92">
        <v>0.012</v>
      </c>
      <c r="J92" t="s">
        <v>109</v>
      </c>
      <c r="K92">
        <v>0.012</v>
      </c>
      <c r="L92" t="s">
        <v>109</v>
      </c>
      <c r="M92">
        <v>0.012</v>
      </c>
      <c r="N92" s="5"/>
      <c r="O92" s="60">
        <f t="shared" si="5"/>
        <v>0.012</v>
      </c>
      <c r="P92" s="20" t="s">
        <v>172</v>
      </c>
    </row>
    <row r="93" spans="2:15" ht="12.75">
      <c r="B93" s="8"/>
      <c r="C93" s="8"/>
      <c r="F93"/>
      <c r="G93"/>
      <c r="H93"/>
      <c r="I93"/>
      <c r="J93"/>
      <c r="K93"/>
      <c r="L93"/>
      <c r="M93"/>
      <c r="N93" s="5"/>
      <c r="O93" s="60"/>
    </row>
    <row r="94" spans="2:16" ht="12.75">
      <c r="B94" s="8" t="s">
        <v>51</v>
      </c>
      <c r="C94" s="8" t="s">
        <v>269</v>
      </c>
      <c r="D94" s="8" t="s">
        <v>16</v>
      </c>
      <c r="E94" s="8" t="s">
        <v>15</v>
      </c>
      <c r="F94" t="s">
        <v>109</v>
      </c>
      <c r="G94" s="58">
        <f>G90/0.0283/1.518</f>
        <v>0.2793335102445565</v>
      </c>
      <c r="H94" t="s">
        <v>109</v>
      </c>
      <c r="I94" s="58">
        <f>I90/0.0283/1.518</f>
        <v>0.2793335102445565</v>
      </c>
      <c r="J94" t="s">
        <v>109</v>
      </c>
      <c r="K94" s="58">
        <f>K90/0.0283/1.518</f>
        <v>0.2793335102445565</v>
      </c>
      <c r="L94" t="s">
        <v>109</v>
      </c>
      <c r="M94" s="58">
        <f>M90/0.0283/1.518</f>
        <v>0.2793335102445565</v>
      </c>
      <c r="N94" s="5"/>
      <c r="O94" s="58">
        <f t="shared" si="5"/>
        <v>0.2793335102445565</v>
      </c>
      <c r="P94" s="20" t="s">
        <v>172</v>
      </c>
    </row>
    <row r="95" spans="2:16" ht="12.75">
      <c r="B95" s="8" t="s">
        <v>52</v>
      </c>
      <c r="C95" s="8" t="s">
        <v>269</v>
      </c>
      <c r="D95" s="8" t="s">
        <v>16</v>
      </c>
      <c r="E95" s="8" t="s">
        <v>15</v>
      </c>
      <c r="F95" t="s">
        <v>109</v>
      </c>
      <c r="G95" s="58">
        <f>G91/0.0283/2.953</f>
        <v>0.3350488632869012</v>
      </c>
      <c r="H95"/>
      <c r="I95" s="58">
        <f>I91/0.0283/2.953</f>
        <v>0.3111168016235511</v>
      </c>
      <c r="J95" t="s">
        <v>109</v>
      </c>
      <c r="K95" s="58">
        <f>K91/0.0283/2.953</f>
        <v>0.35898092495025125</v>
      </c>
      <c r="L95" t="s">
        <v>109</v>
      </c>
      <c r="M95" s="58">
        <f>M91/0.0283/2.953</f>
        <v>0.2991507707918761</v>
      </c>
      <c r="N95" s="5"/>
      <c r="O95" s="58">
        <f t="shared" si="5"/>
        <v>0.32607434016314496</v>
      </c>
      <c r="P95" s="20" t="s">
        <v>172</v>
      </c>
    </row>
    <row r="96" spans="2:16" ht="12.75">
      <c r="B96" s="8" t="s">
        <v>130</v>
      </c>
      <c r="C96" s="8" t="s">
        <v>269</v>
      </c>
      <c r="D96" s="8" t="s">
        <v>16</v>
      </c>
      <c r="E96" s="8" t="s">
        <v>15</v>
      </c>
      <c r="F96" s="8">
        <v>100</v>
      </c>
      <c r="G96" s="58">
        <f>G94+2*G95</f>
        <v>0.9494312368183588</v>
      </c>
      <c r="H96" s="8">
        <v>100</v>
      </c>
      <c r="I96" s="58">
        <f>I94+2*I95</f>
        <v>0.9015671134916587</v>
      </c>
      <c r="J96" s="8">
        <v>100</v>
      </c>
      <c r="K96" s="58">
        <f>K94+2*K95</f>
        <v>0.9972953601450589</v>
      </c>
      <c r="L96" s="8">
        <v>100</v>
      </c>
      <c r="M96" s="58">
        <f>M94+2*M95</f>
        <v>0.8776350518283087</v>
      </c>
      <c r="N96" s="8">
        <v>100</v>
      </c>
      <c r="O96" s="58">
        <f>AVERAGE(M96,K96,I96,G96)</f>
        <v>0.9314821905708462</v>
      </c>
      <c r="P96" s="20" t="s">
        <v>173</v>
      </c>
    </row>
    <row r="97" spans="2:16" ht="12.75">
      <c r="B97" s="8" t="s">
        <v>128</v>
      </c>
      <c r="C97" s="8" t="s">
        <v>269</v>
      </c>
      <c r="D97" s="8" t="s">
        <v>16</v>
      </c>
      <c r="E97" s="8" t="s">
        <v>15</v>
      </c>
      <c r="F97" t="s">
        <v>109</v>
      </c>
      <c r="G97" s="58">
        <f>G92/0.0283/0.759/2</f>
        <v>0.2793335102445565</v>
      </c>
      <c r="H97" t="s">
        <v>109</v>
      </c>
      <c r="I97" s="58">
        <f>I92/0.0283/0.759/2</f>
        <v>0.2793335102445565</v>
      </c>
      <c r="J97" t="s">
        <v>109</v>
      </c>
      <c r="K97" s="58">
        <f>K92/0.0283/0.759/2</f>
        <v>0.2793335102445565</v>
      </c>
      <c r="L97" t="s">
        <v>109</v>
      </c>
      <c r="M97" s="58">
        <f>M92/0.0283/0.759/2</f>
        <v>0.2793335102445565</v>
      </c>
      <c r="N97" s="5"/>
      <c r="O97" s="58">
        <f>AVERAGE(M97,K97,I97,G97)/2</f>
        <v>0.13966675512227825</v>
      </c>
      <c r="P97" s="20" t="s">
        <v>173</v>
      </c>
    </row>
    <row r="98" spans="2:18" ht="12.75">
      <c r="B98"/>
      <c r="C98"/>
      <c r="D98"/>
      <c r="E98"/>
      <c r="F98"/>
      <c r="G98"/>
      <c r="H98"/>
      <c r="I98"/>
      <c r="J98"/>
      <c r="K98"/>
      <c r="L98"/>
      <c r="M98"/>
      <c r="N98"/>
      <c r="O98" s="5"/>
      <c r="P98" s="52"/>
      <c r="Q98"/>
      <c r="R98"/>
    </row>
    <row r="99" spans="2:18" ht="12.75">
      <c r="B99" s="8" t="s">
        <v>177</v>
      </c>
      <c r="C99" s="8" t="s">
        <v>178</v>
      </c>
      <c r="G99" s="24"/>
      <c r="H99" s="24"/>
      <c r="I99" s="25"/>
      <c r="J99" s="24"/>
      <c r="K99" s="24"/>
      <c r="L99"/>
      <c r="M99"/>
      <c r="N99"/>
      <c r="O99" s="5"/>
      <c r="P99" s="52"/>
      <c r="Q99"/>
      <c r="R99"/>
    </row>
    <row r="100" spans="2:18" ht="12.75">
      <c r="B100" s="8" t="s">
        <v>179</v>
      </c>
      <c r="C100" s="8"/>
      <c r="D100" s="8" t="s">
        <v>54</v>
      </c>
      <c r="G100" s="24">
        <v>633.6</v>
      </c>
      <c r="H100" s="24"/>
      <c r="I100" s="25">
        <v>639.4</v>
      </c>
      <c r="J100" s="24"/>
      <c r="K100" s="24">
        <v>622.1</v>
      </c>
      <c r="L100"/>
      <c r="M100">
        <v>633.6</v>
      </c>
      <c r="N100"/>
      <c r="O100" s="5"/>
      <c r="P100" s="52"/>
      <c r="Q100"/>
      <c r="R100"/>
    </row>
    <row r="101" spans="2:18" ht="12.75">
      <c r="B101" s="8" t="s">
        <v>180</v>
      </c>
      <c r="C101" s="8" t="s">
        <v>269</v>
      </c>
      <c r="D101" s="8" t="s">
        <v>54</v>
      </c>
      <c r="F101" s="8" t="s">
        <v>109</v>
      </c>
      <c r="G101" s="61">
        <v>4.6E-06</v>
      </c>
      <c r="H101" s="8" t="s">
        <v>109</v>
      </c>
      <c r="I101" s="61">
        <v>4.68E-06</v>
      </c>
      <c r="J101" s="8" t="s">
        <v>109</v>
      </c>
      <c r="K101" s="61">
        <v>4.86E-06</v>
      </c>
      <c r="L101" s="8" t="s">
        <v>109</v>
      </c>
      <c r="M101" s="59">
        <v>4.68E-06</v>
      </c>
      <c r="N101"/>
      <c r="O101" s="5"/>
      <c r="P101" s="52"/>
      <c r="Q101"/>
      <c r="R101"/>
    </row>
    <row r="102" spans="2:18" ht="12.75">
      <c r="B102" s="8" t="s">
        <v>53</v>
      </c>
      <c r="C102" s="8" t="s">
        <v>269</v>
      </c>
      <c r="D102" s="8" t="s">
        <v>18</v>
      </c>
      <c r="F102" s="8" t="s">
        <v>181</v>
      </c>
      <c r="G102" s="62">
        <f>(G100-G101)/G100*100</f>
        <v>99.99999927398989</v>
      </c>
      <c r="H102" s="8" t="s">
        <v>181</v>
      </c>
      <c r="I102" s="62">
        <f>(I100-I101)/I100*100</f>
        <v>99.99999926806382</v>
      </c>
      <c r="J102" s="8" t="s">
        <v>181</v>
      </c>
      <c r="K102" s="62">
        <f>(K100-K101)/K100*100</f>
        <v>99.99999921877512</v>
      </c>
      <c r="L102" s="62" t="s">
        <v>181</v>
      </c>
      <c r="M102" s="62">
        <f>(M100-M101)/M100*100</f>
        <v>99.99999926136366</v>
      </c>
      <c r="N102"/>
      <c r="O102" s="63"/>
      <c r="P102" s="52"/>
      <c r="Q102"/>
      <c r="R102"/>
    </row>
    <row r="103" ht="12.75"/>
    <row r="104" spans="2:15" ht="12.75">
      <c r="B104" s="8" t="s">
        <v>133</v>
      </c>
      <c r="C104" s="8"/>
      <c r="D104" s="8" t="s">
        <v>149</v>
      </c>
      <c r="E104" s="8" t="s">
        <v>126</v>
      </c>
      <c r="F104" s="8" t="s">
        <v>109</v>
      </c>
      <c r="G104">
        <v>0.044</v>
      </c>
      <c r="H104" s="8" t="s">
        <v>109</v>
      </c>
      <c r="I104">
        <v>0.052</v>
      </c>
      <c r="J104" s="8" t="s">
        <v>109</v>
      </c>
      <c r="K104">
        <v>0.043</v>
      </c>
      <c r="L104" t="s">
        <v>109</v>
      </c>
      <c r="M104">
        <v>0.105</v>
      </c>
      <c r="N104" s="5"/>
      <c r="O104" s="5"/>
    </row>
    <row r="105" spans="2:15" ht="12.75">
      <c r="B105" s="8" t="s">
        <v>134</v>
      </c>
      <c r="C105" s="8"/>
      <c r="D105" s="8" t="s">
        <v>149</v>
      </c>
      <c r="E105" s="8" t="s">
        <v>126</v>
      </c>
      <c r="G105">
        <v>5.348</v>
      </c>
      <c r="I105">
        <v>5.944</v>
      </c>
      <c r="K105">
        <v>5.176</v>
      </c>
      <c r="M105">
        <v>5.993</v>
      </c>
      <c r="N105" s="5"/>
      <c r="O105" s="5"/>
    </row>
    <row r="106" spans="2:15" ht="12.75">
      <c r="B106" s="8" t="s">
        <v>135</v>
      </c>
      <c r="C106" s="8"/>
      <c r="D106" s="8" t="s">
        <v>149</v>
      </c>
      <c r="E106" s="8" t="s">
        <v>126</v>
      </c>
      <c r="F106" s="8"/>
      <c r="G106" s="58">
        <f>5.1/157.568</f>
        <v>0.032366978066612505</v>
      </c>
      <c r="H106" s="91"/>
      <c r="I106" s="58">
        <f>3.4/152.786</f>
        <v>0.022253347819826422</v>
      </c>
      <c r="J106" s="91"/>
      <c r="K106" s="58">
        <f>2.1/163.448</f>
        <v>0.012848122950418482</v>
      </c>
      <c r="L106" s="58"/>
      <c r="M106" s="58">
        <f>1.7/141.238</f>
        <v>0.012036420793270932</v>
      </c>
      <c r="N106" s="5"/>
      <c r="O106" s="5"/>
    </row>
    <row r="107" spans="2:15" ht="12.75">
      <c r="B107" s="8" t="s">
        <v>136</v>
      </c>
      <c r="C107" s="8"/>
      <c r="D107" s="8" t="s">
        <v>149</v>
      </c>
      <c r="E107" s="8" t="s">
        <v>126</v>
      </c>
      <c r="F107" s="8" t="s">
        <v>109</v>
      </c>
      <c r="G107">
        <v>0.427</v>
      </c>
      <c r="I107">
        <v>0.461</v>
      </c>
      <c r="J107" t="s">
        <v>109</v>
      </c>
      <c r="K107">
        <v>0.406</v>
      </c>
      <c r="L107" t="s">
        <v>109</v>
      </c>
      <c r="M107">
        <v>0.486</v>
      </c>
      <c r="N107" s="5"/>
      <c r="O107" s="5"/>
    </row>
    <row r="108" spans="2:18" ht="12.75">
      <c r="B108" s="8" t="s">
        <v>87</v>
      </c>
      <c r="C108" s="8"/>
      <c r="D108" s="8" t="s">
        <v>149</v>
      </c>
      <c r="E108" s="8" t="s">
        <v>126</v>
      </c>
      <c r="F108" s="8" t="s">
        <v>109</v>
      </c>
      <c r="G108" s="58">
        <f>0.6/157.568</f>
        <v>0.003807879772542648</v>
      </c>
      <c r="H108" s="91" t="s">
        <v>109</v>
      </c>
      <c r="I108" s="58">
        <f>1/152.786</f>
        <v>0.006545102299948948</v>
      </c>
      <c r="J108" s="91" t="s">
        <v>109</v>
      </c>
      <c r="K108" s="58">
        <f>0.6/163.448</f>
        <v>0.0036708922715481375</v>
      </c>
      <c r="L108" s="58" t="s">
        <v>109</v>
      </c>
      <c r="M108" s="58">
        <f>1/141.238</f>
        <v>0.00708024752545349</v>
      </c>
      <c r="N108" s="5"/>
      <c r="O108" s="5"/>
      <c r="Q108"/>
      <c r="R108"/>
    </row>
    <row r="109" spans="2:18" ht="12.75">
      <c r="B109" s="8" t="s">
        <v>137</v>
      </c>
      <c r="C109" s="8"/>
      <c r="D109" s="8" t="s">
        <v>149</v>
      </c>
      <c r="E109" s="8" t="s">
        <v>126</v>
      </c>
      <c r="F109"/>
      <c r="G109">
        <v>3.136</v>
      </c>
      <c r="H109"/>
      <c r="I109">
        <v>3.059</v>
      </c>
      <c r="J109"/>
      <c r="K109">
        <v>2.993</v>
      </c>
      <c r="L109"/>
      <c r="M109">
        <v>3.733</v>
      </c>
      <c r="N109" s="5"/>
      <c r="O109" s="5"/>
      <c r="Q109"/>
      <c r="R109"/>
    </row>
    <row r="110" spans="2:18" ht="12.75">
      <c r="B110" s="8" t="s">
        <v>138</v>
      </c>
      <c r="C110" s="8"/>
      <c r="D110" s="8" t="s">
        <v>149</v>
      </c>
      <c r="E110" s="8" t="s">
        <v>126</v>
      </c>
      <c r="F110"/>
      <c r="G110" s="58">
        <f>74/157.568</f>
        <v>0.4696385052802599</v>
      </c>
      <c r="H110" s="91"/>
      <c r="I110" s="58">
        <f>67.89/152.786</f>
        <v>0.4443469951435341</v>
      </c>
      <c r="J110" s="91"/>
      <c r="K110" s="58">
        <f>59.59/163.448</f>
        <v>0.3645807841025892</v>
      </c>
      <c r="L110" s="58"/>
      <c r="M110" s="58">
        <f>123.75/141.238</f>
        <v>0.8761806312748693</v>
      </c>
      <c r="N110" s="5"/>
      <c r="O110" s="5"/>
      <c r="Q110"/>
      <c r="R110"/>
    </row>
    <row r="111" spans="2:18" ht="12.75">
      <c r="B111" s="8" t="s">
        <v>194</v>
      </c>
      <c r="C111" s="8"/>
      <c r="D111" s="8" t="s">
        <v>149</v>
      </c>
      <c r="E111" s="8" t="s">
        <v>126</v>
      </c>
      <c r="F111" s="8" t="s">
        <v>109</v>
      </c>
      <c r="G111">
        <v>0.02</v>
      </c>
      <c r="H111" s="8" t="s">
        <v>109</v>
      </c>
      <c r="I111">
        <v>0.02</v>
      </c>
      <c r="J111" s="8" t="s">
        <v>109</v>
      </c>
      <c r="K111">
        <v>0.024</v>
      </c>
      <c r="L111"/>
      <c r="M111">
        <v>0.247</v>
      </c>
      <c r="N111" s="5"/>
      <c r="O111" s="5"/>
      <c r="Q111"/>
      <c r="R111"/>
    </row>
    <row r="112" spans="2:18" ht="12.75">
      <c r="B112" s="8" t="s">
        <v>92</v>
      </c>
      <c r="C112" s="8"/>
      <c r="D112" s="8" t="s">
        <v>149</v>
      </c>
      <c r="E112" s="8" t="s">
        <v>126</v>
      </c>
      <c r="F112"/>
      <c r="G112" s="58">
        <f>0.8/157.568</f>
        <v>0.005077173030056864</v>
      </c>
      <c r="H112" s="91"/>
      <c r="I112" s="58">
        <f>1.55/152.786</f>
        <v>0.01014490856492087</v>
      </c>
      <c r="J112" s="91"/>
      <c r="K112" s="58">
        <f>1.6/163.448</f>
        <v>0.009789046057461701</v>
      </c>
      <c r="L112" s="58"/>
      <c r="M112" s="58">
        <f>2.7/141.238</f>
        <v>0.019116668318724425</v>
      </c>
      <c r="N112" s="5"/>
      <c r="O112" s="5"/>
      <c r="Q112"/>
      <c r="R112"/>
    </row>
    <row r="113" spans="2:15" ht="12.75">
      <c r="B113" s="8" t="s">
        <v>139</v>
      </c>
      <c r="C113" s="8"/>
      <c r="D113" s="8" t="s">
        <v>149</v>
      </c>
      <c r="E113" s="8" t="s">
        <v>126</v>
      </c>
      <c r="G113">
        <v>0.035</v>
      </c>
      <c r="I113">
        <v>0.059</v>
      </c>
      <c r="J113" t="s">
        <v>109</v>
      </c>
      <c r="K113">
        <v>0.053</v>
      </c>
      <c r="M113">
        <v>0.118</v>
      </c>
      <c r="N113" s="5"/>
      <c r="O113" s="5"/>
    </row>
    <row r="114" spans="2:15" ht="12.75">
      <c r="B114" s="8" t="s">
        <v>140</v>
      </c>
      <c r="C114" s="8"/>
      <c r="D114" s="8" t="s">
        <v>149</v>
      </c>
      <c r="E114" s="8" t="s">
        <v>126</v>
      </c>
      <c r="G114">
        <v>0.159</v>
      </c>
      <c r="I114">
        <v>0.21</v>
      </c>
      <c r="K114">
        <v>0.703</v>
      </c>
      <c r="M114">
        <v>3.913</v>
      </c>
      <c r="N114" s="5"/>
      <c r="O114" s="5"/>
    </row>
    <row r="115" spans="2:15" ht="12.75">
      <c r="B115" s="8" t="s">
        <v>141</v>
      </c>
      <c r="C115" s="8"/>
      <c r="D115" s="8" t="s">
        <v>149</v>
      </c>
      <c r="E115" s="8" t="s">
        <v>126</v>
      </c>
      <c r="F115" s="8" t="s">
        <v>109</v>
      </c>
      <c r="G115">
        <v>0.121</v>
      </c>
      <c r="H115" s="8" t="s">
        <v>109</v>
      </c>
      <c r="I115">
        <v>0.122</v>
      </c>
      <c r="J115" s="8" t="s">
        <v>109</v>
      </c>
      <c r="K115">
        <v>0.103</v>
      </c>
      <c r="L115" t="s">
        <v>109</v>
      </c>
      <c r="M115">
        <v>0.244</v>
      </c>
      <c r="N115" s="5"/>
      <c r="O115" s="5"/>
    </row>
    <row r="116" spans="2:15" ht="12.75">
      <c r="B116" s="8" t="s">
        <v>86</v>
      </c>
      <c r="C116" s="8"/>
      <c r="D116" s="8" t="s">
        <v>149</v>
      </c>
      <c r="E116" s="8" t="s">
        <v>126</v>
      </c>
      <c r="G116" s="58">
        <f>21.9/157.568</f>
        <v>0.13898761169780663</v>
      </c>
      <c r="H116" s="91"/>
      <c r="I116" s="58">
        <f>17.5/152.786</f>
        <v>0.1145392902491066</v>
      </c>
      <c r="J116" s="91"/>
      <c r="K116" s="58">
        <f>14.68/163.448</f>
        <v>0.08981449757721109</v>
      </c>
      <c r="L116" s="58"/>
      <c r="M116" s="58">
        <f>23.68/141.238</f>
        <v>0.16766026140273863</v>
      </c>
      <c r="N116" s="5"/>
      <c r="O116" s="5"/>
    </row>
    <row r="117" spans="2:15" ht="12.75">
      <c r="B117" s="8" t="s">
        <v>142</v>
      </c>
      <c r="C117" s="8"/>
      <c r="D117" s="8" t="s">
        <v>149</v>
      </c>
      <c r="E117" s="8" t="s">
        <v>126</v>
      </c>
      <c r="F117" s="8" t="s">
        <v>109</v>
      </c>
      <c r="G117">
        <v>1.911</v>
      </c>
      <c r="H117" s="8" t="s">
        <v>109</v>
      </c>
      <c r="I117">
        <v>1.827</v>
      </c>
      <c r="J117" s="8" t="s">
        <v>109</v>
      </c>
      <c r="K117">
        <v>1.249</v>
      </c>
      <c r="L117" s="8"/>
      <c r="M117">
        <v>4.638</v>
      </c>
      <c r="N117" s="5"/>
      <c r="O117" s="5"/>
    </row>
    <row r="118" spans="2:15" ht="12.75">
      <c r="B118" s="8" t="s">
        <v>143</v>
      </c>
      <c r="C118" s="8"/>
      <c r="D118" s="8" t="s">
        <v>149</v>
      </c>
      <c r="E118" s="8" t="s">
        <v>126</v>
      </c>
      <c r="G118">
        <v>0.005</v>
      </c>
      <c r="I118">
        <v>0.005</v>
      </c>
      <c r="J118" t="s">
        <v>109</v>
      </c>
      <c r="K118">
        <v>0.004</v>
      </c>
      <c r="L118" t="s">
        <v>109</v>
      </c>
      <c r="M118">
        <v>0.011</v>
      </c>
      <c r="N118" s="5"/>
      <c r="O118" s="5"/>
    </row>
    <row r="119" spans="2:15" ht="12.75">
      <c r="B119" s="8" t="s">
        <v>144</v>
      </c>
      <c r="C119" s="8"/>
      <c r="D119" s="8" t="s">
        <v>149</v>
      </c>
      <c r="E119" s="8" t="s">
        <v>126</v>
      </c>
      <c r="F119" s="8" t="s">
        <v>109</v>
      </c>
      <c r="G119">
        <v>0.004</v>
      </c>
      <c r="H119" s="8" t="s">
        <v>109</v>
      </c>
      <c r="I119">
        <v>0.005</v>
      </c>
      <c r="J119" s="8" t="s">
        <v>109</v>
      </c>
      <c r="K119">
        <v>0.006</v>
      </c>
      <c r="L119" t="s">
        <v>109</v>
      </c>
      <c r="M119">
        <v>0.004</v>
      </c>
      <c r="N119" s="5"/>
      <c r="O119" s="5"/>
    </row>
    <row r="120" spans="2:15" ht="12.75">
      <c r="B120" s="8" t="s">
        <v>145</v>
      </c>
      <c r="C120" s="8"/>
      <c r="D120" s="8" t="s">
        <v>149</v>
      </c>
      <c r="E120" s="8" t="s">
        <v>126</v>
      </c>
      <c r="F120" s="8" t="s">
        <v>109</v>
      </c>
      <c r="G120">
        <v>1.79</v>
      </c>
      <c r="H120" s="8" t="s">
        <v>109</v>
      </c>
      <c r="I120">
        <v>1.084</v>
      </c>
      <c r="J120" s="8" t="s">
        <v>109</v>
      </c>
      <c r="K120">
        <v>1.013</v>
      </c>
      <c r="L120" t="s">
        <v>109</v>
      </c>
      <c r="M120">
        <v>0.546</v>
      </c>
      <c r="N120" s="5"/>
      <c r="O120" s="5"/>
    </row>
    <row r="121" spans="2:15" ht="12.75">
      <c r="B121" s="8" t="s">
        <v>146</v>
      </c>
      <c r="C121" s="8"/>
      <c r="D121" s="8" t="s">
        <v>149</v>
      </c>
      <c r="E121" s="8" t="s">
        <v>126</v>
      </c>
      <c r="F121" s="8" t="s">
        <v>109</v>
      </c>
      <c r="G121">
        <v>0.002</v>
      </c>
      <c r="H121" s="8" t="s">
        <v>109</v>
      </c>
      <c r="I121">
        <v>0.002</v>
      </c>
      <c r="J121" s="8" t="s">
        <v>109</v>
      </c>
      <c r="K121">
        <v>0.002</v>
      </c>
      <c r="L121" t="s">
        <v>109</v>
      </c>
      <c r="M121">
        <v>0.002</v>
      </c>
      <c r="N121" s="5"/>
      <c r="O121" s="5"/>
    </row>
    <row r="122" spans="2:15" ht="12.75">
      <c r="B122" s="8" t="s">
        <v>147</v>
      </c>
      <c r="C122" s="8"/>
      <c r="D122" s="8" t="s">
        <v>149</v>
      </c>
      <c r="E122" s="8" t="s">
        <v>126</v>
      </c>
      <c r="F122" s="8" t="s">
        <v>109</v>
      </c>
      <c r="G122">
        <v>0.02</v>
      </c>
      <c r="H122" s="8" t="s">
        <v>174</v>
      </c>
      <c r="I122">
        <v>0.02</v>
      </c>
      <c r="J122" s="8" t="s">
        <v>109</v>
      </c>
      <c r="K122">
        <v>0.019</v>
      </c>
      <c r="L122" t="s">
        <v>109</v>
      </c>
      <c r="M122">
        <v>0.033</v>
      </c>
      <c r="N122" s="5"/>
      <c r="O122" s="5"/>
    </row>
    <row r="123" spans="2:15" ht="12.75">
      <c r="B123" s="8" t="s">
        <v>148</v>
      </c>
      <c r="C123" s="8"/>
      <c r="D123" s="8" t="s">
        <v>149</v>
      </c>
      <c r="E123" s="8" t="s">
        <v>126</v>
      </c>
      <c r="G123">
        <v>2.213</v>
      </c>
      <c r="I123">
        <v>1.75</v>
      </c>
      <c r="K123">
        <v>2.043</v>
      </c>
      <c r="M123">
        <v>2.635</v>
      </c>
      <c r="N123" s="5"/>
      <c r="O123" s="5"/>
    </row>
    <row r="124" spans="2:15" ht="12.75">
      <c r="B124" s="8" t="s">
        <v>88</v>
      </c>
      <c r="C124" s="8"/>
      <c r="D124" s="8" t="s">
        <v>149</v>
      </c>
      <c r="E124" s="8" t="s">
        <v>126</v>
      </c>
      <c r="F124" s="8"/>
      <c r="G124" s="58">
        <f>786.145/157.568</f>
        <v>4.989242739642567</v>
      </c>
      <c r="H124" s="91"/>
      <c r="I124" s="58">
        <f>525.535/152.786</f>
        <v>3.4396803372036704</v>
      </c>
      <c r="J124" s="91"/>
      <c r="K124" s="58">
        <f>476.04/163.448</f>
        <v>2.9124859282462925</v>
      </c>
      <c r="L124" s="58"/>
      <c r="M124" s="58">
        <f>13.585/141.238</f>
        <v>0.09618516263328566</v>
      </c>
      <c r="N124" s="5"/>
      <c r="O124" s="5"/>
    </row>
    <row r="125" spans="2:16" ht="12.75">
      <c r="B125" s="8"/>
      <c r="C125" s="8"/>
      <c r="P125" s="20"/>
    </row>
    <row r="126" spans="2:16" ht="12.75">
      <c r="B126" s="8" t="s">
        <v>93</v>
      </c>
      <c r="C126" s="8" t="s">
        <v>129</v>
      </c>
      <c r="D126" s="8" t="s">
        <v>269</v>
      </c>
      <c r="E126" s="8"/>
      <c r="P126" s="20"/>
    </row>
    <row r="127" spans="2:16" ht="12.75">
      <c r="B127" s="8" t="s">
        <v>85</v>
      </c>
      <c r="C127" s="8"/>
      <c r="D127" s="8" t="s">
        <v>17</v>
      </c>
      <c r="E127" s="8"/>
      <c r="G127">
        <v>4277</v>
      </c>
      <c r="I127">
        <v>4005</v>
      </c>
      <c r="K127">
        <v>4413</v>
      </c>
      <c r="M127">
        <v>4171</v>
      </c>
      <c r="O127" s="66">
        <f>AVERAGE(K127,I127,G127,M127)</f>
        <v>4216.5</v>
      </c>
      <c r="P127" s="20" t="s">
        <v>172</v>
      </c>
    </row>
    <row r="128" spans="2:16" ht="12.75">
      <c r="B128" s="8" t="s">
        <v>90</v>
      </c>
      <c r="C128" s="8"/>
      <c r="D128" s="8" t="s">
        <v>18</v>
      </c>
      <c r="E128" s="8"/>
      <c r="G128">
        <v>10.9</v>
      </c>
      <c r="I128">
        <v>11.4</v>
      </c>
      <c r="K128">
        <v>10.9</v>
      </c>
      <c r="M128">
        <v>10.7</v>
      </c>
      <c r="O128" s="66">
        <f>AVERAGE(K128,I128,G128,M128)</f>
        <v>10.975000000000001</v>
      </c>
      <c r="P128" s="20" t="s">
        <v>173</v>
      </c>
    </row>
    <row r="129" spans="2:16" ht="12.75">
      <c r="B129" s="8" t="s">
        <v>91</v>
      </c>
      <c r="C129" s="8"/>
      <c r="D129" s="8" t="s">
        <v>18</v>
      </c>
      <c r="E129" s="8"/>
      <c r="G129">
        <v>46.22</v>
      </c>
      <c r="I129">
        <v>45.62</v>
      </c>
      <c r="K129">
        <v>46.37</v>
      </c>
      <c r="M129">
        <v>48.08</v>
      </c>
      <c r="O129" s="66">
        <f>AVERAGE(K129,I129,G129,M129)</f>
        <v>46.57249999999999</v>
      </c>
      <c r="P129" s="20" t="s">
        <v>172</v>
      </c>
    </row>
    <row r="130" spans="2:16" ht="12.75">
      <c r="B130" s="8" t="s">
        <v>84</v>
      </c>
      <c r="C130" s="8"/>
      <c r="D130" s="8" t="s">
        <v>19</v>
      </c>
      <c r="E130" s="8"/>
      <c r="G130">
        <v>196</v>
      </c>
      <c r="I130">
        <v>193</v>
      </c>
      <c r="K130">
        <v>195</v>
      </c>
      <c r="M130">
        <v>197</v>
      </c>
      <c r="O130" s="66">
        <f>AVERAGE(K130,I130,G130,M130)</f>
        <v>195.25</v>
      </c>
      <c r="P130" s="20" t="s">
        <v>172</v>
      </c>
    </row>
    <row r="131" spans="2:16" ht="12.75">
      <c r="B131" s="8"/>
      <c r="C131" s="8"/>
      <c r="P131" s="20"/>
    </row>
    <row r="132" spans="2:16" ht="12.75">
      <c r="B132" s="8" t="s">
        <v>93</v>
      </c>
      <c r="C132" s="8" t="s">
        <v>108</v>
      </c>
      <c r="D132" s="8" t="s">
        <v>270</v>
      </c>
      <c r="E132" s="8"/>
      <c r="P132" s="20"/>
    </row>
    <row r="133" spans="2:16" ht="12.75">
      <c r="B133" s="8" t="s">
        <v>85</v>
      </c>
      <c r="C133" s="8"/>
      <c r="D133" s="8" t="s">
        <v>17</v>
      </c>
      <c r="E133" s="8"/>
      <c r="G133">
        <v>4635</v>
      </c>
      <c r="I133">
        <v>4602</v>
      </c>
      <c r="K133">
        <v>4900</v>
      </c>
      <c r="M133">
        <v>4112</v>
      </c>
      <c r="O133" s="66">
        <f>AVERAGE(K133,I133,G133,M133)</f>
        <v>4562.25</v>
      </c>
      <c r="P133" s="20"/>
    </row>
    <row r="134" spans="2:16" ht="12.75">
      <c r="B134" s="8" t="s">
        <v>90</v>
      </c>
      <c r="C134" s="8"/>
      <c r="D134" s="8" t="s">
        <v>18</v>
      </c>
      <c r="E134" s="8"/>
      <c r="G134">
        <v>10.9</v>
      </c>
      <c r="I134">
        <v>11.4</v>
      </c>
      <c r="K134">
        <v>10.9</v>
      </c>
      <c r="M134">
        <v>10.7</v>
      </c>
      <c r="O134" s="66">
        <f>AVERAGE(K134,I134,G134,M134)</f>
        <v>10.975000000000001</v>
      </c>
      <c r="P134" s="20"/>
    </row>
    <row r="135" spans="2:16" ht="12.75">
      <c r="B135" s="8" t="s">
        <v>91</v>
      </c>
      <c r="C135" s="8"/>
      <c r="D135" s="8" t="s">
        <v>18</v>
      </c>
      <c r="E135" s="8"/>
      <c r="G135">
        <v>46.45</v>
      </c>
      <c r="I135">
        <v>45.66</v>
      </c>
      <c r="K135">
        <v>45.94</v>
      </c>
      <c r="M135">
        <v>47.8</v>
      </c>
      <c r="O135" s="66">
        <f>AVERAGE(K135,I135,G135,M135)</f>
        <v>46.462500000000006</v>
      </c>
      <c r="P135" s="20"/>
    </row>
    <row r="136" spans="2:16" ht="12.75">
      <c r="B136" s="8" t="s">
        <v>84</v>
      </c>
      <c r="C136" s="8"/>
      <c r="D136" s="8" t="s">
        <v>19</v>
      </c>
      <c r="E136" s="8"/>
      <c r="G136">
        <v>192</v>
      </c>
      <c r="I136">
        <v>189</v>
      </c>
      <c r="K136">
        <v>191</v>
      </c>
      <c r="M136">
        <v>191</v>
      </c>
      <c r="O136" s="66">
        <f>AVERAGE(K136,I136,G136,M136)</f>
        <v>190.75</v>
      </c>
      <c r="P136" s="20"/>
    </row>
    <row r="137" spans="2:16" ht="12.75">
      <c r="B137" s="8"/>
      <c r="C137" s="8"/>
      <c r="P137" s="20"/>
    </row>
    <row r="138" spans="2:16" ht="12.75">
      <c r="B138" s="8" t="s">
        <v>133</v>
      </c>
      <c r="C138" s="8" t="s">
        <v>270</v>
      </c>
      <c r="D138" s="8" t="s">
        <v>59</v>
      </c>
      <c r="E138" s="8" t="s">
        <v>15</v>
      </c>
      <c r="F138" s="8" t="s">
        <v>109</v>
      </c>
      <c r="G138" s="5">
        <f aca="true" t="shared" si="6" ref="G138:G158">G104/0.0283*(21-7)/(21-G$134)</f>
        <v>2.1551271734947344</v>
      </c>
      <c r="H138" s="8" t="s">
        <v>109</v>
      </c>
      <c r="I138" s="5">
        <f aca="true" t="shared" si="7" ref="I138:I158">I104/0.0283*(21-7)/(21-I$134)</f>
        <v>2.67962308598351</v>
      </c>
      <c r="J138" s="8" t="s">
        <v>109</v>
      </c>
      <c r="K138" s="5">
        <f aca="true" t="shared" si="8" ref="K138:K158">K104/0.0283*(21-7)/(21-K$134)</f>
        <v>2.1061470104607634</v>
      </c>
      <c r="L138" t="s">
        <v>109</v>
      </c>
      <c r="M138" s="5">
        <f aca="true" t="shared" si="9" ref="M138:M158">M104/0.0283*(21-7)/(21-M$134)</f>
        <v>5.043054650245291</v>
      </c>
      <c r="N138" s="5"/>
      <c r="O138" s="5">
        <f aca="true" t="shared" si="10" ref="O138:O157">AVERAGE(G138,I138,K138,M138)</f>
        <v>2.995987980046075</v>
      </c>
      <c r="P138" s="20"/>
    </row>
    <row r="139" spans="2:16" ht="12.75">
      <c r="B139" s="8" t="s">
        <v>134</v>
      </c>
      <c r="C139" s="8" t="s">
        <v>270</v>
      </c>
      <c r="D139" s="8" t="s">
        <v>59</v>
      </c>
      <c r="E139" s="8" t="s">
        <v>15</v>
      </c>
      <c r="G139" s="5">
        <f t="shared" si="6"/>
        <v>261.9459119056782</v>
      </c>
      <c r="I139" s="5">
        <f t="shared" si="7"/>
        <v>306.30153121319205</v>
      </c>
      <c r="K139" s="5">
        <f t="shared" si="8"/>
        <v>253.5213238638352</v>
      </c>
      <c r="M139" s="5">
        <f t="shared" si="9"/>
        <v>287.83834779923836</v>
      </c>
      <c r="N139" s="5"/>
      <c r="O139" s="5">
        <f t="shared" si="10"/>
        <v>277.401778695486</v>
      </c>
      <c r="P139" s="20"/>
    </row>
    <row r="140" spans="2:16" ht="12.75">
      <c r="B140" s="8" t="s">
        <v>135</v>
      </c>
      <c r="C140" s="8" t="s">
        <v>270</v>
      </c>
      <c r="D140" s="8" t="s">
        <v>59</v>
      </c>
      <c r="E140" s="8" t="s">
        <v>15</v>
      </c>
      <c r="F140" s="8"/>
      <c r="G140" s="5">
        <f t="shared" si="6"/>
        <v>1.585339862619652</v>
      </c>
      <c r="H140" s="91"/>
      <c r="I140" s="5">
        <f t="shared" si="7"/>
        <v>1.1467420107389943</v>
      </c>
      <c r="J140" s="91"/>
      <c r="K140" s="5">
        <f t="shared" si="8"/>
        <v>0.6293031567920049</v>
      </c>
      <c r="L140" s="58"/>
      <c r="M140" s="5">
        <f t="shared" si="9"/>
        <v>0.5780983605125152</v>
      </c>
      <c r="N140" s="5"/>
      <c r="O140" s="5">
        <f t="shared" si="10"/>
        <v>0.9848708476657916</v>
      </c>
      <c r="P140" s="20"/>
    </row>
    <row r="141" spans="2:16" ht="12.75">
      <c r="B141" s="8" t="s">
        <v>136</v>
      </c>
      <c r="C141" s="8" t="s">
        <v>270</v>
      </c>
      <c r="D141" s="8" t="s">
        <v>59</v>
      </c>
      <c r="E141" s="8" t="s">
        <v>15</v>
      </c>
      <c r="F141" s="8" t="s">
        <v>109</v>
      </c>
      <c r="G141" s="5">
        <f t="shared" si="6"/>
        <v>20.91452961550572</v>
      </c>
      <c r="I141" s="5">
        <f t="shared" si="7"/>
        <v>23.75588928150766</v>
      </c>
      <c r="J141" t="s">
        <v>109</v>
      </c>
      <c r="K141" s="5">
        <f t="shared" si="8"/>
        <v>19.88594619179233</v>
      </c>
      <c r="L141" t="s">
        <v>109</v>
      </c>
      <c r="M141" s="5">
        <f t="shared" si="9"/>
        <v>23.342138666849632</v>
      </c>
      <c r="N141" s="5"/>
      <c r="O141" s="5">
        <f t="shared" si="10"/>
        <v>21.974625938913835</v>
      </c>
      <c r="P141" s="20"/>
    </row>
    <row r="142" spans="2:16" ht="12.75">
      <c r="B142" s="8" t="s">
        <v>87</v>
      </c>
      <c r="C142" s="8" t="s">
        <v>270</v>
      </c>
      <c r="D142" s="8" t="s">
        <v>59</v>
      </c>
      <c r="E142" s="8" t="s">
        <v>15</v>
      </c>
      <c r="F142" s="8" t="s">
        <v>109</v>
      </c>
      <c r="G142" s="5">
        <f t="shared" si="6"/>
        <v>0.18651057207290023</v>
      </c>
      <c r="H142" s="91" t="s">
        <v>109</v>
      </c>
      <c r="I142" s="5">
        <f t="shared" si="7"/>
        <v>0.33727706198205715</v>
      </c>
      <c r="J142" s="91" t="s">
        <v>109</v>
      </c>
      <c r="K142" s="5">
        <f t="shared" si="8"/>
        <v>0.1798009019405728</v>
      </c>
      <c r="L142" s="58" t="s">
        <v>109</v>
      </c>
      <c r="M142" s="5">
        <f t="shared" si="9"/>
        <v>0.34005785912500897</v>
      </c>
      <c r="N142" s="66">
        <v>100</v>
      </c>
      <c r="O142" s="5">
        <f t="shared" si="10"/>
        <v>0.2609115987801348</v>
      </c>
      <c r="P142" s="20"/>
    </row>
    <row r="143" spans="2:16" ht="12.75">
      <c r="B143" s="8" t="s">
        <v>137</v>
      </c>
      <c r="C143" s="8" t="s">
        <v>270</v>
      </c>
      <c r="D143" s="8" t="s">
        <v>59</v>
      </c>
      <c r="E143" s="8" t="s">
        <v>15</v>
      </c>
      <c r="G143" s="5">
        <f t="shared" si="6"/>
        <v>153.60179127453384</v>
      </c>
      <c r="I143" s="5">
        <f t="shared" si="7"/>
        <v>157.6339811542992</v>
      </c>
      <c r="K143" s="5">
        <f t="shared" si="8"/>
        <v>146.59762796067594</v>
      </c>
      <c r="M143" s="5">
        <f t="shared" si="9"/>
        <v>179.2926000891969</v>
      </c>
      <c r="N143" s="5"/>
      <c r="O143" s="5">
        <f t="shared" si="10"/>
        <v>159.28150011967645</v>
      </c>
      <c r="P143" s="20"/>
    </row>
    <row r="144" spans="2:16" ht="12.75">
      <c r="B144" s="8" t="s">
        <v>138</v>
      </c>
      <c r="C144" s="8" t="s">
        <v>270</v>
      </c>
      <c r="D144" s="8" t="s">
        <v>59</v>
      </c>
      <c r="E144" s="8" t="s">
        <v>15</v>
      </c>
      <c r="G144" s="5">
        <f t="shared" si="6"/>
        <v>23.002970555657697</v>
      </c>
      <c r="H144" s="91"/>
      <c r="I144" s="5">
        <f t="shared" si="7"/>
        <v>22.89773973796186</v>
      </c>
      <c r="J144" s="91"/>
      <c r="K144" s="5">
        <f t="shared" si="8"/>
        <v>17.857226244397893</v>
      </c>
      <c r="L144" s="58"/>
      <c r="M144" s="5">
        <f t="shared" si="9"/>
        <v>42.08216006671985</v>
      </c>
      <c r="N144" s="5"/>
      <c r="O144" s="5">
        <f t="shared" si="10"/>
        <v>26.460024151184324</v>
      </c>
      <c r="P144" s="20"/>
    </row>
    <row r="145" spans="2:16" ht="12.75">
      <c r="B145" s="8" t="s">
        <v>194</v>
      </c>
      <c r="C145" s="8" t="s">
        <v>270</v>
      </c>
      <c r="D145" s="8" t="s">
        <v>59</v>
      </c>
      <c r="E145" s="8" t="s">
        <v>15</v>
      </c>
      <c r="F145" s="8" t="s">
        <v>109</v>
      </c>
      <c r="G145" s="5">
        <f t="shared" si="6"/>
        <v>0.9796032606794249</v>
      </c>
      <c r="H145" s="8" t="s">
        <v>109</v>
      </c>
      <c r="I145" s="5">
        <f t="shared" si="7"/>
        <v>1.0306242638398118</v>
      </c>
      <c r="J145" s="8" t="s">
        <v>109</v>
      </c>
      <c r="K145" s="5">
        <f t="shared" si="8"/>
        <v>1.1755239128153099</v>
      </c>
      <c r="M145" s="5">
        <f t="shared" si="9"/>
        <v>11.863185701053208</v>
      </c>
      <c r="N145" s="66">
        <v>100</v>
      </c>
      <c r="O145" s="5">
        <f t="shared" si="10"/>
        <v>3.7622342845969383</v>
      </c>
      <c r="P145" s="20"/>
    </row>
    <row r="146" spans="2:16" ht="12.75">
      <c r="B146" s="8" t="s">
        <v>92</v>
      </c>
      <c r="C146" s="8" t="s">
        <v>270</v>
      </c>
      <c r="D146" s="8" t="s">
        <v>59</v>
      </c>
      <c r="E146" s="8" t="s">
        <v>15</v>
      </c>
      <c r="G146" s="5">
        <f t="shared" si="6"/>
        <v>0.24868076276386702</v>
      </c>
      <c r="H146" s="91"/>
      <c r="I146" s="5">
        <f t="shared" si="7"/>
        <v>0.5227794460721885</v>
      </c>
      <c r="J146" s="91"/>
      <c r="K146" s="5">
        <f t="shared" si="8"/>
        <v>0.47946907184152765</v>
      </c>
      <c r="L146" s="58"/>
      <c r="M146" s="5">
        <f t="shared" si="9"/>
        <v>0.9181562196375243</v>
      </c>
      <c r="N146" s="5"/>
      <c r="O146" s="5">
        <f t="shared" si="10"/>
        <v>0.5422713750787769</v>
      </c>
      <c r="P146" s="20"/>
    </row>
    <row r="147" spans="2:16" ht="12.75">
      <c r="B147" s="8" t="s">
        <v>139</v>
      </c>
      <c r="C147" s="8" t="s">
        <v>270</v>
      </c>
      <c r="D147" s="8" t="s">
        <v>59</v>
      </c>
      <c r="E147" s="8" t="s">
        <v>15</v>
      </c>
      <c r="G147" s="5">
        <f t="shared" si="6"/>
        <v>1.7143057061889937</v>
      </c>
      <c r="I147" s="5">
        <f t="shared" si="7"/>
        <v>3.0403415783274443</v>
      </c>
      <c r="J147" t="s">
        <v>109</v>
      </c>
      <c r="K147" s="5">
        <f t="shared" si="8"/>
        <v>2.595948640800476</v>
      </c>
      <c r="M147" s="5">
        <f t="shared" si="9"/>
        <v>5.667432845037565</v>
      </c>
      <c r="N147" s="5"/>
      <c r="O147" s="5">
        <f t="shared" si="10"/>
        <v>3.25450719258862</v>
      </c>
      <c r="P147" s="20"/>
    </row>
    <row r="148" spans="2:16" ht="12.75">
      <c r="B148" s="8" t="s">
        <v>140</v>
      </c>
      <c r="C148" s="8" t="s">
        <v>270</v>
      </c>
      <c r="D148" s="8" t="s">
        <v>59</v>
      </c>
      <c r="E148" s="8" t="s">
        <v>15</v>
      </c>
      <c r="G148" s="5">
        <f t="shared" si="6"/>
        <v>7.787845922401428</v>
      </c>
      <c r="I148" s="5">
        <f t="shared" si="7"/>
        <v>10.821554770318022</v>
      </c>
      <c r="K148" s="5">
        <f t="shared" si="8"/>
        <v>34.43305461288178</v>
      </c>
      <c r="M148" s="5">
        <f t="shared" si="9"/>
        <v>187.93783663247453</v>
      </c>
      <c r="N148" s="5"/>
      <c r="O148" s="5">
        <f t="shared" si="10"/>
        <v>60.24507298451894</v>
      </c>
      <c r="P148" s="20"/>
    </row>
    <row r="149" spans="2:16" ht="12.75">
      <c r="B149" s="8" t="s">
        <v>141</v>
      </c>
      <c r="C149" s="8" t="s">
        <v>270</v>
      </c>
      <c r="D149" s="8" t="s">
        <v>59</v>
      </c>
      <c r="E149" s="8" t="s">
        <v>15</v>
      </c>
      <c r="F149" s="8" t="s">
        <v>109</v>
      </c>
      <c r="G149" s="5">
        <f t="shared" si="6"/>
        <v>5.926599727110521</v>
      </c>
      <c r="H149" s="8" t="s">
        <v>109</v>
      </c>
      <c r="I149" s="5">
        <f t="shared" si="7"/>
        <v>6.286808009422851</v>
      </c>
      <c r="J149" s="8" t="s">
        <v>109</v>
      </c>
      <c r="K149" s="5">
        <f t="shared" si="8"/>
        <v>5.044956792499038</v>
      </c>
      <c r="L149" t="s">
        <v>109</v>
      </c>
      <c r="M149" s="5">
        <f t="shared" si="9"/>
        <v>11.719098425331914</v>
      </c>
      <c r="N149" s="66">
        <v>100</v>
      </c>
      <c r="O149" s="5">
        <f t="shared" si="10"/>
        <v>7.244365738591081</v>
      </c>
      <c r="P149" s="20"/>
    </row>
    <row r="150" spans="2:16" ht="12.75">
      <c r="B150" s="8" t="s">
        <v>86</v>
      </c>
      <c r="C150" s="8" t="s">
        <v>270</v>
      </c>
      <c r="D150" s="8" t="s">
        <v>59</v>
      </c>
      <c r="E150" s="8" t="s">
        <v>15</v>
      </c>
      <c r="G150" s="5">
        <f t="shared" si="6"/>
        <v>6.807635880660858</v>
      </c>
      <c r="H150" s="91"/>
      <c r="I150" s="5">
        <f t="shared" si="7"/>
        <v>5.902348584686001</v>
      </c>
      <c r="J150" s="91"/>
      <c r="K150" s="5">
        <f t="shared" si="8"/>
        <v>4.399128734146015</v>
      </c>
      <c r="L150" s="58"/>
      <c r="M150" s="5">
        <f t="shared" si="9"/>
        <v>8.052570104080212</v>
      </c>
      <c r="N150" s="5"/>
      <c r="O150" s="5">
        <f t="shared" si="10"/>
        <v>6.290420825893271</v>
      </c>
      <c r="P150" s="20"/>
    </row>
    <row r="151" spans="2:16" ht="12.75">
      <c r="B151" s="8" t="s">
        <v>142</v>
      </c>
      <c r="C151" s="8" t="s">
        <v>270</v>
      </c>
      <c r="D151" s="8" t="s">
        <v>59</v>
      </c>
      <c r="E151" s="8" t="s">
        <v>15</v>
      </c>
      <c r="F151" s="8" t="s">
        <v>109</v>
      </c>
      <c r="G151" s="5">
        <f t="shared" si="6"/>
        <v>93.60109155791906</v>
      </c>
      <c r="H151" s="8" t="s">
        <v>109</v>
      </c>
      <c r="I151" s="5">
        <f t="shared" si="7"/>
        <v>94.14752650176679</v>
      </c>
      <c r="J151" s="8" t="s">
        <v>109</v>
      </c>
      <c r="K151" s="5">
        <f t="shared" si="8"/>
        <v>61.1762236294301</v>
      </c>
      <c r="L151" s="8"/>
      <c r="M151" s="5">
        <f t="shared" si="9"/>
        <v>222.75892826512057</v>
      </c>
      <c r="N151" s="5"/>
      <c r="O151" s="5">
        <f t="shared" si="10"/>
        <v>117.92094248855912</v>
      </c>
      <c r="P151" s="20"/>
    </row>
    <row r="152" spans="2:16" ht="12.75">
      <c r="B152" s="8" t="s">
        <v>143</v>
      </c>
      <c r="C152" s="8" t="s">
        <v>270</v>
      </c>
      <c r="D152" s="8" t="s">
        <v>59</v>
      </c>
      <c r="E152" s="8" t="s">
        <v>15</v>
      </c>
      <c r="G152" s="5">
        <f t="shared" si="6"/>
        <v>0.24490081516985623</v>
      </c>
      <c r="I152" s="5">
        <f t="shared" si="7"/>
        <v>0.25765606595995294</v>
      </c>
      <c r="J152" t="s">
        <v>109</v>
      </c>
      <c r="K152" s="5">
        <f t="shared" si="8"/>
        <v>0.19592065213588497</v>
      </c>
      <c r="L152" t="s">
        <v>109</v>
      </c>
      <c r="M152" s="5">
        <f t="shared" si="9"/>
        <v>0.5283200109780781</v>
      </c>
      <c r="N152" s="5"/>
      <c r="O152" s="5">
        <f t="shared" si="10"/>
        <v>0.30669938606094305</v>
      </c>
      <c r="P152" s="20"/>
    </row>
    <row r="153" spans="2:16" ht="12.75">
      <c r="B153" s="8" t="s">
        <v>144</v>
      </c>
      <c r="C153" s="8" t="s">
        <v>270</v>
      </c>
      <c r="D153" s="8" t="s">
        <v>59</v>
      </c>
      <c r="E153" s="8" t="s">
        <v>15</v>
      </c>
      <c r="F153" s="8" t="s">
        <v>109</v>
      </c>
      <c r="G153" s="5">
        <f t="shared" si="6"/>
        <v>0.19592065213588497</v>
      </c>
      <c r="H153" s="8" t="s">
        <v>109</v>
      </c>
      <c r="I153" s="5">
        <f t="shared" si="7"/>
        <v>0.25765606595995294</v>
      </c>
      <c r="J153" s="8" t="s">
        <v>109</v>
      </c>
      <c r="K153" s="5">
        <f t="shared" si="8"/>
        <v>0.29388097820382747</v>
      </c>
      <c r="L153" t="s">
        <v>109</v>
      </c>
      <c r="M153" s="5">
        <f t="shared" si="9"/>
        <v>0.19211636762839204</v>
      </c>
      <c r="N153" s="66">
        <v>100</v>
      </c>
      <c r="O153" s="5">
        <f t="shared" si="10"/>
        <v>0.23489351598201433</v>
      </c>
      <c r="P153" s="20"/>
    </row>
    <row r="154" spans="2:16" ht="12.75">
      <c r="B154" s="8" t="s">
        <v>145</v>
      </c>
      <c r="C154" s="8" t="s">
        <v>270</v>
      </c>
      <c r="D154" s="8" t="s">
        <v>59</v>
      </c>
      <c r="E154" s="8" t="s">
        <v>15</v>
      </c>
      <c r="F154" s="8" t="s">
        <v>109</v>
      </c>
      <c r="G154" s="5">
        <f t="shared" si="6"/>
        <v>87.67449183080852</v>
      </c>
      <c r="H154" s="8" t="s">
        <v>109</v>
      </c>
      <c r="I154" s="5">
        <f t="shared" si="7"/>
        <v>55.85983510011779</v>
      </c>
      <c r="J154" s="8" t="s">
        <v>109</v>
      </c>
      <c r="K154" s="5">
        <f t="shared" si="8"/>
        <v>49.61690515341287</v>
      </c>
      <c r="L154" t="s">
        <v>109</v>
      </c>
      <c r="M154" s="5">
        <f t="shared" si="9"/>
        <v>26.22388418127552</v>
      </c>
      <c r="N154" s="66">
        <v>100</v>
      </c>
      <c r="O154" s="5">
        <f t="shared" si="10"/>
        <v>54.84377906640368</v>
      </c>
      <c r="P154" s="20"/>
    </row>
    <row r="155" spans="2:15" ht="12.75">
      <c r="B155" s="8" t="s">
        <v>146</v>
      </c>
      <c r="C155" s="8" t="s">
        <v>270</v>
      </c>
      <c r="D155" s="8" t="s">
        <v>59</v>
      </c>
      <c r="E155" s="8" t="s">
        <v>15</v>
      </c>
      <c r="F155" s="8" t="s">
        <v>109</v>
      </c>
      <c r="G155" s="5">
        <f t="shared" si="6"/>
        <v>0.09796032606794249</v>
      </c>
      <c r="H155" s="8" t="s">
        <v>109</v>
      </c>
      <c r="I155" s="5">
        <f t="shared" si="7"/>
        <v>0.10306242638398116</v>
      </c>
      <c r="J155" s="8" t="s">
        <v>109</v>
      </c>
      <c r="K155" s="5">
        <f t="shared" si="8"/>
        <v>0.09796032606794249</v>
      </c>
      <c r="L155" t="s">
        <v>109</v>
      </c>
      <c r="M155" s="5">
        <f t="shared" si="9"/>
        <v>0.09605818381419602</v>
      </c>
      <c r="N155" s="66">
        <v>100</v>
      </c>
      <c r="O155" s="5">
        <f t="shared" si="10"/>
        <v>0.09876031558351553</v>
      </c>
    </row>
    <row r="156" spans="2:15" ht="12.75">
      <c r="B156" s="8" t="s">
        <v>147</v>
      </c>
      <c r="C156" s="8" t="s">
        <v>270</v>
      </c>
      <c r="D156" s="8" t="s">
        <v>59</v>
      </c>
      <c r="E156" s="8" t="s">
        <v>15</v>
      </c>
      <c r="F156" s="8" t="s">
        <v>109</v>
      </c>
      <c r="G156" s="5">
        <f t="shared" si="6"/>
        <v>0.9796032606794249</v>
      </c>
      <c r="H156" s="8" t="s">
        <v>174</v>
      </c>
      <c r="I156" s="5">
        <f t="shared" si="7"/>
        <v>1.0306242638398118</v>
      </c>
      <c r="J156" s="8" t="s">
        <v>109</v>
      </c>
      <c r="K156" s="5">
        <f t="shared" si="8"/>
        <v>0.9306230976454536</v>
      </c>
      <c r="L156" t="s">
        <v>109</v>
      </c>
      <c r="M156" s="5">
        <f t="shared" si="9"/>
        <v>1.5849600329342346</v>
      </c>
      <c r="N156" s="66">
        <v>100</v>
      </c>
      <c r="O156" s="5">
        <f t="shared" si="10"/>
        <v>1.131452663774731</v>
      </c>
    </row>
    <row r="157" spans="2:15" ht="12.75">
      <c r="B157" s="8" t="s">
        <v>148</v>
      </c>
      <c r="C157" s="8" t="s">
        <v>270</v>
      </c>
      <c r="D157" s="8" t="s">
        <v>59</v>
      </c>
      <c r="E157" s="8" t="s">
        <v>15</v>
      </c>
      <c r="G157" s="5">
        <f t="shared" si="6"/>
        <v>108.39310079417838</v>
      </c>
      <c r="I157" s="5">
        <f t="shared" si="7"/>
        <v>90.17962308598352</v>
      </c>
      <c r="K157" s="5">
        <f t="shared" si="8"/>
        <v>100.06647307840325</v>
      </c>
      <c r="M157" s="5">
        <f t="shared" si="9"/>
        <v>126.55665717520324</v>
      </c>
      <c r="N157" s="5"/>
      <c r="O157" s="5">
        <f t="shared" si="10"/>
        <v>106.2989635334421</v>
      </c>
    </row>
    <row r="158" spans="2:15" ht="12.75">
      <c r="B158" s="8" t="s">
        <v>88</v>
      </c>
      <c r="C158" s="8" t="s">
        <v>270</v>
      </c>
      <c r="D158" s="8" t="s">
        <v>59</v>
      </c>
      <c r="E158" s="8" t="s">
        <v>15</v>
      </c>
      <c r="F158" s="8"/>
      <c r="G158" s="5">
        <f t="shared" si="6"/>
        <v>244.37392280375028</v>
      </c>
      <c r="H158" s="8"/>
      <c r="I158" s="5">
        <f t="shared" si="7"/>
        <v>177.2509007687404</v>
      </c>
      <c r="J158" s="8"/>
      <c r="K158" s="5">
        <f t="shared" si="8"/>
        <v>142.65403559965048</v>
      </c>
      <c r="M158" s="5">
        <f t="shared" si="9"/>
        <v>4.619686016213247</v>
      </c>
      <c r="N158" s="5"/>
      <c r="O158" s="5">
        <f>AVERAGE(G158,I158,K158,M158)</f>
        <v>142.22463629708858</v>
      </c>
    </row>
    <row r="159" spans="2:3" ht="12.75">
      <c r="B159" s="8"/>
      <c r="C159" s="8"/>
    </row>
    <row r="160" spans="2:16" ht="12.75">
      <c r="B160" t="s">
        <v>60</v>
      </c>
      <c r="C160" s="8" t="s">
        <v>270</v>
      </c>
      <c r="D160" s="8" t="s">
        <v>59</v>
      </c>
      <c r="E160" s="8" t="s">
        <v>15</v>
      </c>
      <c r="F160"/>
      <c r="G160" s="5">
        <f>G150+G144</f>
        <v>29.810606436318555</v>
      </c>
      <c r="H160" s="5"/>
      <c r="I160" s="5">
        <f>I150+I144</f>
        <v>28.80008832264786</v>
      </c>
      <c r="J160" s="5"/>
      <c r="K160" s="5">
        <f>K150+K144</f>
        <v>22.256354978543907</v>
      </c>
      <c r="L160" s="5"/>
      <c r="M160" s="5">
        <f>M150+M144</f>
        <v>50.13473017080006</v>
      </c>
      <c r="N160" s="5"/>
      <c r="O160" s="5">
        <f>AVERAGE(G160,I160,K160,M160)</f>
        <v>32.7504449770776</v>
      </c>
      <c r="P160" s="52"/>
    </row>
    <row r="161" spans="2:16" ht="12.75">
      <c r="B161" t="s">
        <v>61</v>
      </c>
      <c r="C161" s="8" t="s">
        <v>270</v>
      </c>
      <c r="D161" s="8" t="s">
        <v>59</v>
      </c>
      <c r="E161" s="8" t="s">
        <v>15</v>
      </c>
      <c r="F161"/>
      <c r="G161" s="5">
        <f>G146+G140+G142</f>
        <v>2.0205311974564193</v>
      </c>
      <c r="H161" s="5"/>
      <c r="I161" s="5">
        <f>I146+I140+I142</f>
        <v>2.00679851879324</v>
      </c>
      <c r="J161" s="5"/>
      <c r="K161" s="5">
        <f>K146+K140+K142</f>
        <v>1.2885731305741055</v>
      </c>
      <c r="L161" s="5"/>
      <c r="M161" s="5">
        <f>M146+M140+M142</f>
        <v>1.8363124392750485</v>
      </c>
      <c r="N161" s="5"/>
      <c r="O161" s="5">
        <f>AVERAGE(G161,I161,K161,M161)</f>
        <v>1.7880538215247033</v>
      </c>
      <c r="P161" s="52"/>
    </row>
    <row r="162" spans="2:16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 s="52"/>
    </row>
    <row r="163" spans="1:15" ht="12.75">
      <c r="A163" s="18">
        <v>1</v>
      </c>
      <c r="B163" s="22" t="s">
        <v>193</v>
      </c>
      <c r="C163" s="8" t="s">
        <v>94</v>
      </c>
      <c r="G163" s="20" t="s">
        <v>212</v>
      </c>
      <c r="H163" s="20"/>
      <c r="I163" s="21" t="s">
        <v>213</v>
      </c>
      <c r="J163" s="20"/>
      <c r="K163" s="20" t="s">
        <v>214</v>
      </c>
      <c r="L163" s="20"/>
      <c r="M163" s="20" t="s">
        <v>215</v>
      </c>
      <c r="N163" s="20"/>
      <c r="O163" s="18" t="s">
        <v>48</v>
      </c>
    </row>
    <row r="164" spans="2:14" ht="12.75">
      <c r="B164" s="8"/>
      <c r="C164" s="8"/>
      <c r="D164" s="13"/>
      <c r="E164" s="13"/>
      <c r="F164" s="13"/>
      <c r="G164" s="13"/>
      <c r="H164" s="13"/>
      <c r="I164" s="23"/>
      <c r="J164" s="13"/>
      <c r="K164" s="13"/>
      <c r="L164" s="13"/>
      <c r="M164" s="13"/>
      <c r="N164" s="20"/>
    </row>
    <row r="165" spans="2:15" ht="12.75">
      <c r="B165" s="8" t="s">
        <v>150</v>
      </c>
      <c r="C165" s="8" t="s">
        <v>269</v>
      </c>
      <c r="D165" s="13" t="s">
        <v>16</v>
      </c>
      <c r="E165" s="13" t="s">
        <v>15</v>
      </c>
      <c r="F165" s="13"/>
      <c r="G165" s="13">
        <v>58.9</v>
      </c>
      <c r="H165" s="13"/>
      <c r="I165" s="23">
        <v>25.5</v>
      </c>
      <c r="J165" s="13"/>
      <c r="K165" s="13">
        <v>25.6</v>
      </c>
      <c r="L165" s="13"/>
      <c r="M165" s="13">
        <v>34.2</v>
      </c>
      <c r="N165" s="20"/>
      <c r="O165" s="5">
        <f>AVERAGE(K165,I165,G165,M165)</f>
        <v>36.05</v>
      </c>
    </row>
    <row r="166" spans="2:14" ht="12.75">
      <c r="B166" s="8"/>
      <c r="C166" s="8"/>
      <c r="D166" s="13"/>
      <c r="E166" s="13"/>
      <c r="F166" s="13"/>
      <c r="G166" s="13"/>
      <c r="H166" s="13"/>
      <c r="I166" s="23"/>
      <c r="J166" s="13"/>
      <c r="K166" s="13"/>
      <c r="L166" s="13"/>
      <c r="M166" s="13"/>
      <c r="N166" s="20"/>
    </row>
    <row r="167" spans="2:15" ht="12.75">
      <c r="B167" s="8" t="s">
        <v>13</v>
      </c>
      <c r="C167" s="8"/>
      <c r="D167" s="8" t="s">
        <v>67</v>
      </c>
      <c r="E167" s="8" t="s">
        <v>15</v>
      </c>
      <c r="F167"/>
      <c r="G167">
        <v>2.8</v>
      </c>
      <c r="H167"/>
      <c r="I167">
        <v>3.2</v>
      </c>
      <c r="J167"/>
      <c r="K167">
        <v>3</v>
      </c>
      <c r="L167"/>
      <c r="M167">
        <v>3.2</v>
      </c>
      <c r="N167"/>
      <c r="O167" s="57"/>
    </row>
    <row r="168" spans="2:15" ht="12.75">
      <c r="B168" s="8" t="s">
        <v>13</v>
      </c>
      <c r="C168" s="8" t="s">
        <v>269</v>
      </c>
      <c r="D168" s="8" t="s">
        <v>14</v>
      </c>
      <c r="E168" s="8" t="s">
        <v>15</v>
      </c>
      <c r="F168"/>
      <c r="G168" s="57">
        <f>G167*0.01543*0.0283</f>
        <v>0.0012226731999999997</v>
      </c>
      <c r="H168"/>
      <c r="I168" s="57">
        <f>I167*0.01543*0.0283</f>
        <v>0.0013973408</v>
      </c>
      <c r="J168"/>
      <c r="K168" s="57">
        <f>K167*0.01543*0.0283</f>
        <v>0.001310007</v>
      </c>
      <c r="L168"/>
      <c r="M168" s="57">
        <f>M167*0.01543*0.0283</f>
        <v>0.0013973408</v>
      </c>
      <c r="N168"/>
      <c r="O168" s="57">
        <f>AVERAGE(K168,I168,G168,M168)</f>
        <v>0.0013318404499999999</v>
      </c>
    </row>
    <row r="169" spans="2:15" ht="12.75">
      <c r="B169" s="8"/>
      <c r="C169" s="8"/>
      <c r="F169"/>
      <c r="G169" s="57"/>
      <c r="H169"/>
      <c r="I169" s="57"/>
      <c r="J169"/>
      <c r="K169" s="57"/>
      <c r="L169"/>
      <c r="M169" s="57"/>
      <c r="N169"/>
      <c r="O169" s="57"/>
    </row>
    <row r="170" spans="2:15" ht="12.75">
      <c r="B170" s="8" t="s">
        <v>51</v>
      </c>
      <c r="C170" s="8"/>
      <c r="D170" s="8" t="s">
        <v>54</v>
      </c>
      <c r="F170"/>
      <c r="G170">
        <v>0.006614</v>
      </c>
      <c r="H170"/>
      <c r="I170" s="63">
        <v>0.0066139</v>
      </c>
      <c r="J170"/>
      <c r="K170" s="63">
        <v>0.00661387</v>
      </c>
      <c r="L170"/>
      <c r="M170" s="63">
        <v>0.0066139</v>
      </c>
      <c r="N170" s="5"/>
      <c r="O170" s="57"/>
    </row>
    <row r="171" spans="2:15" ht="12.75">
      <c r="B171" s="8" t="s">
        <v>52</v>
      </c>
      <c r="C171" s="8"/>
      <c r="D171" s="8" t="s">
        <v>54</v>
      </c>
      <c r="F171"/>
      <c r="G171" s="63">
        <f>0.003/0.454</f>
        <v>0.006607929515418502</v>
      </c>
      <c r="H171" s="63"/>
      <c r="I171" s="63">
        <f>0.003/0.454</f>
        <v>0.006607929515418502</v>
      </c>
      <c r="J171" s="63"/>
      <c r="K171" s="63">
        <f>0.003/0.454</f>
        <v>0.006607929515418502</v>
      </c>
      <c r="L171" s="63"/>
      <c r="M171" s="63">
        <f>0.003/0.454</f>
        <v>0.006607929515418502</v>
      </c>
      <c r="N171" s="5"/>
      <c r="O171" s="57"/>
    </row>
    <row r="172" spans="2:15" ht="12.75">
      <c r="B172" s="8" t="s">
        <v>128</v>
      </c>
      <c r="C172" s="8"/>
      <c r="D172" s="8" t="s">
        <v>67</v>
      </c>
      <c r="E172" s="8" t="s">
        <v>126</v>
      </c>
      <c r="F172"/>
      <c r="G172">
        <v>5.6503161</v>
      </c>
      <c r="H172"/>
      <c r="I172">
        <v>7.063</v>
      </c>
      <c r="J172"/>
      <c r="K172">
        <v>8.8286</v>
      </c>
      <c r="L172"/>
      <c r="M172">
        <v>7.416</v>
      </c>
      <c r="N172" s="5"/>
      <c r="O172" s="57"/>
    </row>
    <row r="173" spans="2:15" ht="12.75">
      <c r="B173" s="8"/>
      <c r="C173" s="8"/>
      <c r="F173"/>
      <c r="G173" s="58"/>
      <c r="H173"/>
      <c r="I173" s="58"/>
      <c r="J173"/>
      <c r="K173" s="58"/>
      <c r="L173"/>
      <c r="M173" s="58"/>
      <c r="N173" s="5"/>
      <c r="O173" s="5"/>
    </row>
    <row r="174" spans="2:15" ht="12.75">
      <c r="B174" s="8" t="s">
        <v>134</v>
      </c>
      <c r="C174" s="8"/>
      <c r="D174" s="8" t="s">
        <v>59</v>
      </c>
      <c r="E174" s="8" t="s">
        <v>126</v>
      </c>
      <c r="F174"/>
      <c r="G174">
        <v>20.06</v>
      </c>
      <c r="H174"/>
      <c r="I174">
        <v>60.99</v>
      </c>
      <c r="J174"/>
      <c r="K174">
        <v>14.55</v>
      </c>
      <c r="L174"/>
      <c r="M174">
        <v>13.84</v>
      </c>
      <c r="N174" s="5"/>
      <c r="O174" s="5"/>
    </row>
    <row r="175" spans="2:15" ht="12.75">
      <c r="B175" s="8" t="s">
        <v>143</v>
      </c>
      <c r="C175" s="8"/>
      <c r="D175" s="8" t="s">
        <v>59</v>
      </c>
      <c r="E175" s="8" t="s">
        <v>126</v>
      </c>
      <c r="F175"/>
      <c r="G175">
        <v>0.85</v>
      </c>
      <c r="H175"/>
      <c r="I175">
        <v>1.02</v>
      </c>
      <c r="J175"/>
      <c r="K175">
        <v>0.21</v>
      </c>
      <c r="L175"/>
      <c r="M175">
        <v>0.21</v>
      </c>
      <c r="N175" s="5"/>
      <c r="O175" s="5"/>
    </row>
    <row r="176" spans="2:15" ht="12.75">
      <c r="B176" s="8" t="s">
        <v>135</v>
      </c>
      <c r="C176" s="8"/>
      <c r="D176" s="8" t="s">
        <v>59</v>
      </c>
      <c r="E176" s="8" t="s">
        <v>126</v>
      </c>
      <c r="F176" s="8" t="s">
        <v>109</v>
      </c>
      <c r="G176" s="58">
        <f>1/4.560481</f>
        <v>0.21927511593623566</v>
      </c>
      <c r="H176" s="58" t="s">
        <v>109</v>
      </c>
      <c r="I176" s="58">
        <f>1/4.531881</f>
        <v>0.2206589272754514</v>
      </c>
      <c r="J176" s="58" t="s">
        <v>109</v>
      </c>
      <c r="K176" s="58">
        <f>1/4.414252</f>
        <v>0.22653894702885108</v>
      </c>
      <c r="L176" s="58" t="s">
        <v>109</v>
      </c>
      <c r="M176" s="58">
        <f>1/4.372909</f>
        <v>0.2286807248904562</v>
      </c>
      <c r="N176" s="5"/>
      <c r="O176" s="5"/>
    </row>
    <row r="177" spans="2:15" ht="12.75">
      <c r="B177" s="8" t="s">
        <v>136</v>
      </c>
      <c r="C177" s="8"/>
      <c r="D177" s="8" t="s">
        <v>59</v>
      </c>
      <c r="E177" s="8" t="s">
        <v>126</v>
      </c>
      <c r="F177"/>
      <c r="G177">
        <v>1.52</v>
      </c>
      <c r="H177"/>
      <c r="I177">
        <v>2.33</v>
      </c>
      <c r="J177"/>
      <c r="K177">
        <v>1.41</v>
      </c>
      <c r="L177"/>
      <c r="M177">
        <v>1.84</v>
      </c>
      <c r="N177" s="5"/>
      <c r="O177" s="5"/>
    </row>
    <row r="178" spans="2:15" ht="12.75">
      <c r="B178" s="8" t="s">
        <v>87</v>
      </c>
      <c r="C178" s="8"/>
      <c r="D178" s="8" t="s">
        <v>59</v>
      </c>
      <c r="E178" s="8" t="s">
        <v>126</v>
      </c>
      <c r="F178" s="8" t="s">
        <v>109</v>
      </c>
      <c r="G178" s="58">
        <f>1/4.560481</f>
        <v>0.21927511593623566</v>
      </c>
      <c r="H178" s="58" t="s">
        <v>109</v>
      </c>
      <c r="I178" s="58">
        <f>1/4.531881</f>
        <v>0.2206589272754514</v>
      </c>
      <c r="J178" s="58" t="s">
        <v>109</v>
      </c>
      <c r="K178" s="58">
        <f>1/4.414252</f>
        <v>0.22653894702885108</v>
      </c>
      <c r="L178" s="58" t="s">
        <v>109</v>
      </c>
      <c r="M178" s="58">
        <f>1/4.372909</f>
        <v>0.2286807248904562</v>
      </c>
      <c r="N178" s="5"/>
      <c r="O178" s="5"/>
    </row>
    <row r="179" spans="2:15" ht="12.75">
      <c r="B179" s="8" t="s">
        <v>137</v>
      </c>
      <c r="C179" s="8"/>
      <c r="D179" s="8" t="s">
        <v>59</v>
      </c>
      <c r="E179" s="8" t="s">
        <v>126</v>
      </c>
      <c r="F179"/>
      <c r="G179">
        <v>25.18</v>
      </c>
      <c r="H179"/>
      <c r="I179">
        <v>45.66</v>
      </c>
      <c r="J179"/>
      <c r="K179">
        <v>23.66</v>
      </c>
      <c r="L179"/>
      <c r="M179">
        <v>34.54</v>
      </c>
      <c r="N179" s="5"/>
      <c r="O179" s="5"/>
    </row>
    <row r="180" spans="2:15" ht="12.75">
      <c r="B180" s="8" t="s">
        <v>138</v>
      </c>
      <c r="C180" s="8"/>
      <c r="D180" s="8" t="s">
        <v>59</v>
      </c>
      <c r="E180" s="8" t="s">
        <v>126</v>
      </c>
      <c r="F180" s="8" t="s">
        <v>109</v>
      </c>
      <c r="G180" s="58">
        <f>2.2/4.560481</f>
        <v>0.4824052550597185</v>
      </c>
      <c r="H180" s="58" t="s">
        <v>109</v>
      </c>
      <c r="I180" s="58">
        <f>2.26/4.531881</f>
        <v>0.4986891756425201</v>
      </c>
      <c r="J180" s="58" t="s">
        <v>109</v>
      </c>
      <c r="K180" s="58">
        <f>2.26/4.414252</f>
        <v>0.5119780202852033</v>
      </c>
      <c r="L180" s="58" t="s">
        <v>109</v>
      </c>
      <c r="M180" s="58">
        <f>2.2/4.372909</f>
        <v>0.5030975947590037</v>
      </c>
      <c r="N180" s="5"/>
      <c r="O180" s="5"/>
    </row>
    <row r="181" spans="2:15" ht="12.75">
      <c r="B181" s="8" t="s">
        <v>92</v>
      </c>
      <c r="C181" s="8"/>
      <c r="D181" s="8" t="s">
        <v>59</v>
      </c>
      <c r="E181" s="8" t="s">
        <v>126</v>
      </c>
      <c r="F181"/>
      <c r="G181" s="58">
        <f>5.8/4.560481</f>
        <v>1.271795672430167</v>
      </c>
      <c r="H181" s="58"/>
      <c r="I181" s="58">
        <f>3.88/4.531881</f>
        <v>0.8561566378287514</v>
      </c>
      <c r="J181" s="58" t="s">
        <v>109</v>
      </c>
      <c r="K181" s="58">
        <f>4.6/4.414252</f>
        <v>1.042079156332715</v>
      </c>
      <c r="L181" s="58" t="s">
        <v>109</v>
      </c>
      <c r="M181" s="58">
        <f>4.8/4.372909</f>
        <v>1.0976674794741899</v>
      </c>
      <c r="N181" s="5"/>
      <c r="O181" s="5"/>
    </row>
    <row r="182" spans="2:15" ht="12.75">
      <c r="B182" s="8" t="s">
        <v>194</v>
      </c>
      <c r="C182" s="8"/>
      <c r="D182" s="8" t="s">
        <v>59</v>
      </c>
      <c r="E182" s="8" t="s">
        <v>126</v>
      </c>
      <c r="F182"/>
      <c r="G182">
        <v>0.99</v>
      </c>
      <c r="H182"/>
      <c r="I182">
        <v>0.99</v>
      </c>
      <c r="J182"/>
      <c r="K182">
        <v>1.02</v>
      </c>
      <c r="L182"/>
      <c r="M182">
        <v>1.02</v>
      </c>
      <c r="N182" s="5"/>
      <c r="O182" s="5"/>
    </row>
    <row r="183" spans="2:15" ht="12.75">
      <c r="B183" s="8" t="s">
        <v>139</v>
      </c>
      <c r="C183" s="8"/>
      <c r="D183" s="8" t="s">
        <v>59</v>
      </c>
      <c r="E183" s="8" t="s">
        <v>126</v>
      </c>
      <c r="F183"/>
      <c r="G183">
        <v>1.48</v>
      </c>
      <c r="H183"/>
      <c r="I183">
        <v>2.79</v>
      </c>
      <c r="J183"/>
      <c r="K183">
        <v>0.99</v>
      </c>
      <c r="L183"/>
      <c r="M183">
        <v>2.08</v>
      </c>
      <c r="N183" s="5"/>
      <c r="O183" s="5"/>
    </row>
    <row r="184" spans="2:15" ht="12.75">
      <c r="B184" s="8" t="s">
        <v>86</v>
      </c>
      <c r="C184" s="8"/>
      <c r="D184" s="8" t="s">
        <v>59</v>
      </c>
      <c r="E184" s="8" t="s">
        <v>126</v>
      </c>
      <c r="F184"/>
      <c r="G184" s="58">
        <f>2.5/4.560481</f>
        <v>0.5481877898405891</v>
      </c>
      <c r="H184" s="58"/>
      <c r="I184" s="58">
        <f>1.975/4.531881</f>
        <v>0.4358013813690165</v>
      </c>
      <c r="J184" s="58"/>
      <c r="K184" s="58">
        <f>0.46/4.414252</f>
        <v>0.1042079156332715</v>
      </c>
      <c r="L184" s="58"/>
      <c r="M184" s="58">
        <f>0.3/4.372909</f>
        <v>0.06860421746713687</v>
      </c>
      <c r="N184" s="5"/>
      <c r="O184" s="5"/>
    </row>
    <row r="185" spans="2:15" ht="12.75">
      <c r="B185" s="8" t="s">
        <v>140</v>
      </c>
      <c r="C185" s="8"/>
      <c r="D185" s="8" t="s">
        <v>59</v>
      </c>
      <c r="E185" s="8" t="s">
        <v>126</v>
      </c>
      <c r="F185"/>
      <c r="G185">
        <v>2.44</v>
      </c>
      <c r="H185"/>
      <c r="I185">
        <v>2.72</v>
      </c>
      <c r="J185"/>
      <c r="K185">
        <v>4.87</v>
      </c>
      <c r="L185"/>
      <c r="M185">
        <v>4.38</v>
      </c>
      <c r="N185" s="5"/>
      <c r="O185" s="5"/>
    </row>
    <row r="186" spans="2:15" ht="12.75">
      <c r="B186" s="8" t="s">
        <v>88</v>
      </c>
      <c r="C186" s="8"/>
      <c r="D186" s="8" t="s">
        <v>59</v>
      </c>
      <c r="E186" s="8" t="s">
        <v>126</v>
      </c>
      <c r="F186"/>
      <c r="G186" s="58">
        <f>6.8905/4.560481</f>
        <v>1.5109151863586319</v>
      </c>
      <c r="H186" s="58"/>
      <c r="I186" s="58">
        <f>228.5/4.531881</f>
        <v>50.420564882440644</v>
      </c>
      <c r="J186" s="58"/>
      <c r="K186" s="58">
        <f>331.39/4.414252</f>
        <v>75.07274165589095</v>
      </c>
      <c r="L186" s="58"/>
      <c r="M186" s="58">
        <f>401.33/4.372909</f>
        <v>91.7764353202868</v>
      </c>
      <c r="N186" s="5"/>
      <c r="O186" s="5"/>
    </row>
    <row r="187" spans="2:15" ht="12.75">
      <c r="B187" s="8" t="s">
        <v>141</v>
      </c>
      <c r="C187" s="8"/>
      <c r="D187" s="8" t="s">
        <v>59</v>
      </c>
      <c r="E187" s="8" t="s">
        <v>126</v>
      </c>
      <c r="F187"/>
      <c r="G187">
        <v>3.96</v>
      </c>
      <c r="H187"/>
      <c r="I187">
        <v>3.99</v>
      </c>
      <c r="J187"/>
      <c r="K187">
        <v>4.1</v>
      </c>
      <c r="L187"/>
      <c r="M187">
        <v>4.13</v>
      </c>
      <c r="N187" s="5"/>
      <c r="O187" s="5"/>
    </row>
    <row r="188" spans="2:15" ht="12.75">
      <c r="B188" s="8" t="s">
        <v>195</v>
      </c>
      <c r="C188" s="8"/>
      <c r="D188" s="8" t="s">
        <v>59</v>
      </c>
      <c r="E188" s="8" t="s">
        <v>126</v>
      </c>
      <c r="F188"/>
      <c r="G188">
        <v>475.02</v>
      </c>
      <c r="H188"/>
      <c r="I188">
        <v>558.25</v>
      </c>
      <c r="J188"/>
      <c r="K188">
        <v>298.97</v>
      </c>
      <c r="L188"/>
      <c r="M188">
        <v>622.98</v>
      </c>
      <c r="N188" s="5"/>
      <c r="O188" s="5"/>
    </row>
    <row r="189" spans="2:15" ht="12.75">
      <c r="B189" s="8" t="s">
        <v>144</v>
      </c>
      <c r="C189" s="8"/>
      <c r="D189" s="8" t="s">
        <v>59</v>
      </c>
      <c r="E189" s="8" t="s">
        <v>126</v>
      </c>
      <c r="F189"/>
      <c r="G189">
        <v>0.21</v>
      </c>
      <c r="H189"/>
      <c r="I189">
        <v>0.21</v>
      </c>
      <c r="J189"/>
      <c r="K189">
        <v>0.21</v>
      </c>
      <c r="L189"/>
      <c r="M189">
        <v>0.21</v>
      </c>
      <c r="N189" s="5"/>
      <c r="O189" s="5"/>
    </row>
    <row r="190" spans="2:15" ht="12.75">
      <c r="B190" s="8" t="s">
        <v>133</v>
      </c>
      <c r="C190" s="8"/>
      <c r="D190" s="8" t="s">
        <v>59</v>
      </c>
      <c r="E190" s="8" t="s">
        <v>126</v>
      </c>
      <c r="F190"/>
      <c r="G190">
        <v>1.84</v>
      </c>
      <c r="H190"/>
      <c r="I190">
        <v>1.02</v>
      </c>
      <c r="J190"/>
      <c r="K190">
        <v>2.61</v>
      </c>
      <c r="L190"/>
      <c r="M190">
        <v>1.02</v>
      </c>
      <c r="N190" s="5"/>
      <c r="O190" s="5"/>
    </row>
    <row r="191" spans="2:15" ht="12.75">
      <c r="B191" s="8" t="s">
        <v>146</v>
      </c>
      <c r="C191" s="8"/>
      <c r="D191" s="8" t="s">
        <v>59</v>
      </c>
      <c r="E191" s="8" t="s">
        <v>126</v>
      </c>
      <c r="F191"/>
      <c r="G191">
        <v>0.11</v>
      </c>
      <c r="H191"/>
      <c r="I191">
        <v>0.1</v>
      </c>
      <c r="J191"/>
      <c r="K191">
        <v>0.11</v>
      </c>
      <c r="L191"/>
      <c r="M191">
        <v>0.11</v>
      </c>
      <c r="N191" s="5"/>
      <c r="O191" s="5"/>
    </row>
    <row r="192" spans="2:15" ht="12.75">
      <c r="B192" s="8" t="s">
        <v>145</v>
      </c>
      <c r="C192" s="8"/>
      <c r="D192" s="8" t="s">
        <v>59</v>
      </c>
      <c r="E192" s="8" t="s">
        <v>126</v>
      </c>
      <c r="F192"/>
      <c r="G192">
        <v>9.92</v>
      </c>
      <c r="H192"/>
      <c r="I192">
        <v>9.96</v>
      </c>
      <c r="J192"/>
      <c r="K192">
        <v>10.28</v>
      </c>
      <c r="L192"/>
      <c r="M192">
        <v>10.35</v>
      </c>
      <c r="N192" s="5"/>
      <c r="O192" s="5"/>
    </row>
    <row r="193" spans="2:15" ht="12.75">
      <c r="B193" s="8" t="s">
        <v>147</v>
      </c>
      <c r="C193" s="8"/>
      <c r="D193" s="8" t="s">
        <v>59</v>
      </c>
      <c r="E193" s="8" t="s">
        <v>126</v>
      </c>
      <c r="F193"/>
      <c r="G193">
        <v>0.99</v>
      </c>
      <c r="H193"/>
      <c r="I193">
        <v>0.99</v>
      </c>
      <c r="J193"/>
      <c r="K193">
        <v>1.02</v>
      </c>
      <c r="L193"/>
      <c r="M193">
        <v>10.24</v>
      </c>
      <c r="N193" s="5"/>
      <c r="O193" s="5"/>
    </row>
    <row r="194" spans="2:15" ht="12.75">
      <c r="B194" s="8" t="s">
        <v>148</v>
      </c>
      <c r="C194" s="8"/>
      <c r="D194" s="8" t="s">
        <v>59</v>
      </c>
      <c r="E194" s="8" t="s">
        <v>126</v>
      </c>
      <c r="F194"/>
      <c r="G194">
        <v>16.24</v>
      </c>
      <c r="H194"/>
      <c r="I194">
        <v>16.1</v>
      </c>
      <c r="J194"/>
      <c r="K194">
        <v>12.82</v>
      </c>
      <c r="L194"/>
      <c r="M194">
        <v>7.91</v>
      </c>
      <c r="N194" s="5"/>
      <c r="O194" s="5"/>
    </row>
    <row r="195" spans="2:15" ht="12.75">
      <c r="B195" s="88" t="s">
        <v>272</v>
      </c>
      <c r="C195" s="8"/>
      <c r="D195" s="8" t="s">
        <v>59</v>
      </c>
      <c r="E195" s="8" t="s">
        <v>126</v>
      </c>
      <c r="F195"/>
      <c r="G195">
        <v>0.88</v>
      </c>
      <c r="H195"/>
      <c r="I195">
        <v>0.92</v>
      </c>
      <c r="J195"/>
      <c r="K195">
        <v>0.88</v>
      </c>
      <c r="L195"/>
      <c r="M195">
        <v>0.88</v>
      </c>
      <c r="N195"/>
      <c r="O195"/>
    </row>
    <row r="196" spans="2:15" ht="12.75">
      <c r="B196" s="8"/>
      <c r="C196" s="8"/>
      <c r="F196"/>
      <c r="G196"/>
      <c r="H196"/>
      <c r="I196"/>
      <c r="J196"/>
      <c r="K196"/>
      <c r="L196"/>
      <c r="M196"/>
      <c r="N196"/>
      <c r="O196"/>
    </row>
    <row r="197" spans="2:15" ht="12.75">
      <c r="B197" s="8" t="s">
        <v>93</v>
      </c>
      <c r="C197" s="8" t="s">
        <v>197</v>
      </c>
      <c r="D197" s="8" t="s">
        <v>269</v>
      </c>
      <c r="F197"/>
      <c r="G197"/>
      <c r="H197"/>
      <c r="I197"/>
      <c r="J197"/>
      <c r="K197"/>
      <c r="L197"/>
      <c r="M197"/>
      <c r="N197"/>
      <c r="O197"/>
    </row>
    <row r="198" spans="2:15" ht="12.75">
      <c r="B198" s="8" t="s">
        <v>85</v>
      </c>
      <c r="C198" s="8"/>
      <c r="D198" s="8" t="s">
        <v>17</v>
      </c>
      <c r="F198"/>
      <c r="G198" s="5">
        <v>4215.8</v>
      </c>
      <c r="H198" s="5"/>
      <c r="I198" s="5">
        <v>4103.2</v>
      </c>
      <c r="J198" s="5"/>
      <c r="K198" s="5">
        <v>4171.8</v>
      </c>
      <c r="L198" s="5"/>
      <c r="M198" s="5">
        <v>4351.5</v>
      </c>
      <c r="N198"/>
      <c r="O198" s="5">
        <f>AVERAGE(K198,I198,G198,M198)</f>
        <v>4210.575</v>
      </c>
    </row>
    <row r="199" spans="2:15" ht="12.75">
      <c r="B199" s="8" t="s">
        <v>90</v>
      </c>
      <c r="C199" s="8"/>
      <c r="D199" s="8" t="s">
        <v>18</v>
      </c>
      <c r="F199"/>
      <c r="G199">
        <v>9.8</v>
      </c>
      <c r="H199"/>
      <c r="I199">
        <v>8.9</v>
      </c>
      <c r="J199"/>
      <c r="K199">
        <v>9.3</v>
      </c>
      <c r="L199"/>
      <c r="M199">
        <v>9.1</v>
      </c>
      <c r="N199"/>
      <c r="O199" s="5">
        <f>AVERAGE(K199,I199,G199,M199)</f>
        <v>9.275</v>
      </c>
    </row>
    <row r="200" spans="2:15" ht="12.75">
      <c r="B200" s="8" t="s">
        <v>91</v>
      </c>
      <c r="C200" s="8"/>
      <c r="D200" s="8" t="s">
        <v>18</v>
      </c>
      <c r="F200"/>
      <c r="G200">
        <v>44.7</v>
      </c>
      <c r="H200"/>
      <c r="I200">
        <v>45.9</v>
      </c>
      <c r="J200"/>
      <c r="K200">
        <v>45.5</v>
      </c>
      <c r="L200"/>
      <c r="M200">
        <v>45.8</v>
      </c>
      <c r="N200"/>
      <c r="O200" s="5">
        <f>AVERAGE(K200,I200,G200,M200)</f>
        <v>45.47500000000001</v>
      </c>
    </row>
    <row r="201" spans="2:15" ht="12.75">
      <c r="B201" s="8" t="s">
        <v>84</v>
      </c>
      <c r="C201" s="8"/>
      <c r="D201" s="8" t="s">
        <v>19</v>
      </c>
      <c r="F201"/>
      <c r="G201">
        <v>196</v>
      </c>
      <c r="H201"/>
      <c r="I201">
        <v>194</v>
      </c>
      <c r="J201"/>
      <c r="K201">
        <v>196</v>
      </c>
      <c r="L201"/>
      <c r="M201">
        <v>195</v>
      </c>
      <c r="N201"/>
      <c r="O201" s="5">
        <f>AVERAGE(K201,I201,G201,M201)</f>
        <v>195.25</v>
      </c>
    </row>
    <row r="202" spans="2:15" ht="12.75">
      <c r="B202" s="8"/>
      <c r="C202" s="8"/>
      <c r="F202"/>
      <c r="G202"/>
      <c r="H202"/>
      <c r="I202"/>
      <c r="J202"/>
      <c r="K202"/>
      <c r="L202"/>
      <c r="M202"/>
      <c r="N202"/>
      <c r="O202" s="66"/>
    </row>
    <row r="203" spans="2:15" ht="12.75">
      <c r="B203" s="8" t="s">
        <v>51</v>
      </c>
      <c r="C203" s="8" t="s">
        <v>269</v>
      </c>
      <c r="D203" s="8" t="s">
        <v>16</v>
      </c>
      <c r="E203" s="8" t="s">
        <v>15</v>
      </c>
      <c r="F203"/>
      <c r="G203" s="58">
        <f>G170*454/60/0.0283/G$198*(21-7)/(21-G$199)*667.8</f>
        <v>0.35015375316179737</v>
      </c>
      <c r="H203"/>
      <c r="I203" s="58">
        <f>I170*454/60/0.0283/I$198*(21-7)/(21-I$199)*667.8</f>
        <v>0.3329984294493314</v>
      </c>
      <c r="J203"/>
      <c r="K203" s="58">
        <f>K170*454/60/0.0283/K$198*(21-7)/(21-K$199)*667.8</f>
        <v>0.3387185099209744</v>
      </c>
      <c r="L203"/>
      <c r="M203" s="58">
        <f>M170*454/60/0.0283/M$198*(21-7)/(21-M$199)*667.8</f>
        <v>0.319274543293187</v>
      </c>
      <c r="N203"/>
      <c r="O203" s="58">
        <f>AVERAGE(K203,I203,G203,M203)</f>
        <v>0.3352863089563225</v>
      </c>
    </row>
    <row r="204" spans="2:15" ht="12.75">
      <c r="B204" s="8" t="s">
        <v>52</v>
      </c>
      <c r="C204" s="8" t="s">
        <v>269</v>
      </c>
      <c r="D204" s="8" t="s">
        <v>16</v>
      </c>
      <c r="E204" s="8" t="s">
        <v>15</v>
      </c>
      <c r="F204"/>
      <c r="G204" s="58">
        <f>G171*454/60/0.0283/G$198*(21-7)/(21-G$199)*667.8/2</f>
        <v>0.17491618691052355</v>
      </c>
      <c r="H204"/>
      <c r="I204" s="58">
        <f>I171*454/60/0.0283/I$198*(21-7)/(21-I$199)*667.8/2</f>
        <v>0.16634891293686352</v>
      </c>
      <c r="J204"/>
      <c r="K204" s="58">
        <f>K171*454/60/0.0283/K$198*(21-7)/(21-K$199)*667.8/2</f>
        <v>0.16920713887069005</v>
      </c>
      <c r="L204"/>
      <c r="M204" s="58">
        <f>M171*454/60/0.0283/M$198*(21-7)/(21-M$199)*667.8/2</f>
        <v>0.15949316425624918</v>
      </c>
      <c r="N204"/>
      <c r="O204" s="58">
        <f>AVERAGE(K204,I204,G204,M204)</f>
        <v>0.16749135074358157</v>
      </c>
    </row>
    <row r="205" spans="2:15" ht="12.75">
      <c r="B205" s="8" t="s">
        <v>130</v>
      </c>
      <c r="C205" s="8" t="s">
        <v>269</v>
      </c>
      <c r="D205" s="8" t="s">
        <v>16</v>
      </c>
      <c r="E205" s="8" t="s">
        <v>15</v>
      </c>
      <c r="F205"/>
      <c r="G205" s="58">
        <f>G203+2*G204</f>
        <v>0.6999861269828445</v>
      </c>
      <c r="H205"/>
      <c r="I205" s="58">
        <f>I203+2*I204</f>
        <v>0.6656962553230584</v>
      </c>
      <c r="J205"/>
      <c r="K205" s="58">
        <f>K203+2*K204</f>
        <v>0.6771327876623545</v>
      </c>
      <c r="L205"/>
      <c r="M205" s="58">
        <f>M203+2*M204</f>
        <v>0.6382608718056854</v>
      </c>
      <c r="N205"/>
      <c r="O205" s="58">
        <f>O203+2*O204</f>
        <v>0.6702690104434856</v>
      </c>
    </row>
    <row r="206" spans="2:15" ht="12.75">
      <c r="B206" s="8"/>
      <c r="C206" s="8"/>
      <c r="F206"/>
      <c r="G206"/>
      <c r="H206"/>
      <c r="I206"/>
      <c r="J206"/>
      <c r="K206"/>
      <c r="L206"/>
      <c r="M206"/>
      <c r="N206"/>
      <c r="O206"/>
    </row>
    <row r="207" spans="2:15" ht="12.75">
      <c r="B207" s="8" t="s">
        <v>134</v>
      </c>
      <c r="C207" s="8" t="s">
        <v>269</v>
      </c>
      <c r="D207" s="8" t="s">
        <v>59</v>
      </c>
      <c r="E207" s="8" t="s">
        <v>15</v>
      </c>
      <c r="F207"/>
      <c r="G207" s="5">
        <f>G174*(21-7)/(21-G$199)</f>
        <v>25.075</v>
      </c>
      <c r="H207"/>
      <c r="I207" s="5">
        <f>I174*(21-7)/(21-I$199)</f>
        <v>70.56694214876033</v>
      </c>
      <c r="J207"/>
      <c r="K207" s="5">
        <f aca="true" t="shared" si="11" ref="K207:K228">K174*(21-7)/(21-K$199)</f>
        <v>17.410256410256412</v>
      </c>
      <c r="L207"/>
      <c r="M207" s="5">
        <f aca="true" t="shared" si="12" ref="M207:M228">M174*(21-7)/(21-M$199)</f>
        <v>16.28235294117647</v>
      </c>
      <c r="N207" s="5"/>
      <c r="O207" s="5">
        <f aca="true" t="shared" si="13" ref="O207:O218">AVERAGE(G207,I207,K207,M207)</f>
        <v>32.333637875048304</v>
      </c>
    </row>
    <row r="208" spans="2:15" ht="12.75">
      <c r="B208" s="8" t="s">
        <v>143</v>
      </c>
      <c r="C208" s="8" t="s">
        <v>269</v>
      </c>
      <c r="D208" s="8" t="s">
        <v>59</v>
      </c>
      <c r="E208" s="8" t="s">
        <v>15</v>
      </c>
      <c r="F208"/>
      <c r="G208" s="5">
        <f aca="true" t="shared" si="14" ref="G208:I228">G175*(21-7)/(21-G$199)</f>
        <v>1.0625</v>
      </c>
      <c r="H208"/>
      <c r="I208" s="5">
        <f t="shared" si="14"/>
        <v>1.1801652892561985</v>
      </c>
      <c r="J208"/>
      <c r="K208" s="5">
        <f t="shared" si="11"/>
        <v>0.2512820512820513</v>
      </c>
      <c r="L208"/>
      <c r="M208" s="5">
        <f t="shared" si="12"/>
        <v>0.24705882352941175</v>
      </c>
      <c r="N208" s="5"/>
      <c r="O208" s="5">
        <f t="shared" si="13"/>
        <v>0.6852515410169153</v>
      </c>
    </row>
    <row r="209" spans="2:15" ht="12.75">
      <c r="B209" s="8" t="s">
        <v>135</v>
      </c>
      <c r="C209" s="8" t="s">
        <v>269</v>
      </c>
      <c r="D209" s="8" t="s">
        <v>59</v>
      </c>
      <c r="E209" s="8" t="s">
        <v>15</v>
      </c>
      <c r="F209" s="8" t="s">
        <v>109</v>
      </c>
      <c r="G209" s="5">
        <f t="shared" si="14"/>
        <v>0.2740938949202946</v>
      </c>
      <c r="H209" s="8" t="s">
        <v>109</v>
      </c>
      <c r="I209" s="5">
        <f t="shared" si="14"/>
        <v>0.2553078497401917</v>
      </c>
      <c r="J209" s="58" t="s">
        <v>109</v>
      </c>
      <c r="K209" s="5">
        <f t="shared" si="11"/>
        <v>0.27107224430802696</v>
      </c>
      <c r="L209" s="58" t="s">
        <v>109</v>
      </c>
      <c r="M209" s="5">
        <f t="shared" si="12"/>
        <v>0.2690361469299485</v>
      </c>
      <c r="N209" s="5"/>
      <c r="O209" s="5">
        <f t="shared" si="13"/>
        <v>0.26737753397461544</v>
      </c>
    </row>
    <row r="210" spans="2:15" ht="12.75">
      <c r="B210" s="8" t="s">
        <v>136</v>
      </c>
      <c r="C210" s="8" t="s">
        <v>269</v>
      </c>
      <c r="D210" s="8" t="s">
        <v>59</v>
      </c>
      <c r="E210" s="8" t="s">
        <v>15</v>
      </c>
      <c r="F210"/>
      <c r="G210" s="5">
        <f t="shared" si="14"/>
        <v>1.9000000000000001</v>
      </c>
      <c r="H210"/>
      <c r="I210" s="5">
        <f t="shared" si="14"/>
        <v>2.6958677685950416</v>
      </c>
      <c r="J210"/>
      <c r="K210" s="5">
        <f t="shared" si="11"/>
        <v>1.6871794871794872</v>
      </c>
      <c r="L210"/>
      <c r="M210" s="5">
        <f t="shared" si="12"/>
        <v>2.164705882352941</v>
      </c>
      <c r="N210" s="5"/>
      <c r="O210" s="5">
        <f t="shared" si="13"/>
        <v>2.1119382845318677</v>
      </c>
    </row>
    <row r="211" spans="2:15" ht="12.75">
      <c r="B211" s="8" t="s">
        <v>87</v>
      </c>
      <c r="C211" s="8" t="s">
        <v>269</v>
      </c>
      <c r="D211" s="8" t="s">
        <v>59</v>
      </c>
      <c r="E211" s="8" t="s">
        <v>15</v>
      </c>
      <c r="F211" s="8" t="s">
        <v>109</v>
      </c>
      <c r="G211" s="5">
        <f t="shared" si="14"/>
        <v>0.2740938949202946</v>
      </c>
      <c r="H211" s="8" t="s">
        <v>109</v>
      </c>
      <c r="I211" s="5">
        <f t="shared" si="14"/>
        <v>0.2553078497401917</v>
      </c>
      <c r="J211" s="58" t="s">
        <v>109</v>
      </c>
      <c r="K211" s="5">
        <f t="shared" si="11"/>
        <v>0.27107224430802696</v>
      </c>
      <c r="L211" s="58" t="s">
        <v>109</v>
      </c>
      <c r="M211" s="5">
        <f t="shared" si="12"/>
        <v>0.2690361469299485</v>
      </c>
      <c r="N211" s="5"/>
      <c r="O211" s="5">
        <f t="shared" si="13"/>
        <v>0.26737753397461544</v>
      </c>
    </row>
    <row r="212" spans="2:15" ht="12.75">
      <c r="B212" s="8" t="s">
        <v>137</v>
      </c>
      <c r="C212" s="8" t="s">
        <v>269</v>
      </c>
      <c r="D212" s="8" t="s">
        <v>59</v>
      </c>
      <c r="E212" s="8" t="s">
        <v>15</v>
      </c>
      <c r="F212"/>
      <c r="G212" s="5">
        <f t="shared" si="14"/>
        <v>31.475</v>
      </c>
      <c r="H212"/>
      <c r="I212" s="5">
        <f t="shared" si="14"/>
        <v>52.8297520661157</v>
      </c>
      <c r="J212"/>
      <c r="K212" s="5">
        <f t="shared" si="11"/>
        <v>28.311111111111114</v>
      </c>
      <c r="L212"/>
      <c r="M212" s="5">
        <f t="shared" si="12"/>
        <v>40.63529411764706</v>
      </c>
      <c r="N212" s="5"/>
      <c r="O212" s="5">
        <f t="shared" si="13"/>
        <v>38.31278932371847</v>
      </c>
    </row>
    <row r="213" spans="2:15" ht="12.75">
      <c r="B213" s="8" t="s">
        <v>138</v>
      </c>
      <c r="C213" s="8" t="s">
        <v>269</v>
      </c>
      <c r="D213" s="8" t="s">
        <v>59</v>
      </c>
      <c r="E213" s="8" t="s">
        <v>15</v>
      </c>
      <c r="F213" s="8" t="s">
        <v>109</v>
      </c>
      <c r="G213" s="5">
        <f t="shared" si="14"/>
        <v>0.6030065688246481</v>
      </c>
      <c r="H213" s="8" t="s">
        <v>109</v>
      </c>
      <c r="I213" s="5">
        <f t="shared" si="14"/>
        <v>0.5769957404128332</v>
      </c>
      <c r="J213" s="58" t="s">
        <v>109</v>
      </c>
      <c r="K213" s="5">
        <f t="shared" si="11"/>
        <v>0.6126232721361408</v>
      </c>
      <c r="L213" s="58" t="s">
        <v>109</v>
      </c>
      <c r="M213" s="5">
        <f t="shared" si="12"/>
        <v>0.5918795232458868</v>
      </c>
      <c r="N213" s="5"/>
      <c r="O213" s="5">
        <f t="shared" si="13"/>
        <v>0.5961262761548772</v>
      </c>
    </row>
    <row r="214" spans="2:15" ht="12.75">
      <c r="B214" s="8" t="s">
        <v>92</v>
      </c>
      <c r="C214" s="8" t="s">
        <v>269</v>
      </c>
      <c r="D214" s="8" t="s">
        <v>59</v>
      </c>
      <c r="E214" s="8" t="s">
        <v>15</v>
      </c>
      <c r="F214"/>
      <c r="G214" s="5">
        <f t="shared" si="14"/>
        <v>1.5897445905377086</v>
      </c>
      <c r="H214"/>
      <c r="I214" s="5">
        <f t="shared" si="14"/>
        <v>0.9905944569919438</v>
      </c>
      <c r="J214" s="58" t="s">
        <v>109</v>
      </c>
      <c r="K214" s="5">
        <f t="shared" si="11"/>
        <v>1.2469323238169239</v>
      </c>
      <c r="L214" s="58" t="s">
        <v>109</v>
      </c>
      <c r="M214" s="5">
        <f t="shared" si="12"/>
        <v>1.2913735052637527</v>
      </c>
      <c r="N214" s="5"/>
      <c r="O214" s="5">
        <f t="shared" si="13"/>
        <v>1.2796612191525822</v>
      </c>
    </row>
    <row r="215" spans="2:15" ht="12.75">
      <c r="B215" s="8" t="s">
        <v>194</v>
      </c>
      <c r="C215" s="8" t="s">
        <v>269</v>
      </c>
      <c r="D215" s="8" t="s">
        <v>59</v>
      </c>
      <c r="E215" s="8" t="s">
        <v>15</v>
      </c>
      <c r="F215"/>
      <c r="G215" s="5">
        <f t="shared" si="14"/>
        <v>1.2375</v>
      </c>
      <c r="H215"/>
      <c r="I215" s="5">
        <f t="shared" si="14"/>
        <v>1.1454545454545455</v>
      </c>
      <c r="J215"/>
      <c r="K215" s="5">
        <f t="shared" si="11"/>
        <v>1.2205128205128206</v>
      </c>
      <c r="L215"/>
      <c r="M215" s="5">
        <f t="shared" si="12"/>
        <v>1.2</v>
      </c>
      <c r="N215" s="5"/>
      <c r="O215" s="5">
        <f t="shared" si="13"/>
        <v>1.2008668414918415</v>
      </c>
    </row>
    <row r="216" spans="2:15" ht="12.75">
      <c r="B216" s="8" t="s">
        <v>139</v>
      </c>
      <c r="C216" s="8" t="s">
        <v>269</v>
      </c>
      <c r="D216" s="8" t="s">
        <v>59</v>
      </c>
      <c r="E216" s="8" t="s">
        <v>15</v>
      </c>
      <c r="F216"/>
      <c r="G216" s="5">
        <f t="shared" si="14"/>
        <v>1.85</v>
      </c>
      <c r="H216"/>
      <c r="I216" s="5">
        <f t="shared" si="14"/>
        <v>3.2280991735537192</v>
      </c>
      <c r="J216"/>
      <c r="K216" s="5">
        <f t="shared" si="11"/>
        <v>1.1846153846153846</v>
      </c>
      <c r="L216"/>
      <c r="M216" s="5">
        <f t="shared" si="12"/>
        <v>2.447058823529412</v>
      </c>
      <c r="N216" s="5"/>
      <c r="O216" s="5">
        <f t="shared" si="13"/>
        <v>2.1774433454246287</v>
      </c>
    </row>
    <row r="217" spans="2:15" ht="12.75">
      <c r="B217" s="8" t="s">
        <v>86</v>
      </c>
      <c r="C217" s="8" t="s">
        <v>269</v>
      </c>
      <c r="D217" s="8" t="s">
        <v>59</v>
      </c>
      <c r="E217" s="8" t="s">
        <v>15</v>
      </c>
      <c r="F217"/>
      <c r="G217" s="5">
        <f t="shared" si="14"/>
        <v>0.6852347373007365</v>
      </c>
      <c r="H217"/>
      <c r="I217" s="5">
        <f t="shared" si="14"/>
        <v>0.5042330032368787</v>
      </c>
      <c r="J217"/>
      <c r="K217" s="5">
        <f t="shared" si="11"/>
        <v>0.12469323238169241</v>
      </c>
      <c r="L217"/>
      <c r="M217" s="5">
        <f t="shared" si="12"/>
        <v>0.08071084407898454</v>
      </c>
      <c r="N217" s="5"/>
      <c r="O217" s="5">
        <f t="shared" si="13"/>
        <v>0.3487179542495731</v>
      </c>
    </row>
    <row r="218" spans="2:15" ht="12.75">
      <c r="B218" s="8" t="s">
        <v>140</v>
      </c>
      <c r="C218" s="8" t="s">
        <v>269</v>
      </c>
      <c r="D218" s="8" t="s">
        <v>59</v>
      </c>
      <c r="E218" s="8" t="s">
        <v>15</v>
      </c>
      <c r="F218"/>
      <c r="G218" s="5">
        <f t="shared" si="14"/>
        <v>3.05</v>
      </c>
      <c r="H218"/>
      <c r="I218" s="5">
        <f t="shared" si="14"/>
        <v>3.1471074380165294</v>
      </c>
      <c r="J218"/>
      <c r="K218" s="5">
        <f t="shared" si="11"/>
        <v>5.827350427350428</v>
      </c>
      <c r="L218"/>
      <c r="M218" s="5">
        <f t="shared" si="12"/>
        <v>5.152941176470588</v>
      </c>
      <c r="N218" s="5"/>
      <c r="O218" s="5">
        <f t="shared" si="13"/>
        <v>4.2943497604593865</v>
      </c>
    </row>
    <row r="219" spans="2:15" ht="12.75">
      <c r="B219" s="8" t="s">
        <v>88</v>
      </c>
      <c r="C219" s="8" t="s">
        <v>269</v>
      </c>
      <c r="D219" s="8" t="s">
        <v>59</v>
      </c>
      <c r="E219" s="8" t="s">
        <v>15</v>
      </c>
      <c r="F219"/>
      <c r="G219" s="5">
        <f t="shared" si="14"/>
        <v>1.88864398294829</v>
      </c>
      <c r="H219"/>
      <c r="I219" s="5">
        <f t="shared" si="14"/>
        <v>58.337843665633805</v>
      </c>
      <c r="J219"/>
      <c r="K219" s="5">
        <f t="shared" si="11"/>
        <v>89.83063104123704</v>
      </c>
      <c r="L219"/>
      <c r="M219" s="5">
        <f t="shared" si="12"/>
        <v>107.97227684739623</v>
      </c>
      <c r="N219" s="5"/>
      <c r="O219" s="5">
        <f>AVERAGE(G219,I219,K219,M219)</f>
        <v>64.50734888430384</v>
      </c>
    </row>
    <row r="220" spans="2:15" ht="12.75">
      <c r="B220" s="8" t="s">
        <v>141</v>
      </c>
      <c r="C220" s="8" t="s">
        <v>269</v>
      </c>
      <c r="D220" s="8" t="s">
        <v>59</v>
      </c>
      <c r="E220" s="8" t="s">
        <v>15</v>
      </c>
      <c r="F220"/>
      <c r="G220" s="5">
        <f t="shared" si="14"/>
        <v>4.95</v>
      </c>
      <c r="H220"/>
      <c r="I220" s="5">
        <f t="shared" si="14"/>
        <v>4.616528925619835</v>
      </c>
      <c r="J220"/>
      <c r="K220" s="5">
        <f t="shared" si="11"/>
        <v>4.905982905982905</v>
      </c>
      <c r="L220"/>
      <c r="M220" s="5">
        <f t="shared" si="12"/>
        <v>4.858823529411764</v>
      </c>
      <c r="N220" s="5"/>
      <c r="O220" s="5">
        <f aca="true" t="shared" si="15" ref="O220:O228">AVERAGE(G220,I220,K220,M220)</f>
        <v>4.832833840253627</v>
      </c>
    </row>
    <row r="221" spans="2:15" ht="12.75">
      <c r="B221" s="8" t="s">
        <v>195</v>
      </c>
      <c r="C221" s="8" t="s">
        <v>269</v>
      </c>
      <c r="D221" s="8" t="s">
        <v>59</v>
      </c>
      <c r="E221" s="8" t="s">
        <v>15</v>
      </c>
      <c r="F221"/>
      <c r="G221" s="5">
        <f t="shared" si="14"/>
        <v>593.775</v>
      </c>
      <c r="H221"/>
      <c r="I221" s="5">
        <f t="shared" si="14"/>
        <v>645.9090909090909</v>
      </c>
      <c r="J221"/>
      <c r="K221" s="5">
        <f t="shared" si="11"/>
        <v>357.74188034188035</v>
      </c>
      <c r="L221"/>
      <c r="M221" s="5">
        <f t="shared" si="12"/>
        <v>732.9176470588236</v>
      </c>
      <c r="N221" s="5"/>
      <c r="O221" s="5">
        <f t="shared" si="15"/>
        <v>582.5859045774487</v>
      </c>
    </row>
    <row r="222" spans="2:15" ht="12.75">
      <c r="B222" s="8" t="s">
        <v>144</v>
      </c>
      <c r="C222" s="8" t="s">
        <v>269</v>
      </c>
      <c r="D222" s="8" t="s">
        <v>59</v>
      </c>
      <c r="E222" s="8" t="s">
        <v>15</v>
      </c>
      <c r="F222"/>
      <c r="G222" s="5">
        <f t="shared" si="14"/>
        <v>0.2625</v>
      </c>
      <c r="H222"/>
      <c r="I222" s="5">
        <f t="shared" si="14"/>
        <v>0.24297520661157024</v>
      </c>
      <c r="J222"/>
      <c r="K222" s="5">
        <f t="shared" si="11"/>
        <v>0.2512820512820513</v>
      </c>
      <c r="L222"/>
      <c r="M222" s="5">
        <f t="shared" si="12"/>
        <v>0.24705882352941175</v>
      </c>
      <c r="N222" s="5"/>
      <c r="O222" s="5">
        <f t="shared" si="15"/>
        <v>0.2509540203557583</v>
      </c>
    </row>
    <row r="223" spans="2:15" ht="12.75">
      <c r="B223" s="8" t="s">
        <v>133</v>
      </c>
      <c r="C223" s="8" t="s">
        <v>269</v>
      </c>
      <c r="D223" s="8" t="s">
        <v>59</v>
      </c>
      <c r="E223" s="8" t="s">
        <v>15</v>
      </c>
      <c r="F223"/>
      <c r="G223" s="5">
        <f t="shared" si="14"/>
        <v>2.3000000000000003</v>
      </c>
      <c r="H223"/>
      <c r="I223" s="5">
        <f t="shared" si="14"/>
        <v>1.1801652892561985</v>
      </c>
      <c r="J223"/>
      <c r="K223" s="5">
        <f t="shared" si="11"/>
        <v>3.123076923076923</v>
      </c>
      <c r="L223"/>
      <c r="M223" s="5">
        <f t="shared" si="12"/>
        <v>1.2</v>
      </c>
      <c r="N223" s="5"/>
      <c r="O223" s="5">
        <f t="shared" si="15"/>
        <v>1.9508105530832804</v>
      </c>
    </row>
    <row r="224" spans="2:15" ht="12.75">
      <c r="B224" s="8" t="s">
        <v>146</v>
      </c>
      <c r="C224" s="8" t="s">
        <v>269</v>
      </c>
      <c r="D224" s="8" t="s">
        <v>59</v>
      </c>
      <c r="E224" s="8" t="s">
        <v>15</v>
      </c>
      <c r="F224"/>
      <c r="G224" s="5">
        <f t="shared" si="14"/>
        <v>0.1375</v>
      </c>
      <c r="H224"/>
      <c r="I224" s="5">
        <f t="shared" si="14"/>
        <v>0.11570247933884299</v>
      </c>
      <c r="J224"/>
      <c r="K224" s="5">
        <f t="shared" si="11"/>
        <v>0.13162393162393163</v>
      </c>
      <c r="L224"/>
      <c r="M224" s="5">
        <f t="shared" si="12"/>
        <v>0.12941176470588237</v>
      </c>
      <c r="N224" s="5"/>
      <c r="O224" s="5">
        <f t="shared" si="15"/>
        <v>0.12855954391716423</v>
      </c>
    </row>
    <row r="225" spans="2:15" ht="12.75">
      <c r="B225" s="8" t="s">
        <v>145</v>
      </c>
      <c r="C225" s="8" t="s">
        <v>269</v>
      </c>
      <c r="D225" s="8" t="s">
        <v>59</v>
      </c>
      <c r="E225" s="8" t="s">
        <v>15</v>
      </c>
      <c r="F225"/>
      <c r="G225" s="5">
        <f t="shared" si="14"/>
        <v>12.4</v>
      </c>
      <c r="H225"/>
      <c r="I225" s="5">
        <f t="shared" si="14"/>
        <v>11.52396694214876</v>
      </c>
      <c r="J225"/>
      <c r="K225" s="5">
        <f t="shared" si="11"/>
        <v>12.3008547008547</v>
      </c>
      <c r="L225"/>
      <c r="M225" s="5">
        <f t="shared" si="12"/>
        <v>12.176470588235293</v>
      </c>
      <c r="N225" s="5"/>
      <c r="O225" s="5">
        <f t="shared" si="15"/>
        <v>12.100323057809689</v>
      </c>
    </row>
    <row r="226" spans="2:15" ht="12.75">
      <c r="B226" s="8" t="s">
        <v>147</v>
      </c>
      <c r="C226" s="8" t="s">
        <v>269</v>
      </c>
      <c r="D226" s="8" t="s">
        <v>59</v>
      </c>
      <c r="E226" s="8" t="s">
        <v>15</v>
      </c>
      <c r="F226"/>
      <c r="G226" s="5">
        <f t="shared" si="14"/>
        <v>1.2375</v>
      </c>
      <c r="H226"/>
      <c r="I226" s="5">
        <f t="shared" si="14"/>
        <v>1.1454545454545455</v>
      </c>
      <c r="J226"/>
      <c r="K226" s="5">
        <f t="shared" si="11"/>
        <v>1.2205128205128206</v>
      </c>
      <c r="L226"/>
      <c r="M226" s="5">
        <f t="shared" si="12"/>
        <v>12.047058823529413</v>
      </c>
      <c r="N226" s="5"/>
      <c r="O226" s="5">
        <f t="shared" si="15"/>
        <v>3.912631547374195</v>
      </c>
    </row>
    <row r="227" spans="2:15" ht="12.75">
      <c r="B227" s="8" t="s">
        <v>148</v>
      </c>
      <c r="C227" s="8" t="s">
        <v>269</v>
      </c>
      <c r="D227" s="8" t="s">
        <v>59</v>
      </c>
      <c r="E227" s="8" t="s">
        <v>15</v>
      </c>
      <c r="F227"/>
      <c r="G227" s="5">
        <f t="shared" si="14"/>
        <v>20.3</v>
      </c>
      <c r="H227"/>
      <c r="I227" s="5">
        <f t="shared" si="14"/>
        <v>18.62809917355372</v>
      </c>
      <c r="J227"/>
      <c r="K227" s="5">
        <f t="shared" si="11"/>
        <v>15.340170940170943</v>
      </c>
      <c r="L227"/>
      <c r="M227" s="5">
        <f t="shared" si="12"/>
        <v>9.305882352941177</v>
      </c>
      <c r="N227" s="5"/>
      <c r="O227" s="5">
        <f t="shared" si="15"/>
        <v>15.893538116666459</v>
      </c>
    </row>
    <row r="228" spans="2:15" ht="12.75">
      <c r="B228" s="88" t="s">
        <v>272</v>
      </c>
      <c r="C228" s="8" t="s">
        <v>269</v>
      </c>
      <c r="D228" s="8" t="s">
        <v>59</v>
      </c>
      <c r="E228" s="8" t="s">
        <v>15</v>
      </c>
      <c r="F228"/>
      <c r="G228" s="5">
        <f t="shared" si="14"/>
        <v>1.1</v>
      </c>
      <c r="H228"/>
      <c r="I228" s="5">
        <f t="shared" si="14"/>
        <v>1.0644628099173554</v>
      </c>
      <c r="J228"/>
      <c r="K228" s="5">
        <f t="shared" si="11"/>
        <v>1.052991452991453</v>
      </c>
      <c r="L228"/>
      <c r="M228" s="5">
        <f t="shared" si="12"/>
        <v>1.035294117647059</v>
      </c>
      <c r="N228"/>
      <c r="O228" s="5">
        <f t="shared" si="15"/>
        <v>1.0631870951389668</v>
      </c>
    </row>
    <row r="229" spans="2:15" ht="12.75">
      <c r="B229" s="8"/>
      <c r="C229" s="8"/>
      <c r="F229"/>
      <c r="G229"/>
      <c r="H229"/>
      <c r="I229"/>
      <c r="J229"/>
      <c r="K229"/>
      <c r="L229"/>
      <c r="M229"/>
      <c r="N229"/>
      <c r="O229"/>
    </row>
    <row r="230" spans="2:18" ht="12.75">
      <c r="B230" t="s">
        <v>60</v>
      </c>
      <c r="C230" s="8" t="s">
        <v>269</v>
      </c>
      <c r="D230" s="8" t="s">
        <v>59</v>
      </c>
      <c r="E230" s="8" t="s">
        <v>15</v>
      </c>
      <c r="F230"/>
      <c r="G230" s="5">
        <f>G217+G213</f>
        <v>1.2882413061253846</v>
      </c>
      <c r="H230" s="5"/>
      <c r="I230" s="5">
        <f>I217+I213</f>
        <v>1.0812287436497119</v>
      </c>
      <c r="J230" s="5"/>
      <c r="K230" s="5">
        <f>K217+K213</f>
        <v>0.7373165045178331</v>
      </c>
      <c r="L230" s="5"/>
      <c r="M230" s="5">
        <f>M217+M213</f>
        <v>0.6725903673248713</v>
      </c>
      <c r="N230" s="5"/>
      <c r="O230" s="5">
        <f>AVERAGE(G230,I230,K230,M230)</f>
        <v>0.9448442304044503</v>
      </c>
      <c r="P230" s="52"/>
      <c r="Q230"/>
      <c r="R230"/>
    </row>
    <row r="231" spans="2:18" ht="12.75">
      <c r="B231" t="s">
        <v>61</v>
      </c>
      <c r="C231" s="8" t="s">
        <v>269</v>
      </c>
      <c r="D231" s="8" t="s">
        <v>59</v>
      </c>
      <c r="E231" s="8" t="s">
        <v>15</v>
      </c>
      <c r="F231"/>
      <c r="G231" s="5">
        <f>G214+G211+G209</f>
        <v>2.137932380378298</v>
      </c>
      <c r="H231" s="5"/>
      <c r="I231" s="5">
        <f>I214+I211+I209</f>
        <v>1.5012101564723273</v>
      </c>
      <c r="J231" s="5"/>
      <c r="K231" s="5">
        <f>K214+K211+K209</f>
        <v>1.7890768124329777</v>
      </c>
      <c r="L231" s="5"/>
      <c r="M231" s="5">
        <f>M214+M211+M209</f>
        <v>1.8294457991236497</v>
      </c>
      <c r="N231" s="5"/>
      <c r="O231" s="5">
        <f>AVERAGE(G231,I231,K231,M231)</f>
        <v>1.814416287101813</v>
      </c>
      <c r="P231" s="52"/>
      <c r="Q231"/>
      <c r="R231"/>
    </row>
    <row r="233" spans="2:15" ht="12.75">
      <c r="B233" s="8" t="s">
        <v>177</v>
      </c>
      <c r="C233" s="8" t="s">
        <v>178</v>
      </c>
      <c r="G233" s="24"/>
      <c r="H233" s="24"/>
      <c r="I233" s="25"/>
      <c r="J233" s="24"/>
      <c r="K233" s="24"/>
      <c r="L233"/>
      <c r="M233"/>
      <c r="N233"/>
      <c r="O233" s="5"/>
    </row>
    <row r="234" spans="2:15" ht="12.75">
      <c r="B234" s="8" t="s">
        <v>179</v>
      </c>
      <c r="C234" s="8"/>
      <c r="D234" s="8" t="s">
        <v>54</v>
      </c>
      <c r="G234" s="24">
        <v>186.5</v>
      </c>
      <c r="H234" s="24"/>
      <c r="I234" s="25">
        <v>233.6</v>
      </c>
      <c r="J234" s="24"/>
      <c r="K234" s="24">
        <v>219.6</v>
      </c>
      <c r="L234"/>
      <c r="M234">
        <v>236</v>
      </c>
      <c r="N234"/>
      <c r="O234" s="5"/>
    </row>
    <row r="235" spans="2:15" ht="12.75">
      <c r="B235" s="8" t="s">
        <v>180</v>
      </c>
      <c r="C235" s="8" t="s">
        <v>269</v>
      </c>
      <c r="D235" s="8" t="s">
        <v>54</v>
      </c>
      <c r="F235" s="8" t="s">
        <v>109</v>
      </c>
      <c r="G235" s="61">
        <f>0.00000166/4</f>
        <v>4.15E-07</v>
      </c>
      <c r="H235" s="8" t="s">
        <v>109</v>
      </c>
      <c r="I235" s="61">
        <f>0.00000166/4</f>
        <v>4.15E-07</v>
      </c>
      <c r="J235" s="8" t="s">
        <v>109</v>
      </c>
      <c r="K235" s="61">
        <f>0.00000158/4</f>
        <v>3.95E-07</v>
      </c>
      <c r="L235" s="8" t="s">
        <v>109</v>
      </c>
      <c r="M235" s="59">
        <f>0.00000163/4</f>
        <v>4.075E-07</v>
      </c>
      <c r="N235"/>
      <c r="O235" s="5"/>
    </row>
    <row r="236" spans="2:15" ht="12.75">
      <c r="B236" s="8" t="s">
        <v>53</v>
      </c>
      <c r="C236" s="8" t="s">
        <v>269</v>
      </c>
      <c r="D236" s="8" t="s">
        <v>18</v>
      </c>
      <c r="F236" s="8" t="s">
        <v>181</v>
      </c>
      <c r="G236" s="92">
        <f>(G234-G235)/G234*100</f>
        <v>99.9999997774799</v>
      </c>
      <c r="H236" s="8" t="s">
        <v>181</v>
      </c>
      <c r="I236" s="92">
        <f>(I234-I235)/I234*100</f>
        <v>99.9999998223459</v>
      </c>
      <c r="J236" s="8" t="s">
        <v>181</v>
      </c>
      <c r="K236" s="92">
        <f>(K234-K235)/K234*100</f>
        <v>99.9999998201275</v>
      </c>
      <c r="L236" s="62" t="s">
        <v>181</v>
      </c>
      <c r="M236" s="92">
        <f>(M234-M235)/M234*100</f>
        <v>99.9999998273305</v>
      </c>
      <c r="N236"/>
      <c r="O236" s="63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K44"/>
  <sheetViews>
    <sheetView tabSelected="1" workbookViewId="0" topLeftCell="B1">
      <selection activeCell="AA15" sqref="AA15"/>
    </sheetView>
  </sheetViews>
  <sheetFormatPr defaultColWidth="9.140625" defaultRowHeight="12.75"/>
  <cols>
    <col min="1" max="1" width="6.8515625" style="0" hidden="1" customWidth="1"/>
    <col min="2" max="2" width="18.421875" style="0" customWidth="1"/>
    <col min="3" max="3" width="5.57421875" style="0" customWidth="1"/>
    <col min="5" max="5" width="3.57421875" style="0" customWidth="1"/>
    <col min="6" max="6" width="4.28125" style="0" customWidth="1"/>
    <col min="8" max="8" width="3.28125" style="0" customWidth="1"/>
    <col min="10" max="10" width="4.140625" style="0" customWidth="1"/>
    <col min="12" max="12" width="3.421875" style="0" customWidth="1"/>
    <col min="13" max="13" width="9.57421875" style="0" bestFit="1" customWidth="1"/>
    <col min="14" max="14" width="4.00390625" style="0" customWidth="1"/>
    <col min="16" max="16" width="2.421875" style="0" hidden="1" customWidth="1"/>
    <col min="17" max="17" width="0" style="0" hidden="1" customWidth="1"/>
    <col min="18" max="18" width="2.57421875" style="0" hidden="1" customWidth="1"/>
    <col min="19" max="21" width="0" style="0" hidden="1" customWidth="1"/>
    <col min="22" max="23" width="9.140625" style="0" hidden="1" customWidth="1"/>
    <col min="24" max="24" width="0" style="0" hidden="1" customWidth="1"/>
  </cols>
  <sheetData>
    <row r="1" ht="12.75">
      <c r="B1" s="6" t="s">
        <v>252</v>
      </c>
    </row>
    <row r="2" ht="12.75">
      <c r="B2" s="6"/>
    </row>
    <row r="3" ht="12.75">
      <c r="B3" s="6"/>
    </row>
    <row r="4" spans="2:15" ht="12.75">
      <c r="B4" s="6" t="s">
        <v>205</v>
      </c>
      <c r="G4" s="52" t="s">
        <v>212</v>
      </c>
      <c r="H4" s="52"/>
      <c r="I4" s="52" t="s">
        <v>213</v>
      </c>
      <c r="J4" s="52"/>
      <c r="K4" s="52" t="s">
        <v>214</v>
      </c>
      <c r="L4" s="52"/>
      <c r="M4" s="52" t="s">
        <v>215</v>
      </c>
      <c r="N4" s="52"/>
      <c r="O4" s="52" t="s">
        <v>48</v>
      </c>
    </row>
    <row r="6" spans="1:24" s="77" customFormat="1" ht="12.75">
      <c r="A6" s="77" t="s">
        <v>205</v>
      </c>
      <c r="B6" s="77" t="s">
        <v>13</v>
      </c>
      <c r="C6" s="77" t="s">
        <v>269</v>
      </c>
      <c r="D6" s="77" t="s">
        <v>14</v>
      </c>
      <c r="E6" s="77" t="s">
        <v>15</v>
      </c>
      <c r="F6" s="78" t="s">
        <v>216</v>
      </c>
      <c r="G6" s="79">
        <v>0.009550094735999999</v>
      </c>
      <c r="H6" s="79" t="s">
        <v>216</v>
      </c>
      <c r="I6" s="79">
        <v>0.0023400232128</v>
      </c>
      <c r="J6" s="79" t="s">
        <v>216</v>
      </c>
      <c r="K6" s="79">
        <v>0.0027400271808000003</v>
      </c>
      <c r="L6" s="79" t="s">
        <v>216</v>
      </c>
      <c r="M6" s="79">
        <v>0.0007800077376000001</v>
      </c>
      <c r="N6" s="79" t="s">
        <v>216</v>
      </c>
      <c r="O6" s="79">
        <f>AVERAGE(G6,I6,K6,M6)</f>
        <v>0.0038525382168</v>
      </c>
      <c r="P6" s="79" t="s">
        <v>216</v>
      </c>
      <c r="Q6" s="79"/>
      <c r="R6" s="79" t="s">
        <v>216</v>
      </c>
      <c r="S6" s="79"/>
      <c r="T6" s="79" t="s">
        <v>216</v>
      </c>
      <c r="U6" s="79"/>
      <c r="V6" s="78" t="s">
        <v>216</v>
      </c>
      <c r="W6" s="78"/>
      <c r="X6" s="77">
        <v>0.0038525382168</v>
      </c>
    </row>
    <row r="7" spans="1:24" s="77" customFormat="1" ht="12.75">
      <c r="A7" s="77" t="s">
        <v>205</v>
      </c>
      <c r="B7" s="77" t="s">
        <v>294</v>
      </c>
      <c r="C7" s="77" t="s">
        <v>269</v>
      </c>
      <c r="D7" s="77" t="s">
        <v>16</v>
      </c>
      <c r="E7" s="77" t="s">
        <v>15</v>
      </c>
      <c r="F7" s="78" t="s">
        <v>216</v>
      </c>
      <c r="G7" s="80">
        <v>4.65</v>
      </c>
      <c r="H7" s="80" t="s">
        <v>216</v>
      </c>
      <c r="I7" s="80">
        <v>7.1580645161290315</v>
      </c>
      <c r="J7" s="80" t="s">
        <v>216</v>
      </c>
      <c r="K7" s="80">
        <v>5.190769230769231</v>
      </c>
      <c r="L7" s="78" t="s">
        <v>216</v>
      </c>
      <c r="M7" s="80">
        <v>5.8344827586207</v>
      </c>
      <c r="N7" s="78" t="s">
        <v>216</v>
      </c>
      <c r="O7" s="80">
        <f>AVERAGE(G7,I7,K7,M7)</f>
        <v>5.708329126379741</v>
      </c>
      <c r="P7" s="78" t="s">
        <v>216</v>
      </c>
      <c r="Q7" s="78"/>
      <c r="R7" s="78" t="s">
        <v>216</v>
      </c>
      <c r="S7" s="78"/>
      <c r="T7" s="78" t="s">
        <v>216</v>
      </c>
      <c r="U7" s="78"/>
      <c r="V7" s="78" t="s">
        <v>216</v>
      </c>
      <c r="W7" s="78"/>
      <c r="X7" s="77">
        <v>5.708329126379741</v>
      </c>
    </row>
    <row r="8" spans="1:24" s="77" customFormat="1" ht="12.75">
      <c r="A8" s="77" t="s">
        <v>205</v>
      </c>
      <c r="B8" s="77" t="s">
        <v>51</v>
      </c>
      <c r="C8" s="77" t="s">
        <v>269</v>
      </c>
      <c r="D8" s="77" t="s">
        <v>16</v>
      </c>
      <c r="E8" s="77" t="s">
        <v>15</v>
      </c>
      <c r="F8" s="78" t="s">
        <v>109</v>
      </c>
      <c r="G8" s="80">
        <v>0.2072711733712925</v>
      </c>
      <c r="H8" s="80" t="s">
        <v>216</v>
      </c>
      <c r="I8" s="80">
        <v>3.217573493514578</v>
      </c>
      <c r="J8" s="80" t="s">
        <v>109</v>
      </c>
      <c r="K8" s="80">
        <v>0.21698700962307182</v>
      </c>
      <c r="L8" s="78" t="s">
        <v>109</v>
      </c>
      <c r="M8" s="80">
        <v>0.2104116456951</v>
      </c>
      <c r="N8" s="78" t="s">
        <v>216</v>
      </c>
      <c r="O8" s="80">
        <f aca="true" t="shared" si="0" ref="O8:O24">AVERAGE(G8,I8,K8,M8)</f>
        <v>0.9630608305510105</v>
      </c>
      <c r="P8" s="78" t="s">
        <v>216</v>
      </c>
      <c r="Q8" s="78"/>
      <c r="R8" s="78" t="s">
        <v>216</v>
      </c>
      <c r="S8" s="78"/>
      <c r="T8" s="78" t="s">
        <v>216</v>
      </c>
      <c r="U8" s="78"/>
      <c r="V8" s="78" t="s">
        <v>216</v>
      </c>
      <c r="W8" s="78"/>
      <c r="X8" s="77">
        <v>0.9630608305510105</v>
      </c>
    </row>
    <row r="9" spans="1:24" s="77" customFormat="1" ht="12.75">
      <c r="A9" s="77" t="s">
        <v>205</v>
      </c>
      <c r="B9" s="77" t="s">
        <v>135</v>
      </c>
      <c r="C9" s="81" t="s">
        <v>270</v>
      </c>
      <c r="D9" s="77" t="s">
        <v>59</v>
      </c>
      <c r="E9" s="77" t="s">
        <v>15</v>
      </c>
      <c r="F9" s="82" t="s">
        <v>109</v>
      </c>
      <c r="G9" s="80">
        <f>10/1.250196*(21-7)/(21-G$34)</f>
        <v>17.497256430191744</v>
      </c>
      <c r="H9" s="80" t="s">
        <v>216</v>
      </c>
      <c r="I9" s="80">
        <f>28.1/1.390648*(21-7)/(21-I$34)</f>
        <v>44.903127494840135</v>
      </c>
      <c r="J9" s="80" t="s">
        <v>109</v>
      </c>
      <c r="K9" s="80">
        <f>10/1.339677*(21-7)/(21-K$34)</f>
        <v>15.833757847691057</v>
      </c>
      <c r="L9" s="78" t="s">
        <v>109</v>
      </c>
      <c r="M9" s="80">
        <f>10/1.333164*(21-7)/(21-M$34)</f>
        <v>15.219324158515958</v>
      </c>
      <c r="N9" s="78" t="s">
        <v>216</v>
      </c>
      <c r="O9" s="80">
        <f>AVERAGE(G9,I9,K9,M9)</f>
        <v>23.363366482809724</v>
      </c>
      <c r="P9" s="78" t="s">
        <v>216</v>
      </c>
      <c r="Q9" s="78"/>
      <c r="R9" s="78" t="s">
        <v>216</v>
      </c>
      <c r="S9" s="78"/>
      <c r="T9" s="78" t="s">
        <v>216</v>
      </c>
      <c r="U9" s="78"/>
      <c r="V9" s="78" t="s">
        <v>216</v>
      </c>
      <c r="W9" s="78"/>
      <c r="X9" s="77">
        <v>13.433437637241981</v>
      </c>
    </row>
    <row r="10" spans="1:24" s="77" customFormat="1" ht="12.75">
      <c r="A10" s="77" t="s">
        <v>205</v>
      </c>
      <c r="B10" s="77" t="s">
        <v>136</v>
      </c>
      <c r="C10" s="81" t="s">
        <v>270</v>
      </c>
      <c r="D10" s="77" t="s">
        <v>59</v>
      </c>
      <c r="E10" s="77" t="s">
        <v>15</v>
      </c>
      <c r="F10" s="78" t="s">
        <v>109</v>
      </c>
      <c r="G10" s="80">
        <v>17.5</v>
      </c>
      <c r="H10" s="80" t="s">
        <v>109</v>
      </c>
      <c r="I10" s="80">
        <v>16</v>
      </c>
      <c r="J10" s="80" t="s">
        <v>109</v>
      </c>
      <c r="K10" s="80">
        <v>15.909090909091</v>
      </c>
      <c r="L10" s="78" t="s">
        <v>216</v>
      </c>
      <c r="M10" s="80">
        <v>16.637681159420286</v>
      </c>
      <c r="N10" s="78" t="s">
        <v>216</v>
      </c>
      <c r="O10" s="80">
        <f t="shared" si="0"/>
        <v>16.511693017127822</v>
      </c>
      <c r="P10" s="78" t="s">
        <v>216</v>
      </c>
      <c r="Q10" s="78"/>
      <c r="R10" s="78" t="s">
        <v>216</v>
      </c>
      <c r="S10" s="78"/>
      <c r="T10" s="78" t="s">
        <v>216</v>
      </c>
      <c r="U10" s="78"/>
      <c r="V10" s="78" t="s">
        <v>216</v>
      </c>
      <c r="W10" s="78"/>
      <c r="X10" s="77">
        <v>16.511693017127822</v>
      </c>
    </row>
    <row r="11" spans="2:23" s="77" customFormat="1" ht="12.75">
      <c r="B11" s="81" t="s">
        <v>87</v>
      </c>
      <c r="C11" s="81" t="s">
        <v>270</v>
      </c>
      <c r="D11" s="77" t="s">
        <v>59</v>
      </c>
      <c r="E11" s="77" t="s">
        <v>15</v>
      </c>
      <c r="F11" s="82" t="s">
        <v>109</v>
      </c>
      <c r="G11" s="80">
        <f>4/1.250196*(21-7)/(21-G$34)</f>
        <v>6.998902572076698</v>
      </c>
      <c r="H11" s="80" t="s">
        <v>109</v>
      </c>
      <c r="I11" s="80">
        <f>4/1.390648*(21-7)/(21-I$34)</f>
        <v>6.3919042697281325</v>
      </c>
      <c r="J11" s="80" t="s">
        <v>109</v>
      </c>
      <c r="K11" s="80">
        <f>4/1.339677*(21-7)/(21-K$34)</f>
        <v>6.333503139076423</v>
      </c>
      <c r="L11" s="78" t="s">
        <v>109</v>
      </c>
      <c r="M11" s="80">
        <f>4/1.333164*(21-7)/(21-M$34)</f>
        <v>6.087729663406383</v>
      </c>
      <c r="N11" s="78"/>
      <c r="O11" s="80">
        <f t="shared" si="0"/>
        <v>6.453009911071909</v>
      </c>
      <c r="P11" s="78"/>
      <c r="Q11" s="78"/>
      <c r="R11" s="78"/>
      <c r="S11" s="78"/>
      <c r="T11" s="78"/>
      <c r="U11" s="78"/>
      <c r="V11" s="78"/>
      <c r="W11" s="78"/>
    </row>
    <row r="12" spans="1:24" s="77" customFormat="1" ht="12.75">
      <c r="A12" s="77" t="s">
        <v>205</v>
      </c>
      <c r="B12" s="77" t="s">
        <v>137</v>
      </c>
      <c r="C12" s="81" t="s">
        <v>270</v>
      </c>
      <c r="D12" s="77" t="s">
        <v>59</v>
      </c>
      <c r="E12" s="77" t="s">
        <v>15</v>
      </c>
      <c r="F12" s="78" t="s">
        <v>216</v>
      </c>
      <c r="G12" s="80">
        <v>448.4375</v>
      </c>
      <c r="H12" s="80" t="s">
        <v>216</v>
      </c>
      <c r="I12" s="80">
        <v>180</v>
      </c>
      <c r="J12" s="80" t="s">
        <v>216</v>
      </c>
      <c r="K12" s="80">
        <v>341.5151515151515</v>
      </c>
      <c r="L12" s="78" t="s">
        <v>216</v>
      </c>
      <c r="M12" s="80">
        <v>267.8260869565217</v>
      </c>
      <c r="N12" s="78" t="s">
        <v>216</v>
      </c>
      <c r="O12" s="80">
        <f t="shared" si="0"/>
        <v>309.4446846179183</v>
      </c>
      <c r="P12" s="78" t="s">
        <v>216</v>
      </c>
      <c r="Q12" s="78"/>
      <c r="R12" s="78" t="s">
        <v>216</v>
      </c>
      <c r="S12" s="78"/>
      <c r="T12" s="78" t="s">
        <v>216</v>
      </c>
      <c r="U12" s="78"/>
      <c r="V12" s="78" t="s">
        <v>216</v>
      </c>
      <c r="W12" s="78"/>
      <c r="X12" s="77">
        <v>309.4446846179183</v>
      </c>
    </row>
    <row r="13" spans="2:23" s="77" customFormat="1" ht="12.75">
      <c r="B13" s="81" t="s">
        <v>138</v>
      </c>
      <c r="C13" s="81" t="s">
        <v>270</v>
      </c>
      <c r="D13" s="77" t="s">
        <v>59</v>
      </c>
      <c r="E13" s="77" t="s">
        <v>15</v>
      </c>
      <c r="F13" s="82" t="s">
        <v>109</v>
      </c>
      <c r="G13" s="80">
        <f>5/1.250196*(21-7)/(21-G$34)</f>
        <v>8.748628215095872</v>
      </c>
      <c r="H13" s="80" t="s">
        <v>109</v>
      </c>
      <c r="I13" s="80">
        <f>5/1.390648*(21-7)/(21-I$34)</f>
        <v>7.989880337160165</v>
      </c>
      <c r="J13" s="80" t="s">
        <v>109</v>
      </c>
      <c r="K13" s="80">
        <f>5/1.339677*(21-7)/(21-K$34)</f>
        <v>7.916878923845529</v>
      </c>
      <c r="L13" s="78" t="s">
        <v>109</v>
      </c>
      <c r="M13" s="80">
        <f>5/1.333164*(21-7)/(21-M$28)</f>
        <v>7.955555810133342</v>
      </c>
      <c r="N13" s="78">
        <v>100</v>
      </c>
      <c r="O13" s="80">
        <f t="shared" si="0"/>
        <v>8.152735821558727</v>
      </c>
      <c r="P13" s="78"/>
      <c r="Q13" s="78"/>
      <c r="R13" s="78"/>
      <c r="S13" s="78"/>
      <c r="T13" s="78"/>
      <c r="U13" s="78"/>
      <c r="V13" s="78"/>
      <c r="W13" s="78"/>
    </row>
    <row r="14" spans="1:24" s="77" customFormat="1" ht="12.75">
      <c r="A14" s="77" t="s">
        <v>205</v>
      </c>
      <c r="B14" s="77" t="s">
        <v>92</v>
      </c>
      <c r="C14" s="81" t="s">
        <v>270</v>
      </c>
      <c r="D14" s="77" t="s">
        <v>59</v>
      </c>
      <c r="E14" s="77" t="s">
        <v>15</v>
      </c>
      <c r="F14" s="82" t="s">
        <v>109</v>
      </c>
      <c r="G14" s="80">
        <f>6/1.250196*(21-7)/(21-G$34)</f>
        <v>10.498353858115046</v>
      </c>
      <c r="H14" s="80"/>
      <c r="I14" s="80">
        <f>4.7/1.390648*(21-7)/(21-I$34)</f>
        <v>7.510487516930556</v>
      </c>
      <c r="J14" s="80" t="s">
        <v>109</v>
      </c>
      <c r="K14" s="80">
        <f>6/1.339677*(21-7)/(21-K$34)</f>
        <v>9.500254708614635</v>
      </c>
      <c r="L14" s="78"/>
      <c r="M14" s="80">
        <f>5/1.333164*(21-7)/(21-M$34)</f>
        <v>7.609662079257979</v>
      </c>
      <c r="N14" s="78" t="s">
        <v>216</v>
      </c>
      <c r="O14" s="80">
        <f t="shared" si="0"/>
        <v>8.779689540729555</v>
      </c>
      <c r="P14" s="78" t="s">
        <v>216</v>
      </c>
      <c r="Q14" s="78"/>
      <c r="R14" s="78" t="s">
        <v>216</v>
      </c>
      <c r="S14" s="78"/>
      <c r="T14" s="78" t="s">
        <v>216</v>
      </c>
      <c r="U14" s="78"/>
      <c r="V14" s="78" t="s">
        <v>216</v>
      </c>
      <c r="W14" s="78"/>
      <c r="X14" s="77">
        <v>4.7957187362757985</v>
      </c>
    </row>
    <row r="15" spans="1:24" s="77" customFormat="1" ht="12.75">
      <c r="A15" s="77" t="s">
        <v>205</v>
      </c>
      <c r="B15" s="77" t="s">
        <v>139</v>
      </c>
      <c r="C15" s="81" t="s">
        <v>270</v>
      </c>
      <c r="D15" s="77" t="s">
        <v>59</v>
      </c>
      <c r="E15" s="77" t="s">
        <v>15</v>
      </c>
      <c r="F15" s="78" t="s">
        <v>109</v>
      </c>
      <c r="G15" s="80">
        <v>8.75</v>
      </c>
      <c r="H15" s="80" t="s">
        <v>216</v>
      </c>
      <c r="I15" s="80">
        <v>11.33333333333333</v>
      </c>
      <c r="J15" s="80" t="s">
        <v>216</v>
      </c>
      <c r="K15" s="80">
        <v>8.06060606060606</v>
      </c>
      <c r="L15" s="78" t="s">
        <v>109</v>
      </c>
      <c r="M15" s="80">
        <v>7.710144927536231</v>
      </c>
      <c r="N15" s="78" t="s">
        <v>216</v>
      </c>
      <c r="O15" s="80">
        <f t="shared" si="0"/>
        <v>8.963521080368906</v>
      </c>
      <c r="P15" s="78" t="s">
        <v>216</v>
      </c>
      <c r="Q15" s="78"/>
      <c r="R15" s="78" t="s">
        <v>216</v>
      </c>
      <c r="S15" s="78"/>
      <c r="T15" s="78" t="s">
        <v>216</v>
      </c>
      <c r="U15" s="78"/>
      <c r="V15" s="78" t="s">
        <v>216</v>
      </c>
      <c r="W15" s="78"/>
      <c r="X15" s="77">
        <v>8.963521080368906</v>
      </c>
    </row>
    <row r="16" spans="1:24" s="77" customFormat="1" ht="12.75">
      <c r="A16" s="77" t="s">
        <v>205</v>
      </c>
      <c r="B16" s="77" t="s">
        <v>86</v>
      </c>
      <c r="C16" s="81" t="s">
        <v>270</v>
      </c>
      <c r="D16" s="77" t="s">
        <v>59</v>
      </c>
      <c r="E16" s="77" t="s">
        <v>15</v>
      </c>
      <c r="F16" s="82" t="s">
        <v>109</v>
      </c>
      <c r="G16" s="80">
        <f>10/1.250196*(21-7)/(21-G$34)</f>
        <v>17.497256430191744</v>
      </c>
      <c r="H16" s="80"/>
      <c r="I16" s="80">
        <f>24.5/1.390648*(21-7)/(21-I$34)</f>
        <v>39.150413652084815</v>
      </c>
      <c r="J16" s="80"/>
      <c r="K16" s="80">
        <f>10.99/1.339677*(21-7)/(21-K$34)</f>
        <v>17.40129987461247</v>
      </c>
      <c r="L16" s="78"/>
      <c r="M16" s="80">
        <f>25.5/1.333164*(21-7)/(21-M$34)</f>
        <v>38.80927660421569</v>
      </c>
      <c r="N16" s="78" t="s">
        <v>216</v>
      </c>
      <c r="O16" s="80">
        <f t="shared" si="0"/>
        <v>28.21456164027618</v>
      </c>
      <c r="P16" s="78" t="s">
        <v>216</v>
      </c>
      <c r="Q16" s="78"/>
      <c r="R16" s="78" t="s">
        <v>216</v>
      </c>
      <c r="S16" s="78"/>
      <c r="T16" s="78" t="s">
        <v>216</v>
      </c>
      <c r="U16" s="78"/>
      <c r="V16" s="78" t="s">
        <v>216</v>
      </c>
      <c r="W16" s="78"/>
      <c r="X16" s="77">
        <v>23.04048638559508</v>
      </c>
    </row>
    <row r="17" spans="1:24" s="77" customFormat="1" ht="12.75">
      <c r="A17" s="77" t="s">
        <v>205</v>
      </c>
      <c r="B17" s="77" t="s">
        <v>140</v>
      </c>
      <c r="C17" s="81" t="s">
        <v>270</v>
      </c>
      <c r="D17" s="77" t="s">
        <v>59</v>
      </c>
      <c r="E17" s="77" t="s">
        <v>15</v>
      </c>
      <c r="F17" s="78" t="s">
        <v>216</v>
      </c>
      <c r="G17" s="80">
        <v>0.4375</v>
      </c>
      <c r="H17" s="80" t="s">
        <v>216</v>
      </c>
      <c r="I17" s="80">
        <v>19.111111111111107</v>
      </c>
      <c r="J17" s="80" t="s">
        <v>216</v>
      </c>
      <c r="K17" s="80">
        <v>867.5757575757575</v>
      </c>
      <c r="L17" s="78" t="s">
        <v>216</v>
      </c>
      <c r="M17" s="80">
        <v>4.2608695652174</v>
      </c>
      <c r="N17" s="78" t="s">
        <v>216</v>
      </c>
      <c r="O17" s="80">
        <f t="shared" si="0"/>
        <v>222.8463095630215</v>
      </c>
      <c r="P17" s="78" t="s">
        <v>216</v>
      </c>
      <c r="Q17" s="78"/>
      <c r="R17" s="78" t="s">
        <v>216</v>
      </c>
      <c r="S17" s="78"/>
      <c r="T17" s="78" t="s">
        <v>216</v>
      </c>
      <c r="U17" s="78"/>
      <c r="V17" s="78" t="s">
        <v>216</v>
      </c>
      <c r="W17" s="78"/>
      <c r="X17" s="77">
        <v>222.8463095630215</v>
      </c>
    </row>
    <row r="18" spans="1:24" s="77" customFormat="1" ht="12.75">
      <c r="A18" s="77" t="s">
        <v>205</v>
      </c>
      <c r="B18" s="77" t="s">
        <v>88</v>
      </c>
      <c r="C18" s="81" t="s">
        <v>270</v>
      </c>
      <c r="D18" s="77" t="s">
        <v>59</v>
      </c>
      <c r="E18" s="77" t="s">
        <v>15</v>
      </c>
      <c r="F18" s="78" t="s">
        <v>109</v>
      </c>
      <c r="G18" s="80">
        <f>9.2/1.250196*(21-7)/(21-G$34)</f>
        <v>16.0974759157764</v>
      </c>
      <c r="H18" s="80" t="s">
        <v>216</v>
      </c>
      <c r="I18" s="80">
        <f>11.44/1.390648*(21-7)/(21-I$34)</f>
        <v>18.280846211422457</v>
      </c>
      <c r="J18" s="80" t="s">
        <v>216</v>
      </c>
      <c r="K18" s="80">
        <f>8.84/1.339677*(21-7)/(21-K$34)</f>
        <v>13.997041937358896</v>
      </c>
      <c r="L18" s="78" t="s">
        <v>216</v>
      </c>
      <c r="M18" s="80">
        <f>5.2/1.333164*(21-7)/(21-M$34)</f>
        <v>7.914048562428298</v>
      </c>
      <c r="N18" s="78">
        <f>G18/(14.1*4)*100</f>
        <v>28.541623964142556</v>
      </c>
      <c r="O18" s="80">
        <f>AVERAGE(G18,I18,K18,M18)</f>
        <v>14.072353156746512</v>
      </c>
      <c r="P18" s="78" t="s">
        <v>216</v>
      </c>
      <c r="Q18" s="78"/>
      <c r="R18" s="78" t="s">
        <v>216</v>
      </c>
      <c r="S18" s="78"/>
      <c r="T18" s="78" t="s">
        <v>216</v>
      </c>
      <c r="U18" s="78"/>
      <c r="V18" s="78" t="s">
        <v>216</v>
      </c>
      <c r="W18" s="78"/>
      <c r="X18" s="77">
        <v>7.937472551602986</v>
      </c>
    </row>
    <row r="19" spans="1:24" s="77" customFormat="1" ht="12.75">
      <c r="A19" s="77" t="s">
        <v>205</v>
      </c>
      <c r="B19" s="77" t="s">
        <v>142</v>
      </c>
      <c r="C19" s="81" t="s">
        <v>270</v>
      </c>
      <c r="D19" s="77" t="s">
        <v>59</v>
      </c>
      <c r="E19" s="77" t="s">
        <v>15</v>
      </c>
      <c r="F19" s="78" t="s">
        <v>216</v>
      </c>
      <c r="G19" s="80">
        <v>212.1875</v>
      </c>
      <c r="H19" s="80" t="s">
        <v>216</v>
      </c>
      <c r="I19" s="80">
        <v>95.55555555555554</v>
      </c>
      <c r="J19" s="80" t="s">
        <v>216</v>
      </c>
      <c r="K19" s="80">
        <v>171.8181818181818</v>
      </c>
      <c r="L19" s="78" t="s">
        <v>216</v>
      </c>
      <c r="M19" s="80">
        <v>170.43478260869563</v>
      </c>
      <c r="N19" s="78" t="s">
        <v>216</v>
      </c>
      <c r="O19" s="80">
        <f t="shared" si="0"/>
        <v>162.49900499560823</v>
      </c>
      <c r="P19" s="78" t="s">
        <v>216</v>
      </c>
      <c r="Q19" s="78"/>
      <c r="R19" s="78" t="s">
        <v>216</v>
      </c>
      <c r="S19" s="78"/>
      <c r="T19" s="78" t="s">
        <v>216</v>
      </c>
      <c r="U19" s="78"/>
      <c r="V19" s="78" t="s">
        <v>216</v>
      </c>
      <c r="W19" s="78"/>
      <c r="X19" s="77">
        <v>162.49900499560823</v>
      </c>
    </row>
    <row r="20" spans="1:24" s="77" customFormat="1" ht="12.75">
      <c r="A20" s="77" t="s">
        <v>205</v>
      </c>
      <c r="B20" s="77" t="s">
        <v>144</v>
      </c>
      <c r="C20" s="81" t="s">
        <v>270</v>
      </c>
      <c r="D20" s="77" t="s">
        <v>59</v>
      </c>
      <c r="E20" s="77" t="s">
        <v>15</v>
      </c>
      <c r="F20" s="78" t="s">
        <v>216</v>
      </c>
      <c r="G20" s="80">
        <v>12.46875</v>
      </c>
      <c r="H20" s="80" t="s">
        <v>216</v>
      </c>
      <c r="I20" s="80">
        <v>9.333333333333332</v>
      </c>
      <c r="J20" s="80" t="s">
        <v>109</v>
      </c>
      <c r="K20" s="80">
        <v>7.848484848484849</v>
      </c>
      <c r="L20" s="78" t="s">
        <v>109</v>
      </c>
      <c r="M20" s="80">
        <v>7.710144927536231</v>
      </c>
      <c r="N20" s="78" t="s">
        <v>216</v>
      </c>
      <c r="O20" s="80">
        <f t="shared" si="0"/>
        <v>9.340178277338602</v>
      </c>
      <c r="P20" s="78" t="s">
        <v>216</v>
      </c>
      <c r="Q20" s="78"/>
      <c r="R20" s="78" t="s">
        <v>216</v>
      </c>
      <c r="S20" s="78"/>
      <c r="T20" s="78" t="s">
        <v>216</v>
      </c>
      <c r="U20" s="78"/>
      <c r="V20" s="78" t="s">
        <v>216</v>
      </c>
      <c r="W20" s="78"/>
      <c r="X20" s="77">
        <v>9.340178277338602</v>
      </c>
    </row>
    <row r="21" spans="1:24" s="77" customFormat="1" ht="12.75">
      <c r="A21" s="77" t="s">
        <v>205</v>
      </c>
      <c r="B21" s="77" t="s">
        <v>145</v>
      </c>
      <c r="C21" s="81" t="s">
        <v>270</v>
      </c>
      <c r="D21" s="77" t="s">
        <v>59</v>
      </c>
      <c r="E21" s="77" t="s">
        <v>15</v>
      </c>
      <c r="F21" s="78" t="s">
        <v>109</v>
      </c>
      <c r="G21" s="80">
        <v>17.5</v>
      </c>
      <c r="H21" s="80" t="s">
        <v>109</v>
      </c>
      <c r="I21" s="80">
        <v>16</v>
      </c>
      <c r="J21" s="80" t="s">
        <v>216</v>
      </c>
      <c r="K21" s="80">
        <v>25.454545454545453</v>
      </c>
      <c r="L21" s="78" t="s">
        <v>109</v>
      </c>
      <c r="M21" s="80">
        <v>15.217391304347824</v>
      </c>
      <c r="N21" s="78" t="s">
        <v>216</v>
      </c>
      <c r="O21" s="80">
        <f t="shared" si="0"/>
        <v>18.54298418972332</v>
      </c>
      <c r="P21" s="78" t="s">
        <v>216</v>
      </c>
      <c r="Q21" s="78"/>
      <c r="R21" s="78" t="s">
        <v>216</v>
      </c>
      <c r="S21" s="78"/>
      <c r="T21" s="78" t="s">
        <v>216</v>
      </c>
      <c r="U21" s="78"/>
      <c r="V21" s="78" t="s">
        <v>216</v>
      </c>
      <c r="W21" s="78"/>
      <c r="X21" s="77">
        <v>18.54298418972332</v>
      </c>
    </row>
    <row r="22" spans="1:24" s="77" customFormat="1" ht="12.75">
      <c r="A22" s="77" t="s">
        <v>205</v>
      </c>
      <c r="B22" s="77" t="s">
        <v>148</v>
      </c>
      <c r="C22" s="81" t="s">
        <v>270</v>
      </c>
      <c r="D22" s="77" t="s">
        <v>59</v>
      </c>
      <c r="E22" s="77" t="s">
        <v>15</v>
      </c>
      <c r="F22" s="78" t="s">
        <v>216</v>
      </c>
      <c r="G22" s="80">
        <v>45.9375</v>
      </c>
      <c r="H22" s="80" t="s">
        <v>216</v>
      </c>
      <c r="I22" s="80">
        <v>60</v>
      </c>
      <c r="J22" s="80" t="s">
        <v>216</v>
      </c>
      <c r="K22" s="80">
        <v>44.54545454545455</v>
      </c>
      <c r="L22" s="78" t="s">
        <v>216</v>
      </c>
      <c r="M22" s="80">
        <v>44.63768115942028</v>
      </c>
      <c r="N22" s="78" t="s">
        <v>216</v>
      </c>
      <c r="O22" s="80">
        <f t="shared" si="0"/>
        <v>48.78015892621871</v>
      </c>
      <c r="P22" s="78" t="s">
        <v>216</v>
      </c>
      <c r="Q22" s="78"/>
      <c r="R22" s="78" t="s">
        <v>216</v>
      </c>
      <c r="S22" s="78"/>
      <c r="T22" s="78" t="s">
        <v>216</v>
      </c>
      <c r="U22" s="78"/>
      <c r="V22" s="78" t="s">
        <v>216</v>
      </c>
      <c r="W22" s="78"/>
      <c r="X22" s="77">
        <v>48.780158926218704</v>
      </c>
    </row>
    <row r="23" spans="2:23" s="77" customFormat="1" ht="12.75">
      <c r="B23" s="77" t="s">
        <v>60</v>
      </c>
      <c r="C23" s="81" t="s">
        <v>270</v>
      </c>
      <c r="D23" s="77" t="s">
        <v>59</v>
      </c>
      <c r="E23" s="77" t="s">
        <v>15</v>
      </c>
      <c r="F23" s="78">
        <v>100</v>
      </c>
      <c r="G23" s="80">
        <f>SUM(G13,G16)</f>
        <v>26.245884645287617</v>
      </c>
      <c r="H23" s="94">
        <f>I13/I23*100</f>
        <v>16.94915254237288</v>
      </c>
      <c r="I23" s="80">
        <f>SUM(I13,I16)</f>
        <v>47.14029398924498</v>
      </c>
      <c r="J23" s="94">
        <f>K13/K23*100</f>
        <v>31.269543464665418</v>
      </c>
      <c r="K23" s="80">
        <f>SUM(K13,K16)</f>
        <v>25.318178798458</v>
      </c>
      <c r="L23" s="94">
        <f>M13/M23*100</f>
        <v>17.01183431952663</v>
      </c>
      <c r="M23" s="80">
        <f>SUM(M13,M16)</f>
        <v>46.76483241434903</v>
      </c>
      <c r="N23" s="78">
        <f>(F23*G23+H23*I23+J23*K23+L23*M23)/(O23*4)</f>
        <v>34.44591928298488</v>
      </c>
      <c r="O23" s="80">
        <f>AVERAGE(G23,I23,K23,M23)</f>
        <v>36.36729746183491</v>
      </c>
      <c r="P23" s="78"/>
      <c r="Q23" s="78"/>
      <c r="R23" s="78"/>
      <c r="S23" s="78"/>
      <c r="T23" s="78"/>
      <c r="U23" s="78"/>
      <c r="V23" s="78"/>
      <c r="W23" s="78"/>
    </row>
    <row r="24" spans="2:23" s="77" customFormat="1" ht="12.75">
      <c r="B24" s="77" t="s">
        <v>61</v>
      </c>
      <c r="C24" s="81" t="s">
        <v>270</v>
      </c>
      <c r="D24" s="77" t="s">
        <v>59</v>
      </c>
      <c r="E24" s="77" t="s">
        <v>15</v>
      </c>
      <c r="F24" s="78">
        <v>100</v>
      </c>
      <c r="G24" s="80">
        <f>SUM(G9,G11,G14)</f>
        <v>34.99451286038349</v>
      </c>
      <c r="H24" s="78">
        <f>I11/I24*100</f>
        <v>10.869565217391305</v>
      </c>
      <c r="I24" s="80">
        <f>SUM(I9,I11,I14)</f>
        <v>58.80551928149882</v>
      </c>
      <c r="J24" s="94">
        <v>100</v>
      </c>
      <c r="K24" s="80">
        <f>SUM(K9,K11,K14)</f>
        <v>31.667515695382114</v>
      </c>
      <c r="L24" s="78">
        <f>SUM(M9,M11)/M24*100</f>
        <v>73.68421052631578</v>
      </c>
      <c r="M24" s="80">
        <f>SUM(M9,M11,M14)</f>
        <v>28.91671590118032</v>
      </c>
      <c r="N24" s="78">
        <f>(F24*G24+H24*I24+J24*K24+L24*M24)/(O24*4)</f>
        <v>61.12085802169638</v>
      </c>
      <c r="O24" s="80">
        <f t="shared" si="0"/>
        <v>38.59606593461118</v>
      </c>
      <c r="P24" s="78"/>
      <c r="Q24" s="78"/>
      <c r="R24" s="78"/>
      <c r="S24" s="78"/>
      <c r="T24" s="78"/>
      <c r="U24" s="78"/>
      <c r="V24" s="78"/>
      <c r="W24" s="78"/>
    </row>
    <row r="26" spans="2:4" ht="12.75">
      <c r="B26" t="s">
        <v>93</v>
      </c>
      <c r="C26" s="77" t="s">
        <v>217</v>
      </c>
      <c r="D26" t="s">
        <v>269</v>
      </c>
    </row>
    <row r="27" spans="2:63" s="77" customFormat="1" ht="12.75">
      <c r="B27" s="8" t="s">
        <v>85</v>
      </c>
      <c r="C27" s="8"/>
      <c r="D27" s="8" t="s">
        <v>17</v>
      </c>
      <c r="G27" s="80">
        <v>6179</v>
      </c>
      <c r="H27" s="80"/>
      <c r="I27" s="80">
        <v>6265</v>
      </c>
      <c r="J27" s="80"/>
      <c r="K27" s="80">
        <v>6132</v>
      </c>
      <c r="L27" s="80"/>
      <c r="M27" s="80">
        <v>6283</v>
      </c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</row>
    <row r="28" spans="2:63" s="77" customFormat="1" ht="12.75">
      <c r="B28" s="8" t="s">
        <v>90</v>
      </c>
      <c r="C28" s="8"/>
      <c r="D28" s="8" t="s">
        <v>18</v>
      </c>
      <c r="G28" s="80">
        <v>14.3</v>
      </c>
      <c r="H28" s="80"/>
      <c r="I28" s="80">
        <v>14.9</v>
      </c>
      <c r="J28" s="80"/>
      <c r="K28" s="80">
        <v>14.6</v>
      </c>
      <c r="L28" s="80"/>
      <c r="M28" s="80">
        <v>14.4</v>
      </c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</row>
    <row r="29" spans="1:63" s="77" customFormat="1" ht="12.75">
      <c r="A29" s="77" t="s">
        <v>205</v>
      </c>
      <c r="B29" s="8" t="s">
        <v>91</v>
      </c>
      <c r="C29" s="8"/>
      <c r="D29" s="8" t="s">
        <v>18</v>
      </c>
      <c r="G29" s="80">
        <v>35</v>
      </c>
      <c r="H29" s="80"/>
      <c r="I29" s="80">
        <v>34</v>
      </c>
      <c r="J29" s="80"/>
      <c r="K29" s="80">
        <v>36.6</v>
      </c>
      <c r="L29" s="80"/>
      <c r="M29" s="80">
        <v>33.6</v>
      </c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</row>
    <row r="30" spans="2:63" s="77" customFormat="1" ht="12.75">
      <c r="B30" s="8" t="s">
        <v>84</v>
      </c>
      <c r="C30" s="8"/>
      <c r="D30" s="8" t="s">
        <v>19</v>
      </c>
      <c r="G30" s="80">
        <v>190</v>
      </c>
      <c r="H30" s="80"/>
      <c r="I30" s="80">
        <v>189</v>
      </c>
      <c r="J30" s="80"/>
      <c r="K30" s="80">
        <v>192</v>
      </c>
      <c r="L30" s="80"/>
      <c r="M30" s="80">
        <v>191</v>
      </c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</row>
    <row r="31" spans="7:63" s="77" customFormat="1" ht="12.75"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</row>
    <row r="32" spans="2:63" s="77" customFormat="1" ht="12.75">
      <c r="B32" t="s">
        <v>93</v>
      </c>
      <c r="C32" s="77" t="s">
        <v>108</v>
      </c>
      <c r="D32" s="77" t="s">
        <v>270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</row>
    <row r="33" spans="2:63" s="77" customFormat="1" ht="12.75">
      <c r="B33" s="8" t="s">
        <v>85</v>
      </c>
      <c r="C33" s="8"/>
      <c r="D33" s="8" t="s">
        <v>17</v>
      </c>
      <c r="G33" s="80">
        <v>5824</v>
      </c>
      <c r="H33" s="80"/>
      <c r="I33" s="80">
        <v>6401</v>
      </c>
      <c r="J33" s="80"/>
      <c r="K33" s="80">
        <v>6169</v>
      </c>
      <c r="L33" s="80"/>
      <c r="M33" s="80">
        <v>5959</v>
      </c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</row>
    <row r="34" spans="2:63" s="77" customFormat="1" ht="12.75">
      <c r="B34" s="8" t="s">
        <v>90</v>
      </c>
      <c r="C34" s="8"/>
      <c r="D34" s="8" t="s">
        <v>18</v>
      </c>
      <c r="G34" s="80">
        <v>14.6</v>
      </c>
      <c r="H34" s="80"/>
      <c r="I34" s="80">
        <v>14.7</v>
      </c>
      <c r="J34" s="80"/>
      <c r="K34" s="80">
        <v>14.4</v>
      </c>
      <c r="L34" s="80"/>
      <c r="M34" s="80">
        <v>14.1</v>
      </c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</row>
    <row r="35" spans="2:63" s="77" customFormat="1" ht="12.75">
      <c r="B35" s="8" t="s">
        <v>91</v>
      </c>
      <c r="C35" s="8"/>
      <c r="D35" s="8" t="s">
        <v>18</v>
      </c>
      <c r="G35" s="80">
        <v>34.9</v>
      </c>
      <c r="H35" s="80"/>
      <c r="I35" s="80">
        <v>35.1</v>
      </c>
      <c r="J35" s="80"/>
      <c r="K35" s="80">
        <v>34.8</v>
      </c>
      <c r="L35" s="80"/>
      <c r="M35" s="80">
        <v>37.9</v>
      </c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</row>
    <row r="36" spans="2:63" s="77" customFormat="1" ht="12.75">
      <c r="B36" s="8" t="s">
        <v>84</v>
      </c>
      <c r="C36" s="8"/>
      <c r="D36" s="8" t="s">
        <v>19</v>
      </c>
      <c r="G36" s="80">
        <v>188</v>
      </c>
      <c r="H36" s="80"/>
      <c r="I36" s="80">
        <v>191</v>
      </c>
      <c r="J36" s="80"/>
      <c r="K36" s="80">
        <v>189</v>
      </c>
      <c r="L36" s="80"/>
      <c r="M36" s="80">
        <v>192</v>
      </c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</row>
    <row r="37" spans="7:63" s="77" customFormat="1" ht="12.75"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</row>
    <row r="38" spans="2:63" s="77" customFormat="1" ht="12.75">
      <c r="B38" t="s">
        <v>93</v>
      </c>
      <c r="C38" s="77" t="s">
        <v>218</v>
      </c>
      <c r="D38" s="77" t="s">
        <v>271</v>
      </c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</row>
    <row r="39" spans="2:63" s="77" customFormat="1" ht="12.75">
      <c r="B39" s="8" t="s">
        <v>85</v>
      </c>
      <c r="C39" s="8"/>
      <c r="D39" s="8" t="s">
        <v>17</v>
      </c>
      <c r="G39" s="80">
        <v>9030</v>
      </c>
      <c r="H39" s="80"/>
      <c r="I39" s="80">
        <v>9047</v>
      </c>
      <c r="J39" s="80"/>
      <c r="K39" s="80">
        <v>9181</v>
      </c>
      <c r="L39" s="80"/>
      <c r="M39" s="80">
        <v>7933</v>
      </c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</row>
    <row r="40" spans="2:63" s="77" customFormat="1" ht="12.75">
      <c r="B40" s="8" t="s">
        <v>90</v>
      </c>
      <c r="C40" s="8"/>
      <c r="D40" s="8" t="s">
        <v>18</v>
      </c>
      <c r="G40" s="80">
        <v>14.5</v>
      </c>
      <c r="H40" s="80"/>
      <c r="I40" s="80">
        <v>14.8</v>
      </c>
      <c r="J40" s="80"/>
      <c r="K40" s="80">
        <v>14.5</v>
      </c>
      <c r="L40" s="80"/>
      <c r="M40" s="80">
        <v>14.2</v>
      </c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</row>
    <row r="41" spans="2:63" s="77" customFormat="1" ht="12.75">
      <c r="B41" s="8" t="s">
        <v>91</v>
      </c>
      <c r="C41" s="8"/>
      <c r="D41" s="8" t="s">
        <v>18</v>
      </c>
      <c r="G41" s="80">
        <v>34.1</v>
      </c>
      <c r="H41" s="80"/>
      <c r="I41" s="80">
        <v>33.9</v>
      </c>
      <c r="J41" s="80"/>
      <c r="K41" s="80">
        <v>34.8</v>
      </c>
      <c r="L41" s="80"/>
      <c r="M41" s="80">
        <v>36.7</v>
      </c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</row>
    <row r="42" spans="2:63" s="77" customFormat="1" ht="12.75">
      <c r="B42" s="8" t="s">
        <v>84</v>
      </c>
      <c r="C42" s="8"/>
      <c r="D42" s="8" t="s">
        <v>19</v>
      </c>
      <c r="G42" s="80">
        <v>198</v>
      </c>
      <c r="H42" s="80"/>
      <c r="I42" s="80">
        <v>198</v>
      </c>
      <c r="J42" s="80"/>
      <c r="K42" s="80">
        <v>199</v>
      </c>
      <c r="L42" s="80"/>
      <c r="M42" s="80">
        <v>199</v>
      </c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</row>
    <row r="44" spans="1:57" s="81" customFormat="1" ht="12.75">
      <c r="A44" s="81" t="s">
        <v>205</v>
      </c>
      <c r="B44" s="81" t="s">
        <v>219</v>
      </c>
      <c r="C44" s="81" t="s">
        <v>271</v>
      </c>
      <c r="D44" s="81" t="s">
        <v>18</v>
      </c>
      <c r="G44" s="82">
        <v>99.9996</v>
      </c>
      <c r="H44" s="82"/>
      <c r="I44" s="82">
        <v>99.9997</v>
      </c>
      <c r="J44" s="82"/>
      <c r="K44" s="82">
        <v>99.9997</v>
      </c>
      <c r="L44" s="82"/>
      <c r="M44" s="82">
        <v>99.9997</v>
      </c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B1">
      <selection activeCell="L9" sqref="L9"/>
    </sheetView>
  </sheetViews>
  <sheetFormatPr defaultColWidth="9.140625" defaultRowHeight="12.75"/>
  <cols>
    <col min="1" max="1" width="2.28125" style="3" hidden="1" customWidth="1"/>
    <col min="2" max="2" width="25.00390625" style="2" customWidth="1"/>
    <col min="3" max="3" width="6.421875" style="2" customWidth="1"/>
    <col min="4" max="4" width="9.28125" style="2" customWidth="1"/>
    <col min="5" max="5" width="4.140625" style="3" customWidth="1"/>
    <col min="6" max="6" width="12.8515625" style="4" customWidth="1"/>
    <col min="7" max="7" width="2.421875" style="3" customWidth="1"/>
    <col min="8" max="8" width="11.57421875" style="3" customWidth="1"/>
    <col min="9" max="9" width="2.421875" style="3" customWidth="1"/>
    <col min="10" max="10" width="12.00390625" style="3" customWidth="1"/>
    <col min="11" max="11" width="1.57421875" style="3" customWidth="1"/>
    <col min="12" max="12" width="11.421875" style="3" customWidth="1"/>
    <col min="13" max="13" width="13.7109375" style="3" customWidth="1"/>
    <col min="14" max="14" width="2.140625" style="3" customWidth="1"/>
    <col min="15" max="15" width="10.57421875" style="3" customWidth="1"/>
    <col min="16" max="16" width="2.28125" style="3" customWidth="1"/>
    <col min="17" max="17" width="8.8515625" style="3" customWidth="1"/>
    <col min="18" max="18" width="2.421875" style="3" customWidth="1"/>
    <col min="19" max="19" width="8.8515625" style="3" customWidth="1"/>
    <col min="20" max="20" width="2.28125" style="3" customWidth="1"/>
    <col min="21" max="21" width="8.8515625" style="3" customWidth="1"/>
    <col min="22" max="22" width="2.00390625" style="3" customWidth="1"/>
    <col min="23" max="16384" width="8.8515625" style="3" customWidth="1"/>
  </cols>
  <sheetData>
    <row r="1" spans="2:12" ht="12.75">
      <c r="B1" s="26" t="s">
        <v>47</v>
      </c>
      <c r="C1" s="26"/>
      <c r="D1" s="9"/>
      <c r="E1" s="27"/>
      <c r="F1" s="28"/>
      <c r="G1" s="27"/>
      <c r="H1" s="27"/>
      <c r="I1" s="27"/>
      <c r="J1" s="27"/>
      <c r="K1" s="27"/>
      <c r="L1" s="27"/>
    </row>
    <row r="2" spans="2:12" ht="12.75">
      <c r="B2" s="9"/>
      <c r="C2" s="9"/>
      <c r="D2" s="9"/>
      <c r="E2" s="27"/>
      <c r="F2" s="28"/>
      <c r="G2" s="27"/>
      <c r="H2" s="27"/>
      <c r="I2" s="27"/>
      <c r="J2" s="27"/>
      <c r="K2" s="27"/>
      <c r="L2" s="27"/>
    </row>
    <row r="3" spans="2:12" ht="12.75">
      <c r="B3" s="9"/>
      <c r="C3" s="9"/>
      <c r="D3" s="9"/>
      <c r="E3" s="27"/>
      <c r="G3" s="27"/>
      <c r="H3" s="27"/>
      <c r="I3" s="27"/>
      <c r="J3" s="27"/>
      <c r="K3" s="27"/>
      <c r="L3" s="27"/>
    </row>
    <row r="4" spans="1:12" ht="12.75">
      <c r="A4" s="3" t="s">
        <v>95</v>
      </c>
      <c r="B4" s="26" t="s">
        <v>166</v>
      </c>
      <c r="C4" s="26" t="s">
        <v>94</v>
      </c>
      <c r="D4" s="9"/>
      <c r="E4" s="28" t="s">
        <v>185</v>
      </c>
      <c r="F4" s="28" t="s">
        <v>48</v>
      </c>
      <c r="G4" s="27"/>
      <c r="H4" s="28" t="s">
        <v>48</v>
      </c>
      <c r="I4" s="27"/>
      <c r="J4" s="28" t="s">
        <v>48</v>
      </c>
      <c r="K4" s="27"/>
      <c r="L4" s="27"/>
    </row>
    <row r="5" spans="3:12" ht="12.75">
      <c r="C5" s="9"/>
      <c r="D5" s="9"/>
      <c r="E5" s="27"/>
      <c r="F5" s="28"/>
      <c r="G5" s="27"/>
      <c r="H5" s="27"/>
      <c r="I5" s="27"/>
      <c r="J5" s="27"/>
      <c r="K5" s="27"/>
      <c r="L5" s="27"/>
    </row>
    <row r="6" spans="2:12" ht="12.75">
      <c r="B6" s="2" t="s">
        <v>295</v>
      </c>
      <c r="C6" s="9"/>
      <c r="D6" s="9"/>
      <c r="E6" s="27"/>
      <c r="F6" s="29" t="s">
        <v>297</v>
      </c>
      <c r="G6" s="29"/>
      <c r="H6" s="29" t="s">
        <v>298</v>
      </c>
      <c r="I6" s="29"/>
      <c r="J6" s="29" t="s">
        <v>299</v>
      </c>
      <c r="K6" s="27"/>
      <c r="L6" s="27"/>
    </row>
    <row r="7" spans="2:12" ht="12.75">
      <c r="B7" s="2" t="s">
        <v>296</v>
      </c>
      <c r="C7" s="9"/>
      <c r="D7" s="9"/>
      <c r="E7" s="27"/>
      <c r="F7" s="28" t="s">
        <v>300</v>
      </c>
      <c r="G7" s="27"/>
      <c r="H7" s="27" t="s">
        <v>280</v>
      </c>
      <c r="I7" s="27"/>
      <c r="J7" s="27" t="s">
        <v>25</v>
      </c>
      <c r="K7" s="27"/>
      <c r="L7" s="27"/>
    </row>
    <row r="8" spans="2:12" ht="12.75">
      <c r="B8" s="2" t="s">
        <v>301</v>
      </c>
      <c r="C8" s="9"/>
      <c r="D8" s="9"/>
      <c r="E8" s="27"/>
      <c r="F8" s="28" t="s">
        <v>68</v>
      </c>
      <c r="G8" s="27"/>
      <c r="H8" s="27" t="s">
        <v>302</v>
      </c>
      <c r="I8" s="27"/>
      <c r="J8" s="27" t="s">
        <v>25</v>
      </c>
      <c r="K8" s="27"/>
      <c r="L8" s="27"/>
    </row>
    <row r="9" spans="2:10" s="55" customFormat="1" ht="25.5">
      <c r="B9" s="55" t="s">
        <v>49</v>
      </c>
      <c r="E9" s="43"/>
      <c r="F9" s="43" t="s">
        <v>119</v>
      </c>
      <c r="H9" s="55" t="s">
        <v>115</v>
      </c>
      <c r="J9" s="55" t="s">
        <v>25</v>
      </c>
    </row>
    <row r="10" spans="2:12" ht="12.75">
      <c r="B10" s="9" t="s">
        <v>97</v>
      </c>
      <c r="C10" s="9"/>
      <c r="D10" s="9" t="s">
        <v>54</v>
      </c>
      <c r="E10"/>
      <c r="F10">
        <v>379</v>
      </c>
      <c r="G10" s="27"/>
      <c r="H10" s="30"/>
      <c r="I10" s="30"/>
      <c r="J10" s="27"/>
      <c r="K10" s="27"/>
      <c r="L10" s="27"/>
    </row>
    <row r="11" spans="2:12" ht="12.75">
      <c r="B11" s="9" t="s">
        <v>96</v>
      </c>
      <c r="C11" s="9"/>
      <c r="D11" s="9" t="s">
        <v>58</v>
      </c>
      <c r="E11"/>
      <c r="F11">
        <v>3.54</v>
      </c>
      <c r="G11" s="27"/>
      <c r="H11" s="30">
        <f>J17-F11</f>
        <v>9.170267857142857</v>
      </c>
      <c r="I11" s="30"/>
      <c r="J11" s="30">
        <f>SUM(F11,H11)</f>
        <v>12.710267857142856</v>
      </c>
      <c r="K11" s="27"/>
      <c r="L11" s="27"/>
    </row>
    <row r="12" spans="2:12" ht="12.75">
      <c r="B12" s="9" t="s">
        <v>50</v>
      </c>
      <c r="C12" s="9"/>
      <c r="D12" s="9" t="s">
        <v>54</v>
      </c>
      <c r="E12"/>
      <c r="F12">
        <v>158</v>
      </c>
      <c r="G12"/>
      <c r="H12"/>
      <c r="I12"/>
      <c r="J12"/>
      <c r="K12" s="28"/>
      <c r="L12" s="27"/>
    </row>
    <row r="13" spans="2:12" ht="12.75">
      <c r="B13" s="9"/>
      <c r="C13" s="9"/>
      <c r="D13" s="9"/>
      <c r="E13"/>
      <c r="F13"/>
      <c r="G13" s="29"/>
      <c r="H13" s="27"/>
      <c r="I13" s="27"/>
      <c r="J13" s="27"/>
      <c r="K13" s="27"/>
      <c r="L13" s="27"/>
    </row>
    <row r="14" spans="2:12" ht="12.75">
      <c r="B14" s="9" t="s">
        <v>65</v>
      </c>
      <c r="C14" s="9"/>
      <c r="D14" s="9" t="s">
        <v>17</v>
      </c>
      <c r="E14"/>
      <c r="F14" s="41">
        <f>'emiss 1'!O46</f>
        <v>4511.25</v>
      </c>
      <c r="G14" s="29"/>
      <c r="H14" s="27"/>
      <c r="I14" s="27"/>
      <c r="K14" s="27"/>
      <c r="L14" s="27"/>
    </row>
    <row r="15" spans="2:12" ht="12.75">
      <c r="B15" s="9" t="s">
        <v>66</v>
      </c>
      <c r="C15" s="9"/>
      <c r="D15" s="9" t="s">
        <v>18</v>
      </c>
      <c r="E15"/>
      <c r="F15" s="30">
        <f>'emiss 1'!O47</f>
        <v>12.125</v>
      </c>
      <c r="G15" s="29"/>
      <c r="H15" s="27"/>
      <c r="I15" s="27"/>
      <c r="K15" s="27"/>
      <c r="L15" s="27"/>
    </row>
    <row r="16" spans="2:12" ht="12.75">
      <c r="B16" s="9"/>
      <c r="C16" s="9"/>
      <c r="D16" s="9"/>
      <c r="E16"/>
      <c r="F16"/>
      <c r="G16" s="29"/>
      <c r="H16" s="27"/>
      <c r="I16" s="27"/>
      <c r="J16" s="27"/>
      <c r="K16" s="27"/>
      <c r="L16" s="27"/>
    </row>
    <row r="17" spans="2:12" ht="12.75">
      <c r="B17" s="9" t="s">
        <v>303</v>
      </c>
      <c r="C17" s="9"/>
      <c r="D17" s="9" t="s">
        <v>58</v>
      </c>
      <c r="E17"/>
      <c r="F17" s="3"/>
      <c r="G17" s="29"/>
      <c r="H17" s="27"/>
      <c r="I17" s="27"/>
      <c r="J17" s="30">
        <f>F14/9000*(21-F15)/21*60</f>
        <v>12.710267857142856</v>
      </c>
      <c r="K17" s="27"/>
      <c r="L17" s="10"/>
    </row>
    <row r="18" spans="2:12" ht="12.75">
      <c r="B18" s="9"/>
      <c r="C18" s="9"/>
      <c r="D18" s="9"/>
      <c r="E18"/>
      <c r="F18"/>
      <c r="G18" s="29"/>
      <c r="H18" s="27"/>
      <c r="I18" s="27"/>
      <c r="J18" s="27"/>
      <c r="K18" s="27"/>
      <c r="L18" s="10"/>
    </row>
    <row r="19" spans="2:12" ht="12.75">
      <c r="B19" s="46" t="s">
        <v>80</v>
      </c>
      <c r="C19" s="46"/>
      <c r="D19" s="9"/>
      <c r="E19"/>
      <c r="F19"/>
      <c r="G19" s="29"/>
      <c r="H19" s="27"/>
      <c r="I19" s="27"/>
      <c r="J19" s="27"/>
      <c r="K19" s="27"/>
      <c r="L19" s="10"/>
    </row>
    <row r="20" spans="2:12" ht="12.75">
      <c r="B20" s="9" t="s">
        <v>50</v>
      </c>
      <c r="C20" s="9"/>
      <c r="D20" s="9" t="s">
        <v>59</v>
      </c>
      <c r="E20" t="s">
        <v>15</v>
      </c>
      <c r="F20" s="66">
        <f>F12*454/60/(F14*0.0283)*1000000*(21-7)/(21-F15)</f>
        <v>14771956.93208441</v>
      </c>
      <c r="G20" s="11"/>
      <c r="H20" s="41"/>
      <c r="I20" s="41"/>
      <c r="J20" s="41">
        <f>F20+H20</f>
        <v>14771956.93208441</v>
      </c>
      <c r="K20" s="27"/>
      <c r="L20" s="27"/>
    </row>
    <row r="21" spans="2:12" ht="12.75">
      <c r="B21" s="9" t="s">
        <v>184</v>
      </c>
      <c r="C21" s="9"/>
      <c r="D21" s="9"/>
      <c r="E21"/>
      <c r="F21"/>
      <c r="G21" s="29"/>
      <c r="H21" s="27"/>
      <c r="I21" s="27"/>
      <c r="J21" s="10"/>
      <c r="K21" s="10"/>
      <c r="L21" s="27"/>
    </row>
    <row r="22" spans="2:12" ht="12.75">
      <c r="B22" s="9"/>
      <c r="C22" s="9"/>
      <c r="D22" s="9"/>
      <c r="E22" s="29"/>
      <c r="F22" s="31"/>
      <c r="G22" s="27"/>
      <c r="H22" s="27"/>
      <c r="I22" s="27"/>
      <c r="J22" s="27"/>
      <c r="K22" s="27"/>
      <c r="L22" s="27"/>
    </row>
    <row r="23" spans="2:15" ht="12.75">
      <c r="B23" s="26" t="s">
        <v>165</v>
      </c>
      <c r="C23" s="26" t="s">
        <v>94</v>
      </c>
      <c r="D23" s="9"/>
      <c r="E23" s="27"/>
      <c r="F23" s="12" t="s">
        <v>212</v>
      </c>
      <c r="G23" s="29"/>
      <c r="H23" s="29" t="s">
        <v>213</v>
      </c>
      <c r="I23" s="29"/>
      <c r="J23" s="29" t="s">
        <v>214</v>
      </c>
      <c r="K23" s="29"/>
      <c r="L23" s="29" t="s">
        <v>215</v>
      </c>
      <c r="M23" s="87" t="s">
        <v>48</v>
      </c>
      <c r="N23" s="87"/>
      <c r="O23" s="3" t="s">
        <v>48</v>
      </c>
    </row>
    <row r="24" spans="2:14" ht="12.75">
      <c r="B24" s="26"/>
      <c r="C24" s="26"/>
      <c r="D24" s="9"/>
      <c r="E24" s="27"/>
      <c r="F24" s="12"/>
      <c r="G24" s="29"/>
      <c r="H24" s="29"/>
      <c r="I24" s="29"/>
      <c r="J24" s="29"/>
      <c r="K24" s="29"/>
      <c r="L24" s="29"/>
      <c r="M24" s="87"/>
      <c r="N24" s="87"/>
    </row>
    <row r="25" spans="2:15" ht="12.75">
      <c r="B25" s="2" t="s">
        <v>295</v>
      </c>
      <c r="C25" s="9"/>
      <c r="D25" s="9"/>
      <c r="E25" s="27"/>
      <c r="F25" s="29" t="s">
        <v>297</v>
      </c>
      <c r="H25" s="29" t="s">
        <v>297</v>
      </c>
      <c r="J25" s="29" t="s">
        <v>297</v>
      </c>
      <c r="L25" s="29" t="s">
        <v>297</v>
      </c>
      <c r="M25" s="29" t="s">
        <v>297</v>
      </c>
      <c r="N25" s="29"/>
      <c r="O25" s="87" t="s">
        <v>298</v>
      </c>
    </row>
    <row r="26" spans="2:14" ht="12.75">
      <c r="B26" s="2" t="s">
        <v>296</v>
      </c>
      <c r="C26" s="9"/>
      <c r="D26" s="9"/>
      <c r="E26" s="27"/>
      <c r="F26" s="28" t="s">
        <v>300</v>
      </c>
      <c r="H26" s="28" t="s">
        <v>300</v>
      </c>
      <c r="J26" s="28" t="s">
        <v>300</v>
      </c>
      <c r="L26" s="28" t="s">
        <v>300</v>
      </c>
      <c r="M26" s="28" t="s">
        <v>300</v>
      </c>
      <c r="N26" s="28"/>
    </row>
    <row r="27" spans="2:15" ht="12.75">
      <c r="B27" s="2" t="s">
        <v>301</v>
      </c>
      <c r="C27" s="9"/>
      <c r="D27" s="9"/>
      <c r="E27" s="27"/>
      <c r="F27" s="28" t="s">
        <v>68</v>
      </c>
      <c r="H27" s="28" t="s">
        <v>68</v>
      </c>
      <c r="J27" s="28" t="s">
        <v>68</v>
      </c>
      <c r="L27" s="28" t="s">
        <v>68</v>
      </c>
      <c r="M27" s="28" t="s">
        <v>68</v>
      </c>
      <c r="N27" s="28"/>
      <c r="O27" s="3" t="s">
        <v>25</v>
      </c>
    </row>
    <row r="28" spans="2:14" ht="12.75">
      <c r="B28" s="51" t="s">
        <v>49</v>
      </c>
      <c r="C28" s="51"/>
      <c r="D28" s="51"/>
      <c r="E28" s="27"/>
      <c r="F28" s="27" t="s">
        <v>171</v>
      </c>
      <c r="G28" s="27"/>
      <c r="H28" s="27"/>
      <c r="I28" s="27"/>
      <c r="J28" s="27"/>
      <c r="K28" s="27"/>
      <c r="L28" s="27"/>
      <c r="M28" s="10"/>
      <c r="N28" s="10"/>
    </row>
    <row r="29" spans="2:14" ht="12.75">
      <c r="B29" s="9" t="s">
        <v>97</v>
      </c>
      <c r="C29" s="9" t="s">
        <v>170</v>
      </c>
      <c r="D29" s="9" t="s">
        <v>54</v>
      </c>
      <c r="E29" s="27"/>
      <c r="F29" s="28">
        <v>633.6</v>
      </c>
      <c r="G29" s="27"/>
      <c r="H29" s="27">
        <v>639.4</v>
      </c>
      <c r="I29" s="27"/>
      <c r="J29" s="27">
        <v>622.1</v>
      </c>
      <c r="K29" s="27"/>
      <c r="L29" s="27">
        <v>633.6</v>
      </c>
      <c r="M29" s="30">
        <f>AVERAGE(F29,H29,J29,L29)</f>
        <v>632.175</v>
      </c>
      <c r="N29" s="30"/>
    </row>
    <row r="30" spans="2:12" ht="12.75">
      <c r="B30" s="9"/>
      <c r="C30" s="9"/>
      <c r="D30" s="9"/>
      <c r="E30" s="27"/>
      <c r="F30" s="10"/>
      <c r="G30" s="27"/>
      <c r="H30" s="27"/>
      <c r="I30" s="27"/>
      <c r="J30" s="27"/>
      <c r="K30" s="27"/>
      <c r="L30" s="27"/>
    </row>
    <row r="31" spans="2:12" ht="12.75">
      <c r="B31" s="9"/>
      <c r="C31" s="9"/>
      <c r="D31" s="9"/>
      <c r="E31" s="27"/>
      <c r="F31" s="10"/>
      <c r="G31" s="27"/>
      <c r="H31" s="27"/>
      <c r="I31" s="27"/>
      <c r="J31" s="27"/>
      <c r="K31" s="27"/>
      <c r="L31" s="27"/>
    </row>
    <row r="32" spans="2:11" ht="12.75">
      <c r="B32" s="9"/>
      <c r="C32" s="9"/>
      <c r="D32" s="9"/>
      <c r="E32" s="27"/>
      <c r="F32" s="28"/>
      <c r="G32" s="27"/>
      <c r="H32" s="27"/>
      <c r="I32" s="27"/>
      <c r="J32" s="27"/>
      <c r="K32" s="27"/>
    </row>
    <row r="33" spans="2:14" ht="12.75">
      <c r="B33" s="9" t="s">
        <v>65</v>
      </c>
      <c r="C33" s="9"/>
      <c r="D33" s="9" t="s">
        <v>17</v>
      </c>
      <c r="E33" s="27"/>
      <c r="F33" s="3"/>
      <c r="G33" s="27"/>
      <c r="H33" s="27"/>
      <c r="I33" s="27"/>
      <c r="J33" s="27"/>
      <c r="K33" s="27"/>
      <c r="L33" s="27"/>
      <c r="M33" s="10">
        <f>'emiss 1'!O127</f>
        <v>4216.5</v>
      </c>
      <c r="N33" s="10"/>
    </row>
    <row r="34" spans="2:14" ht="12.75">
      <c r="B34" s="9" t="s">
        <v>66</v>
      </c>
      <c r="C34" s="9"/>
      <c r="D34" s="9" t="s">
        <v>18</v>
      </c>
      <c r="E34" s="27"/>
      <c r="F34" s="3"/>
      <c r="H34" s="27"/>
      <c r="I34" s="27"/>
      <c r="J34" s="27"/>
      <c r="K34" s="27"/>
      <c r="L34" s="27"/>
      <c r="M34" s="10">
        <f>'emiss 1'!O128</f>
        <v>10.975000000000001</v>
      </c>
      <c r="N34" s="10"/>
    </row>
    <row r="35" spans="2:12" ht="12.75">
      <c r="B35" s="9"/>
      <c r="C35" s="9"/>
      <c r="D35" s="9"/>
      <c r="E35" s="27"/>
      <c r="F35" s="10"/>
      <c r="G35" s="28"/>
      <c r="H35" s="27"/>
      <c r="I35" s="27"/>
      <c r="J35" s="27"/>
      <c r="K35" s="27"/>
      <c r="L35" s="27"/>
    </row>
    <row r="36" spans="2:15" ht="12.75">
      <c r="B36" s="9" t="s">
        <v>303</v>
      </c>
      <c r="C36" s="9"/>
      <c r="D36" s="9" t="s">
        <v>58</v>
      </c>
      <c r="E36" s="27"/>
      <c r="F36" s="10"/>
      <c r="G36" s="28"/>
      <c r="H36" s="27"/>
      <c r="I36" s="27"/>
      <c r="J36" s="27"/>
      <c r="K36" s="27"/>
      <c r="L36" s="27"/>
      <c r="M36" s="68">
        <f>M33/150*(21-M34)/21</f>
        <v>13.419178571428569</v>
      </c>
      <c r="N36" s="68"/>
      <c r="O36" s="68">
        <f>M36</f>
        <v>13.419178571428569</v>
      </c>
    </row>
    <row r="37" spans="2:12" ht="12.75">
      <c r="B37" s="9"/>
      <c r="C37" s="9"/>
      <c r="D37" s="9"/>
      <c r="E37" s="27"/>
      <c r="F37" s="10"/>
      <c r="G37" s="28"/>
      <c r="H37" s="27"/>
      <c r="I37" s="27"/>
      <c r="J37" s="27"/>
      <c r="K37" s="27"/>
      <c r="L37" s="27"/>
    </row>
    <row r="38" spans="2:12" ht="12.75">
      <c r="B38" s="46"/>
      <c r="C38" s="46"/>
      <c r="D38" s="9"/>
      <c r="E38" s="27"/>
      <c r="F38" s="11"/>
      <c r="G38" s="27"/>
      <c r="H38" s="27"/>
      <c r="I38" s="27"/>
      <c r="J38" s="27"/>
      <c r="K38" s="27"/>
      <c r="L38" s="27"/>
    </row>
    <row r="39" spans="2:12" ht="12.75">
      <c r="B39" s="9"/>
      <c r="C39" s="9"/>
      <c r="D39" s="9"/>
      <c r="E39" s="27"/>
      <c r="F39" s="10"/>
      <c r="G39" s="27"/>
      <c r="H39" s="30"/>
      <c r="I39" s="30"/>
      <c r="J39" s="30"/>
      <c r="K39" s="30"/>
      <c r="L39" s="27"/>
    </row>
    <row r="40" spans="2:12" ht="12.75">
      <c r="B40" s="9"/>
      <c r="C40" s="9"/>
      <c r="D40" s="9"/>
      <c r="E40" s="27"/>
      <c r="F40" s="10"/>
      <c r="G40" s="27"/>
      <c r="H40" s="27"/>
      <c r="I40" s="27"/>
      <c r="J40" s="10"/>
      <c r="K40" s="10"/>
      <c r="L40" s="27"/>
    </row>
    <row r="41" spans="2:12" ht="12.75">
      <c r="B41" s="9"/>
      <c r="C41" s="9"/>
      <c r="D41" s="9"/>
      <c r="E41" s="29"/>
      <c r="F41" s="10"/>
      <c r="G41" s="27"/>
      <c r="H41" s="27"/>
      <c r="I41" s="27"/>
      <c r="J41" s="10"/>
      <c r="K41" s="10"/>
      <c r="L41" s="27"/>
    </row>
    <row r="42" spans="7:12" ht="12.75">
      <c r="G42" s="27"/>
      <c r="H42" s="27"/>
      <c r="I42" s="27"/>
      <c r="J42" s="10"/>
      <c r="K42" s="10"/>
      <c r="L42" s="27"/>
    </row>
    <row r="43" spans="7:12" ht="12.75">
      <c r="G43" s="27"/>
      <c r="H43" s="27"/>
      <c r="I43" s="27"/>
      <c r="J43" s="27"/>
      <c r="K43" s="27"/>
      <c r="L43" s="27"/>
    </row>
    <row r="44" spans="7:12" ht="12.75">
      <c r="G44" s="11"/>
      <c r="H44" s="27"/>
      <c r="I44" s="27"/>
      <c r="J44" s="27"/>
      <c r="K44" s="27"/>
      <c r="L44" s="27"/>
    </row>
    <row r="45" spans="7:12" ht="12.75">
      <c r="G45" s="27"/>
      <c r="H45" s="27"/>
      <c r="I45" s="27"/>
      <c r="J45" s="27"/>
      <c r="K45" s="27"/>
      <c r="L45" s="27"/>
    </row>
    <row r="46" spans="7:12" ht="12.75">
      <c r="G46" s="27"/>
      <c r="H46" s="27"/>
      <c r="I46" s="27"/>
      <c r="J46" s="27"/>
      <c r="K46" s="27"/>
      <c r="L46" s="27"/>
    </row>
    <row r="47" spans="7:12" ht="12.75">
      <c r="G47" s="27"/>
      <c r="H47" s="27"/>
      <c r="I47" s="27"/>
      <c r="J47" s="27"/>
      <c r="K47" s="27"/>
      <c r="L47" s="27"/>
    </row>
    <row r="48" spans="2:12" ht="12.75">
      <c r="B48" s="9"/>
      <c r="C48" s="9"/>
      <c r="D48" s="9"/>
      <c r="E48" s="29"/>
      <c r="F48" s="10"/>
      <c r="G48" s="27"/>
      <c r="H48" s="27"/>
      <c r="I48" s="27"/>
      <c r="J48" s="27"/>
      <c r="K48" s="27"/>
      <c r="L48" s="27"/>
    </row>
    <row r="49" spans="2:12" ht="12.75">
      <c r="B49" s="9"/>
      <c r="C49" s="9"/>
      <c r="D49" s="9"/>
      <c r="E49" s="29"/>
      <c r="F49" s="10"/>
      <c r="G49" s="27"/>
      <c r="H49" s="27"/>
      <c r="I49" s="27"/>
      <c r="J49" s="27"/>
      <c r="K49" s="27"/>
      <c r="L49" s="27"/>
    </row>
    <row r="50" spans="2:12" ht="12.75">
      <c r="B50" s="9"/>
      <c r="C50" s="9"/>
      <c r="D50" s="9"/>
      <c r="E50" s="27"/>
      <c r="F50" s="10"/>
      <c r="G50" s="27"/>
      <c r="H50" s="27"/>
      <c r="I50" s="27"/>
      <c r="J50" s="27"/>
      <c r="K50" s="27"/>
      <c r="L50" s="27"/>
    </row>
    <row r="51" spans="2:12" ht="12.75">
      <c r="B51" s="9"/>
      <c r="C51" s="9"/>
      <c r="D51" s="9"/>
      <c r="E51" s="27"/>
      <c r="F51" s="10"/>
      <c r="G51" s="27"/>
      <c r="H51" s="27"/>
      <c r="I51" s="27"/>
      <c r="J51" s="27"/>
      <c r="K51" s="27"/>
      <c r="L51" s="27"/>
    </row>
    <row r="52" spans="2:12" ht="12.75">
      <c r="B52" s="9"/>
      <c r="C52" s="9"/>
      <c r="D52" s="9"/>
      <c r="E52" s="27"/>
      <c r="F52" s="10"/>
      <c r="G52" s="27"/>
      <c r="H52" s="27"/>
      <c r="I52" s="27"/>
      <c r="J52" s="27"/>
      <c r="K52" s="27"/>
      <c r="L52" s="27"/>
    </row>
    <row r="53" spans="2:12" ht="12.75">
      <c r="B53" s="9"/>
      <c r="C53" s="9"/>
      <c r="D53" s="9"/>
      <c r="E53" s="27"/>
      <c r="F53" s="10"/>
      <c r="G53" s="27"/>
      <c r="H53" s="27"/>
      <c r="I53" s="27"/>
      <c r="J53" s="27"/>
      <c r="K53" s="27"/>
      <c r="L53" s="27"/>
    </row>
    <row r="54" spans="2:12" ht="12.75">
      <c r="B54" s="9"/>
      <c r="C54" s="9"/>
      <c r="D54" s="9"/>
      <c r="E54" s="27"/>
      <c r="F54" s="10"/>
      <c r="G54" s="27"/>
      <c r="H54" s="27"/>
      <c r="I54" s="27"/>
      <c r="J54" s="27"/>
      <c r="K54" s="27"/>
      <c r="L54" s="27"/>
    </row>
    <row r="55" spans="2:12" ht="12.75">
      <c r="B55" s="9"/>
      <c r="C55" s="9"/>
      <c r="D55" s="9"/>
      <c r="E55" s="27"/>
      <c r="F55" s="10"/>
      <c r="G55" s="27"/>
      <c r="H55" s="27"/>
      <c r="I55" s="27"/>
      <c r="J55" s="27"/>
      <c r="K55" s="27"/>
      <c r="L55" s="27"/>
    </row>
    <row r="56" spans="2:12" ht="12.75">
      <c r="B56" s="9"/>
      <c r="C56" s="9"/>
      <c r="D56" s="9"/>
      <c r="E56" s="27"/>
      <c r="F56" s="10"/>
      <c r="G56" s="27"/>
      <c r="H56" s="27"/>
      <c r="I56" s="27"/>
      <c r="J56" s="27"/>
      <c r="K56" s="27"/>
      <c r="L56" s="27"/>
    </row>
    <row r="57" spans="2:12" ht="12.75">
      <c r="B57" s="9"/>
      <c r="C57" s="9"/>
      <c r="D57" s="9"/>
      <c r="E57" s="27"/>
      <c r="F57" s="10"/>
      <c r="G57" s="27"/>
      <c r="H57" s="27"/>
      <c r="I57" s="27"/>
      <c r="J57" s="27"/>
      <c r="K57" s="27"/>
      <c r="L57" s="27"/>
    </row>
    <row r="58" spans="2:12" ht="12.75">
      <c r="B58" s="9"/>
      <c r="C58" s="9"/>
      <c r="D58" s="9"/>
      <c r="E58" s="27"/>
      <c r="F58" s="10"/>
      <c r="G58" s="27"/>
      <c r="H58" s="27"/>
      <c r="I58" s="27"/>
      <c r="J58" s="27"/>
      <c r="K58" s="27"/>
      <c r="L58" s="27"/>
    </row>
    <row r="59" spans="2:12" ht="12.75">
      <c r="B59" s="9"/>
      <c r="C59" s="9"/>
      <c r="D59" s="9"/>
      <c r="E59" s="27"/>
      <c r="F59" s="10"/>
      <c r="G59" s="27"/>
      <c r="H59" s="27"/>
      <c r="I59" s="27"/>
      <c r="J59" s="27"/>
      <c r="K59" s="27"/>
      <c r="L59" s="27"/>
    </row>
    <row r="60" spans="2:12" ht="12.75">
      <c r="B60" s="9"/>
      <c r="C60" s="9"/>
      <c r="D60" s="9"/>
      <c r="E60" s="27"/>
      <c r="F60" s="28"/>
      <c r="G60" s="27"/>
      <c r="H60" s="27"/>
      <c r="I60" s="27"/>
      <c r="J60" s="27"/>
      <c r="K60" s="27"/>
      <c r="L60" s="27"/>
    </row>
    <row r="61" spans="2:12" ht="12.75">
      <c r="B61" s="26"/>
      <c r="C61" s="26"/>
      <c r="D61" s="9"/>
      <c r="E61" s="27"/>
      <c r="F61" s="28"/>
      <c r="G61" s="27"/>
      <c r="H61" s="27"/>
      <c r="I61" s="27"/>
      <c r="J61" s="27"/>
      <c r="K61" s="27"/>
      <c r="L61" s="27"/>
    </row>
    <row r="62" spans="2:12" ht="12.75">
      <c r="B62" s="9"/>
      <c r="C62" s="9"/>
      <c r="D62" s="9"/>
      <c r="E62" s="27"/>
      <c r="F62" s="28"/>
      <c r="G62" s="27"/>
      <c r="H62" s="27"/>
      <c r="I62" s="27"/>
      <c r="J62" s="27"/>
      <c r="K62" s="27"/>
      <c r="L62" s="27"/>
    </row>
    <row r="63" spans="2:12" ht="12.75">
      <c r="B63" s="9"/>
      <c r="C63" s="9"/>
      <c r="D63" s="9"/>
      <c r="E63" s="27"/>
      <c r="F63" s="28"/>
      <c r="G63" s="27"/>
      <c r="H63" s="27"/>
      <c r="I63" s="27"/>
      <c r="J63" s="27"/>
      <c r="K63" s="27"/>
      <c r="L63" s="27"/>
    </row>
    <row r="64" spans="2:12" ht="12.75">
      <c r="B64" s="9"/>
      <c r="C64" s="9"/>
      <c r="D64" s="9"/>
      <c r="E64" s="27"/>
      <c r="F64" s="28"/>
      <c r="G64" s="27"/>
      <c r="H64" s="27"/>
      <c r="I64" s="27"/>
      <c r="J64" s="27"/>
      <c r="K64" s="27"/>
      <c r="L64" s="27"/>
    </row>
    <row r="65" spans="2:12" ht="12.75">
      <c r="B65" s="9"/>
      <c r="C65" s="9"/>
      <c r="D65" s="9"/>
      <c r="E65" s="27"/>
      <c r="F65" s="28"/>
      <c r="G65" s="27"/>
      <c r="H65" s="27"/>
      <c r="I65" s="27"/>
      <c r="J65" s="27"/>
      <c r="K65" s="27"/>
      <c r="L65" s="27"/>
    </row>
    <row r="66" spans="2:12" ht="12.75">
      <c r="B66" s="9"/>
      <c r="C66" s="9"/>
      <c r="D66" s="9"/>
      <c r="E66" s="27"/>
      <c r="F66" s="28"/>
      <c r="G66" s="27"/>
      <c r="H66" s="27"/>
      <c r="I66" s="27"/>
      <c r="J66" s="27"/>
      <c r="K66" s="27"/>
      <c r="L66" s="27"/>
    </row>
    <row r="67" spans="2:12" ht="12.75">
      <c r="B67" s="9"/>
      <c r="C67" s="9"/>
      <c r="D67" s="9"/>
      <c r="E67" s="27"/>
      <c r="F67" s="28"/>
      <c r="G67" s="27"/>
      <c r="H67" s="27"/>
      <c r="I67" s="27"/>
      <c r="J67" s="27"/>
      <c r="K67" s="27"/>
      <c r="L67" s="27"/>
    </row>
    <row r="68" spans="2:12" ht="12.75">
      <c r="B68" s="9"/>
      <c r="C68" s="9"/>
      <c r="D68" s="9"/>
      <c r="E68" s="27"/>
      <c r="F68" s="28"/>
      <c r="G68" s="27"/>
      <c r="H68" s="27"/>
      <c r="I68" s="27"/>
      <c r="J68" s="27"/>
      <c r="K68" s="27"/>
      <c r="L68" s="27"/>
    </row>
    <row r="69" spans="2:12" ht="12.75">
      <c r="B69" s="9"/>
      <c r="C69" s="9"/>
      <c r="D69" s="9"/>
      <c r="E69" s="27"/>
      <c r="F69" s="28"/>
      <c r="G69" s="27"/>
      <c r="H69" s="27"/>
      <c r="I69" s="27"/>
      <c r="J69" s="27"/>
      <c r="K69" s="27"/>
      <c r="L69" s="27"/>
    </row>
    <row r="70" spans="2:12" ht="12.75">
      <c r="B70" s="9"/>
      <c r="C70" s="9"/>
      <c r="D70" s="9"/>
      <c r="E70" s="27"/>
      <c r="F70" s="28"/>
      <c r="G70" s="27"/>
      <c r="H70" s="27"/>
      <c r="I70" s="27"/>
      <c r="J70" s="27"/>
      <c r="K70" s="27"/>
      <c r="L70" s="27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B1">
      <selection activeCell="H11" sqref="H11"/>
    </sheetView>
  </sheetViews>
  <sheetFormatPr defaultColWidth="9.140625" defaultRowHeight="12.75"/>
  <cols>
    <col min="1" max="1" width="9.140625" style="0" hidden="1" customWidth="1"/>
    <col min="3" max="3" width="6.140625" style="0" customWidth="1"/>
    <col min="5" max="5" width="2.140625" style="0" customWidth="1"/>
    <col min="7" max="7" width="3.00390625" style="0" customWidth="1"/>
    <col min="9" max="9" width="2.140625" style="0" customWidth="1"/>
    <col min="11" max="11" width="1.57421875" style="0" customWidth="1"/>
  </cols>
  <sheetData>
    <row r="1" spans="2:3" ht="12.75">
      <c r="B1" s="6" t="s">
        <v>253</v>
      </c>
      <c r="C1" s="6"/>
    </row>
    <row r="4" spans="2:12" ht="12.75">
      <c r="B4" s="6" t="s">
        <v>205</v>
      </c>
      <c r="C4" s="6"/>
      <c r="F4" t="s">
        <v>212</v>
      </c>
      <c r="H4" t="s">
        <v>213</v>
      </c>
      <c r="J4" t="s">
        <v>214</v>
      </c>
      <c r="L4" t="s">
        <v>215</v>
      </c>
    </row>
    <row r="6" spans="2:12" ht="12.75">
      <c r="B6" t="s">
        <v>254</v>
      </c>
      <c r="F6" t="s">
        <v>220</v>
      </c>
      <c r="H6" t="s">
        <v>220</v>
      </c>
      <c r="J6" t="s">
        <v>220</v>
      </c>
      <c r="L6" t="s">
        <v>220</v>
      </c>
    </row>
    <row r="7" spans="1:12" ht="12.75">
      <c r="A7" t="s">
        <v>205</v>
      </c>
      <c r="B7" t="s">
        <v>221</v>
      </c>
      <c r="D7" t="s">
        <v>222</v>
      </c>
      <c r="F7">
        <v>54</v>
      </c>
      <c r="H7">
        <v>114</v>
      </c>
      <c r="J7">
        <v>111</v>
      </c>
      <c r="L7">
        <v>105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B1">
      <selection activeCell="B18" sqref="B18"/>
    </sheetView>
  </sheetViews>
  <sheetFormatPr defaultColWidth="9.140625" defaultRowHeight="12.75"/>
  <cols>
    <col min="1" max="1" width="3.8515625" style="0" hidden="1" customWidth="1"/>
    <col min="2" max="2" width="29.8515625" style="0" customWidth="1"/>
    <col min="4" max="4" width="3.140625" style="0" customWidth="1"/>
    <col min="5" max="5" width="12.28125" style="0" customWidth="1"/>
    <col min="6" max="6" width="12.421875" style="0" customWidth="1"/>
  </cols>
  <sheetData>
    <row r="1" spans="2:6" ht="12.75">
      <c r="B1" s="6" t="s">
        <v>72</v>
      </c>
      <c r="C1" s="13"/>
      <c r="D1" s="13"/>
      <c r="E1" s="13"/>
      <c r="F1" s="13"/>
    </row>
    <row r="2" spans="2:6" ht="12.75">
      <c r="B2" s="13"/>
      <c r="C2" s="13"/>
      <c r="D2" s="13"/>
      <c r="E2" s="13"/>
      <c r="F2" s="13"/>
    </row>
    <row r="3" spans="1:6" ht="12.75">
      <c r="A3" t="s">
        <v>95</v>
      </c>
      <c r="B3" s="6" t="s">
        <v>166</v>
      </c>
      <c r="C3" s="13"/>
      <c r="D3" s="13"/>
      <c r="E3" t="s">
        <v>48</v>
      </c>
      <c r="F3" s="13"/>
    </row>
    <row r="4" spans="2:6" ht="12.75">
      <c r="B4" s="13"/>
      <c r="C4" s="13"/>
      <c r="D4" s="13"/>
      <c r="F4" s="13"/>
    </row>
    <row r="5" spans="2:6" ht="14.25">
      <c r="B5" s="13" t="s">
        <v>152</v>
      </c>
      <c r="C5" s="7" t="s">
        <v>57</v>
      </c>
      <c r="D5" s="7"/>
      <c r="E5">
        <v>1600</v>
      </c>
      <c r="F5" s="13"/>
    </row>
    <row r="6" spans="2:6" ht="14.25">
      <c r="B6" s="13" t="s">
        <v>153</v>
      </c>
      <c r="C6" s="7" t="s">
        <v>57</v>
      </c>
      <c r="D6" s="7"/>
      <c r="E6">
        <v>2000</v>
      </c>
      <c r="F6" s="13"/>
    </row>
    <row r="7" spans="2:5" s="13" customFormat="1" ht="12.75">
      <c r="B7" s="13" t="s">
        <v>154</v>
      </c>
      <c r="C7" s="13" t="s">
        <v>155</v>
      </c>
      <c r="E7" s="13">
        <v>-4.7</v>
      </c>
    </row>
    <row r="8" spans="2:5" s="13" customFormat="1" ht="12.75">
      <c r="B8" s="13" t="s">
        <v>156</v>
      </c>
      <c r="C8" s="13" t="s">
        <v>155</v>
      </c>
      <c r="E8" s="13">
        <v>15</v>
      </c>
    </row>
    <row r="9" spans="2:5" s="13" customFormat="1" ht="12.75">
      <c r="B9" s="13" t="s">
        <v>158</v>
      </c>
      <c r="C9" s="13" t="s">
        <v>157</v>
      </c>
      <c r="E9" s="13">
        <v>121</v>
      </c>
    </row>
    <row r="10" spans="2:5" ht="12.75">
      <c r="B10" t="s">
        <v>159</v>
      </c>
      <c r="C10" t="s">
        <v>155</v>
      </c>
      <c r="E10">
        <v>5.8</v>
      </c>
    </row>
    <row r="11" spans="2:5" ht="12.75">
      <c r="B11" t="s">
        <v>160</v>
      </c>
      <c r="C11" t="s">
        <v>157</v>
      </c>
      <c r="E11">
        <v>689</v>
      </c>
    </row>
    <row r="12" spans="2:5" ht="12.75">
      <c r="B12" t="s">
        <v>161</v>
      </c>
      <c r="E12">
        <v>9.5</v>
      </c>
    </row>
    <row r="13" spans="2:5" ht="12.75">
      <c r="B13" t="s">
        <v>162</v>
      </c>
      <c r="E13">
        <v>10.4</v>
      </c>
    </row>
    <row r="15" spans="2:5" ht="12.75">
      <c r="B15" s="6" t="s">
        <v>165</v>
      </c>
      <c r="C15" s="13"/>
      <c r="D15" s="13"/>
      <c r="E15" t="s">
        <v>48</v>
      </c>
    </row>
    <row r="16" spans="2:4" ht="12.75">
      <c r="B16" s="13"/>
      <c r="C16" s="13"/>
      <c r="D16" s="13"/>
    </row>
    <row r="17" spans="2:5" ht="14.25">
      <c r="B17" s="13" t="s">
        <v>152</v>
      </c>
      <c r="C17" s="7" t="s">
        <v>57</v>
      </c>
      <c r="D17" s="7"/>
      <c r="E17">
        <v>1592</v>
      </c>
    </row>
    <row r="18" spans="2:5" ht="14.25">
      <c r="B18" s="13" t="s">
        <v>153</v>
      </c>
      <c r="C18" s="7" t="s">
        <v>57</v>
      </c>
      <c r="D18" s="7"/>
      <c r="E18">
        <v>1598</v>
      </c>
    </row>
    <row r="19" spans="2:5" ht="12.75">
      <c r="B19" s="13" t="s">
        <v>154</v>
      </c>
      <c r="C19" s="13" t="s">
        <v>155</v>
      </c>
      <c r="D19" s="13"/>
      <c r="E19" s="13">
        <v>-4.46</v>
      </c>
    </row>
    <row r="20" spans="2:5" ht="12.75">
      <c r="B20" s="13" t="s">
        <v>156</v>
      </c>
      <c r="C20" s="13" t="s">
        <v>155</v>
      </c>
      <c r="D20" s="13"/>
      <c r="E20" s="13">
        <v>15</v>
      </c>
    </row>
    <row r="21" spans="2:5" ht="12.75">
      <c r="B21" s="13" t="s">
        <v>158</v>
      </c>
      <c r="C21" s="13" t="s">
        <v>157</v>
      </c>
      <c r="D21" s="13"/>
      <c r="E21" s="13">
        <v>130</v>
      </c>
    </row>
    <row r="22" spans="2:5" ht="12.75">
      <c r="B22" t="s">
        <v>159</v>
      </c>
      <c r="C22" t="s">
        <v>155</v>
      </c>
      <c r="E22" s="13">
        <v>4.1</v>
      </c>
    </row>
    <row r="23" spans="2:5" ht="12.75">
      <c r="B23" t="s">
        <v>160</v>
      </c>
      <c r="C23" t="s">
        <v>157</v>
      </c>
      <c r="E23" s="13">
        <v>599</v>
      </c>
    </row>
    <row r="24" spans="2:5" ht="12.75">
      <c r="B24" t="s">
        <v>161</v>
      </c>
      <c r="E24" t="s">
        <v>190</v>
      </c>
    </row>
    <row r="25" spans="2:5" ht="12.75">
      <c r="B25" t="s">
        <v>162</v>
      </c>
      <c r="E25" t="s">
        <v>190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10"/>
  <sheetViews>
    <sheetView workbookViewId="0" topLeftCell="C1">
      <selection activeCell="C7" sqref="C7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30.421875" style="0" customWidth="1"/>
  </cols>
  <sheetData>
    <row r="1" ht="12.75">
      <c r="C1" s="6" t="s">
        <v>260</v>
      </c>
    </row>
    <row r="3" ht="12.75">
      <c r="C3" s="17" t="s">
        <v>205</v>
      </c>
    </row>
    <row r="5" spans="1:31" s="81" customFormat="1" ht="12.75">
      <c r="A5" s="81" t="s">
        <v>205</v>
      </c>
      <c r="B5" s="81" t="s">
        <v>255</v>
      </c>
      <c r="C5" s="81" t="s">
        <v>261</v>
      </c>
      <c r="D5" s="81" t="s">
        <v>256</v>
      </c>
      <c r="E5" s="82">
        <v>1407.8</v>
      </c>
      <c r="F5" s="82">
        <v>1425</v>
      </c>
      <c r="G5" s="82">
        <v>1417.5</v>
      </c>
      <c r="H5" s="82">
        <v>1457.4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</row>
    <row r="6" spans="1:31" s="81" customFormat="1" ht="12.75">
      <c r="A6" s="81" t="s">
        <v>205</v>
      </c>
      <c r="B6" s="81" t="s">
        <v>257</v>
      </c>
      <c r="C6" s="81" t="s">
        <v>262</v>
      </c>
      <c r="D6" s="81" t="s">
        <v>256</v>
      </c>
      <c r="E6" s="82">
        <v>2003.1</v>
      </c>
      <c r="F6" s="82">
        <v>2003.1</v>
      </c>
      <c r="G6" s="82">
        <v>2002.5</v>
      </c>
      <c r="H6" s="82">
        <v>1998.4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</row>
    <row r="7" spans="1:22" s="81" customFormat="1" ht="12.75">
      <c r="A7" s="81" t="s">
        <v>205</v>
      </c>
      <c r="B7" s="81" t="s">
        <v>255</v>
      </c>
      <c r="C7" s="81" t="s">
        <v>263</v>
      </c>
      <c r="D7" s="81" t="s">
        <v>256</v>
      </c>
      <c r="E7" s="82">
        <v>176</v>
      </c>
      <c r="F7" s="82">
        <v>171.3</v>
      </c>
      <c r="G7" s="82">
        <v>171.7</v>
      </c>
      <c r="H7" s="82">
        <v>178.3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3" s="81" customFormat="1" ht="12.75">
      <c r="A8" s="81" t="s">
        <v>205</v>
      </c>
      <c r="B8" s="81" t="s">
        <v>258</v>
      </c>
      <c r="C8" s="81" t="s">
        <v>159</v>
      </c>
      <c r="D8" s="81" t="s">
        <v>155</v>
      </c>
      <c r="E8" s="82">
        <v>4.9</v>
      </c>
      <c r="F8" s="82">
        <v>5.4</v>
      </c>
      <c r="G8" s="82">
        <v>5.5</v>
      </c>
      <c r="H8" s="82">
        <v>5.2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</row>
    <row r="9" spans="1:23" s="81" customFormat="1" ht="12.75">
      <c r="A9" s="81" t="s">
        <v>205</v>
      </c>
      <c r="B9" s="81" t="s">
        <v>257</v>
      </c>
      <c r="C9" s="81" t="s">
        <v>156</v>
      </c>
      <c r="D9" s="81" t="s">
        <v>155</v>
      </c>
      <c r="E9" s="82">
        <v>30</v>
      </c>
      <c r="F9" s="82">
        <v>30.1</v>
      </c>
      <c r="G9" s="82">
        <v>30</v>
      </c>
      <c r="H9" s="82">
        <v>30</v>
      </c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</row>
    <row r="10" spans="1:22" s="81" customFormat="1" ht="12.75">
      <c r="A10" s="81" t="s">
        <v>205</v>
      </c>
      <c r="B10" s="81" t="s">
        <v>258</v>
      </c>
      <c r="C10" s="81" t="s">
        <v>259</v>
      </c>
      <c r="E10" s="82">
        <v>9.1</v>
      </c>
      <c r="F10" s="82">
        <v>8.6</v>
      </c>
      <c r="G10" s="82">
        <v>8.5</v>
      </c>
      <c r="H10" s="82">
        <v>8.4</v>
      </c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2004-02-23T18:38:24Z</cp:lastPrinted>
  <dcterms:created xsi:type="dcterms:W3CDTF">2000-01-10T00:44:42Z</dcterms:created>
  <dcterms:modified xsi:type="dcterms:W3CDTF">2004-02-23T18:54:25Z</dcterms:modified>
  <cp:category/>
  <cp:version/>
  <cp:contentType/>
  <cp:contentStatus/>
</cp:coreProperties>
</file>