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65" windowWidth="12015" windowHeight="6405" tabRatio="794" activeTab="4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  <sheet name="df c11" sheetId="11" r:id="rId11"/>
    <sheet name="df c1" sheetId="12" r:id="rId12"/>
    <sheet name="df c3" sheetId="13" r:id="rId13"/>
    <sheet name="df c4" sheetId="14" r:id="rId14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<sst xmlns="http://schemas.openxmlformats.org/spreadsheetml/2006/main" count="2976" uniqueCount="321">
  <si>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</si>
  <si>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</si>
  <si>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</si>
  <si>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</si>
  <si>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</si>
  <si>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</si>
  <si>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</si>
  <si>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</si>
  <si>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</si>
  <si>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</si>
  <si>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</si>
  <si>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</si>
  <si>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n</t>
  </si>
  <si>
    <t>nd</t>
  </si>
  <si>
    <t>%</t>
  </si>
  <si>
    <t>y</t>
  </si>
  <si>
    <t>dscfm</t>
  </si>
  <si>
    <t xml:space="preserve"> </t>
  </si>
  <si>
    <t>°F</t>
  </si>
  <si>
    <t>PM</t>
  </si>
  <si>
    <t>gr/dscf</t>
  </si>
  <si>
    <t>HCl</t>
  </si>
  <si>
    <t>Chlorine</t>
  </si>
  <si>
    <t>Facility Name and ID:</t>
  </si>
  <si>
    <t>Condition ID:</t>
  </si>
  <si>
    <t>Condition/Test Date: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</si>
  <si>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</si>
  <si>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</si>
  <si>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</si>
  <si>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</si>
  <si>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</si>
  <si>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</si>
  <si>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</si>
  <si>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</si>
  <si>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</si>
  <si>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</si>
  <si>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TCDD Total</t>
  </si>
  <si>
    <t>1,2,3,7,8-PCDD</t>
  </si>
  <si>
    <t>PCDD Total</t>
  </si>
  <si>
    <t>1,2,3,4,7,8-HxCDD</t>
  </si>
  <si>
    <t>1,2,3,6,7,8-HxCDD</t>
  </si>
  <si>
    <t>1,2,3,7,8,9-HxCDD</t>
  </si>
  <si>
    <t>HxCDD Total</t>
  </si>
  <si>
    <t>1,2,3,4,6,7,8-HpCDD</t>
  </si>
  <si>
    <t>HpCDD Total</t>
  </si>
  <si>
    <t>OCDD</t>
  </si>
  <si>
    <t>2,3,7,8-TCDF</t>
  </si>
  <si>
    <t>TCDF Total</t>
  </si>
  <si>
    <t>1,2,3,7,8-PCDF</t>
  </si>
  <si>
    <t>2,3,4,7,8-PCDF</t>
  </si>
  <si>
    <t>PCDF Total</t>
  </si>
  <si>
    <t>1,2,3,4,7,8-HxCDF</t>
  </si>
  <si>
    <t>1,2,3,6,7,8-HxCDF</t>
  </si>
  <si>
    <t>2,3,4,6,7,8-HxCDF</t>
  </si>
  <si>
    <t>1,2,3,7,8,9-HxCDF</t>
  </si>
  <si>
    <t>HxCDF Total</t>
  </si>
  <si>
    <t>1,2,3,4,6,7,8-HpCDF</t>
  </si>
  <si>
    <t>1,2,3,4,7,8,9-HpCDF</t>
  </si>
  <si>
    <t>HpCDF Total</t>
  </si>
  <si>
    <t>OCDF</t>
  </si>
  <si>
    <t>Gas sample volume (dscf)</t>
  </si>
  <si>
    <t>O2 (%)</t>
  </si>
  <si>
    <t>PCDD/PCDF (ng in sample)</t>
  </si>
  <si>
    <t>PCDD/PCDF (ng/dscm @ 7% O2)</t>
  </si>
  <si>
    <t>Heating Value</t>
  </si>
  <si>
    <t>Combustor Characteristics</t>
  </si>
  <si>
    <t>ppmv</t>
  </si>
  <si>
    <t>Spike</t>
  </si>
  <si>
    <t>Cl2</t>
  </si>
  <si>
    <t>ug/dscm</t>
  </si>
  <si>
    <t>Cond Avg</t>
  </si>
  <si>
    <t>Stack Gas Flowrate</t>
  </si>
  <si>
    <t>Oxygen</t>
  </si>
  <si>
    <t>1/2 ND</t>
  </si>
  <si>
    <t>TEQ Cond Avg</t>
  </si>
  <si>
    <t>Total Cond Avg</t>
  </si>
  <si>
    <t>SVM</t>
  </si>
  <si>
    <t>LVM</t>
  </si>
  <si>
    <t>HW</t>
  </si>
  <si>
    <t>ng/dscm</t>
  </si>
  <si>
    <t>RA</t>
  </si>
  <si>
    <t>Other</t>
  </si>
  <si>
    <t>Capacity (MMBtu/hr)</t>
  </si>
  <si>
    <t>PCDD/PCDF</t>
  </si>
  <si>
    <t>Supplemental Fuel</t>
  </si>
  <si>
    <t>Haz Waste Description</t>
  </si>
  <si>
    <t xml:space="preserve">    Gas Velocity (ft/sec)</t>
  </si>
  <si>
    <t xml:space="preserve">    Gas Temperature (°F)</t>
  </si>
  <si>
    <t>Feedrate MTEC Calculations</t>
  </si>
  <si>
    <t>Source Description</t>
  </si>
  <si>
    <t>Hazardous Wastes</t>
  </si>
  <si>
    <t xml:space="preserve">   Temperature</t>
  </si>
  <si>
    <t xml:space="preserve">   Stack Gas Flowrate</t>
  </si>
  <si>
    <t>PM, HCl/Cl2</t>
  </si>
  <si>
    <t xml:space="preserve">   O2</t>
  </si>
  <si>
    <t xml:space="preserve">   Moisture</t>
  </si>
  <si>
    <t>CO (RA)</t>
  </si>
  <si>
    <t>Sampling Train</t>
  </si>
  <si>
    <t>Arsenic</t>
  </si>
  <si>
    <t>Barium</t>
  </si>
  <si>
    <t>Beryllium</t>
  </si>
  <si>
    <t>Thallium</t>
  </si>
  <si>
    <t>Antimony</t>
  </si>
  <si>
    <t>Lead</t>
  </si>
  <si>
    <t>Nickel</t>
  </si>
  <si>
    <t>Cadmium</t>
  </si>
  <si>
    <t>Silver</t>
  </si>
  <si>
    <t>Chromium</t>
  </si>
  <si>
    <t>Feedstream Description</t>
  </si>
  <si>
    <t>*</t>
  </si>
  <si>
    <t>Thermal Feedrate</t>
  </si>
  <si>
    <t>Mercury</t>
  </si>
  <si>
    <t>Feed Rate</t>
  </si>
  <si>
    <t>HWC Burn Status (Date if Terminated)</t>
  </si>
  <si>
    <t>Phase I ID No.</t>
  </si>
  <si>
    <t>Ash Grove Cement Company</t>
  </si>
  <si>
    <t>ARD981512270</t>
  </si>
  <si>
    <t>Foreman</t>
  </si>
  <si>
    <t>AR</t>
  </si>
  <si>
    <t>Kiln No. 1</t>
  </si>
  <si>
    <t>Kiln No. 2</t>
  </si>
  <si>
    <t>Wet, long</t>
  </si>
  <si>
    <t>ESP</t>
  </si>
  <si>
    <t>Liq and solid</t>
  </si>
  <si>
    <t>Coal, natural gas</t>
  </si>
  <si>
    <t>Solid haz waste and tires fired in mid-kiln hatch</t>
  </si>
  <si>
    <t>Y</t>
  </si>
  <si>
    <t>RCRA Cement Kiln Test Burn Report Kiln 1 and 2, April 1998</t>
  </si>
  <si>
    <t>Ash Grove Cement</t>
  </si>
  <si>
    <t>AirSource Technologies</t>
  </si>
  <si>
    <t>CO, HC, HCl/Cl2, metals, PM, D/F</t>
  </si>
  <si>
    <t>Max comb temp, max metals, chlorine</t>
  </si>
  <si>
    <t>Metals</t>
  </si>
  <si>
    <t>Tier I for Hg, Ag, Tl, Sb, and Ba; Tier III for Pb, As, Be, Cd, and Cr</t>
  </si>
  <si>
    <t>CO (MHRA)</t>
  </si>
  <si>
    <t>HC (RA)</t>
  </si>
  <si>
    <t>HC (MHRA)</t>
  </si>
  <si>
    <t>PM, CO</t>
  </si>
  <si>
    <t>D/F compliance</t>
  </si>
  <si>
    <t>PM retesting</t>
  </si>
  <si>
    <t>g/hr</t>
  </si>
  <si>
    <t>Raw Matl</t>
  </si>
  <si>
    <t>Coal</t>
  </si>
  <si>
    <t>Tires</t>
  </si>
  <si>
    <t>LWDF</t>
  </si>
  <si>
    <t>403C11</t>
  </si>
  <si>
    <t>Zinc</t>
  </si>
  <si>
    <t>R1</t>
  </si>
  <si>
    <t>R2</t>
  </si>
  <si>
    <t>R3</t>
  </si>
  <si>
    <t>R4</t>
  </si>
  <si>
    <t>Btu/hr</t>
  </si>
  <si>
    <t>403C10</t>
  </si>
  <si>
    <t>ESP Inlet Temp</t>
  </si>
  <si>
    <t>Chain Temp</t>
  </si>
  <si>
    <t>F</t>
  </si>
  <si>
    <t>ESP Power</t>
  </si>
  <si>
    <t>kVA</t>
  </si>
  <si>
    <t>min HRA</t>
  </si>
  <si>
    <t>403C12</t>
  </si>
  <si>
    <t>Ash Grove, Foreman, AR, Kiln No. 1</t>
  </si>
  <si>
    <t>CoC burn, 12/9 - 12/10/97</t>
  </si>
  <si>
    <t>max HRA</t>
  </si>
  <si>
    <t>Run 4</t>
  </si>
  <si>
    <t>CoC burn, 12/11 - 12/12/97</t>
  </si>
  <si>
    <t>Run 5</t>
  </si>
  <si>
    <t>Run 6</t>
  </si>
  <si>
    <t>Run 7</t>
  </si>
  <si>
    <t>R6</t>
  </si>
  <si>
    <t>R7</t>
  </si>
  <si>
    <t>R5</t>
  </si>
  <si>
    <t>PM retest</t>
  </si>
  <si>
    <t>D/F test</t>
  </si>
  <si>
    <t>max op cond</t>
  </si>
  <si>
    <t>D/F, CO, HC, PM, HCl/Cl2</t>
  </si>
  <si>
    <t>PM, CO, HCl/Cl2</t>
  </si>
  <si>
    <t>403C13</t>
  </si>
  <si>
    <t>Trial burn: Max comb temp, max metals, chlorine, raw material feedrate, 4 runs</t>
  </si>
  <si>
    <t>Trial burn: D/F test at max APCD temp and max CO, 3 runs</t>
  </si>
  <si>
    <t>Trial burn: PM compliance</t>
  </si>
  <si>
    <t>MMBtu/hr</t>
  </si>
  <si>
    <t>403C1</t>
  </si>
  <si>
    <t>Report Name/Date</t>
  </si>
  <si>
    <t>Report Prepare</t>
  </si>
  <si>
    <t>Testing Firm</t>
  </si>
  <si>
    <t>Cond Descr</t>
  </si>
  <si>
    <t>403C2</t>
  </si>
  <si>
    <t>403C3</t>
  </si>
  <si>
    <t>November 10-12, 1994</t>
  </si>
  <si>
    <t>403C4</t>
  </si>
  <si>
    <t>November 8-9, 1994</t>
  </si>
  <si>
    <t/>
  </si>
  <si>
    <t>Chromium (Hex)</t>
  </si>
  <si>
    <t>Particulate</t>
  </si>
  <si>
    <t>Cr Hex</t>
  </si>
  <si>
    <t>Dioxin &amp; Furan</t>
  </si>
  <si>
    <t>SVOC</t>
  </si>
  <si>
    <t>Copper</t>
  </si>
  <si>
    <t>Solid spike</t>
  </si>
  <si>
    <t>Spike liquid</t>
  </si>
  <si>
    <t>Raw material chalk and iron</t>
  </si>
  <si>
    <t>Organic spike liquid</t>
  </si>
  <si>
    <t>Solid organic</t>
  </si>
  <si>
    <t>Feedrate</t>
  </si>
  <si>
    <t>lb/hr</t>
  </si>
  <si>
    <t>Heating value</t>
  </si>
  <si>
    <t>Btu/lb</t>
  </si>
  <si>
    <t>Gas flowrate</t>
  </si>
  <si>
    <t>Full ND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</si>
  <si>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</si>
  <si>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</si>
  <si>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</si>
  <si>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</si>
  <si>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</si>
  <si>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</si>
  <si>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</si>
  <si>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</si>
  <si>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</si>
  <si>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</si>
  <si>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</si>
  <si>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</si>
  <si>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</si>
  <si>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</si>
  <si>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</si>
  <si>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</si>
  <si>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</si>
  <si>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</si>
  <si>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</si>
  <si>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</si>
  <si>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</si>
  <si>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</si>
  <si>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</si>
  <si>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</si>
  <si>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</si>
  <si>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</si>
  <si>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</si>
  <si>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</si>
  <si>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</si>
  <si>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</si>
  <si>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</si>
  <si>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</si>
  <si>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</si>
  <si>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</si>
  <si>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Testing Dates</t>
  </si>
  <si>
    <t>Condition Descr</t>
  </si>
  <si>
    <t>Content</t>
  </si>
  <si>
    <t>Condition Description</t>
  </si>
  <si>
    <t>1,1,1-Trichloroethane</t>
  </si>
  <si>
    <t>1,2,4-Trichlorobenzene</t>
  </si>
  <si>
    <t>Tetrachloroethene</t>
  </si>
  <si>
    <t>Ash Grove Cement Company, Foreman Arkansas, Waste Derived Fuel Facility, RCRA Trial Burn Report and Certification of Compliance for Kiln No. 1 - July 1992, October 1992</t>
  </si>
  <si>
    <t>Ash Grove</t>
  </si>
  <si>
    <t>Air Source Technologies</t>
  </si>
  <si>
    <t>CoC, HIGH COMB TEMP, MIN ESP POWER</t>
  </si>
  <si>
    <t>CoC, LOW COMB TEMP, HIGH CL FEED, HIGH HW FEED</t>
  </si>
  <si>
    <t>July 21-22, 1992</t>
  </si>
  <si>
    <t>Ash Grove Cement, Foreman Arkansas, Report of RCRA Trial Burn for Kiln Nos. 1 and 2, November 1994, dated June 1995</t>
  </si>
  <si>
    <t>CoC, HIGH COMB TEMP, HIGH CL FEED, HIGH HW FEED</t>
  </si>
  <si>
    <t>CoC, LOW COMB TEMP, HIGH HW FEED</t>
  </si>
  <si>
    <t>Combustor Class</t>
  </si>
  <si>
    <t>Combustor Type</t>
  </si>
  <si>
    <t>Stack Gas Emissions 1</t>
  </si>
  <si>
    <t>Stack Gas Emissions 2</t>
  </si>
  <si>
    <t>Feedstreams 1</t>
  </si>
  <si>
    <t>Feedstreams 2</t>
  </si>
  <si>
    <t>40310</t>
  </si>
  <si>
    <t>Combustion Temperature</t>
  </si>
  <si>
    <t>ESP Temperature</t>
  </si>
  <si>
    <t>Process Information 2</t>
  </si>
  <si>
    <t>Process Information 1</t>
  </si>
  <si>
    <t>SCA = 230, 4 fields, about 20 years old, rebuilt a few years ago</t>
  </si>
  <si>
    <t>Total Chlorine</t>
  </si>
  <si>
    <t>E1</t>
  </si>
  <si>
    <t>E2</t>
  </si>
  <si>
    <t>E3</t>
  </si>
  <si>
    <t>E4</t>
  </si>
  <si>
    <t>Selenium</t>
  </si>
  <si>
    <t>Cond Dates</t>
  </si>
  <si>
    <t>December 9-10, 1997</t>
  </si>
  <si>
    <t>December 11-12, 1997</t>
  </si>
  <si>
    <t>January 3-4, 1998</t>
  </si>
  <si>
    <t>Number of Sister Facilities</t>
  </si>
  <si>
    <t>APCS Detailed Acronym</t>
  </si>
  <si>
    <t>APCS General Class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</si>
  <si>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</si>
  <si>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</si>
  <si>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</si>
  <si>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</si>
  <si>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</si>
  <si>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</si>
  <si>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</si>
  <si>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</si>
  <si>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</si>
  <si>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df c11</t>
  </si>
  <si>
    <t>df c1</t>
  </si>
  <si>
    <t>df c3</t>
  </si>
  <si>
    <t>df c4</t>
  </si>
  <si>
    <t>Cement Kiln (CK)</t>
  </si>
  <si>
    <t>Feedstream Number</t>
  </si>
  <si>
    <t>Feed Class</t>
  </si>
  <si>
    <t>F1</t>
  </si>
  <si>
    <t>Raw Material</t>
  </si>
  <si>
    <t>F2</t>
  </si>
  <si>
    <t>F3</t>
  </si>
  <si>
    <t>Solid non-HW</t>
  </si>
  <si>
    <t>F4</t>
  </si>
  <si>
    <t>Liq HW</t>
  </si>
  <si>
    <t>F5</t>
  </si>
  <si>
    <t>F6</t>
  </si>
  <si>
    <t xml:space="preserve">Spike </t>
  </si>
  <si>
    <t xml:space="preserve">Raw material </t>
  </si>
  <si>
    <t>F7</t>
  </si>
  <si>
    <t>Solid HW</t>
  </si>
  <si>
    <t>F8</t>
  </si>
  <si>
    <t>Feed Class 2</t>
  </si>
  <si>
    <t>Feedrate MTECs</t>
  </si>
  <si>
    <t>RM</t>
  </si>
  <si>
    <t>MF</t>
  </si>
  <si>
    <t>Estimated Firing Rate</t>
  </si>
  <si>
    <t>N</t>
  </si>
  <si>
    <t>Lead levels is very very high nondetects?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</si>
</sst>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0.00000"/>
    <numFmt numFmtId="169" formatCode="0.0E+00"/>
    <numFmt numFmtId="170" formatCode="0.000000"/>
    <numFmt numFmtId="171" formatCode="0.000E+00"/>
    <numFmt numFmtId="172" formatCode="mm/dd/yy"/>
    <numFmt numFmtId="173" formatCode="0.00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168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17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 horizontal="centerContinuous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D21" sqref="D21"/>
    </sheetView>
  </sheetViews>
  <sheetFormatPr defaultColWidth="9.140625" defaultRowHeight="12.75"/>
  <sheetData>
    <row r="1" ht="12.75">
      <c r="A1" t="s">
        <v>284</v>
      </c>
    </row>
    <row r="2" ht="12.75">
      <c r="A2" t="s">
        <v>285</v>
      </c>
    </row>
    <row r="3" ht="12.75">
      <c r="A3" t="s">
        <v>286</v>
      </c>
    </row>
    <row r="4" ht="12.75">
      <c r="A4" t="s">
        <v>287</v>
      </c>
    </row>
    <row r="5" ht="12.75">
      <c r="A5" t="s">
        <v>288</v>
      </c>
    </row>
    <row r="6" ht="12.75">
      <c r="A6" t="s">
        <v>289</v>
      </c>
    </row>
    <row r="7" ht="12.75">
      <c r="A7" t="s">
        <v>290</v>
      </c>
    </row>
    <row r="8" ht="12.75">
      <c r="A8" t="s">
        <v>291</v>
      </c>
    </row>
    <row r="9" ht="12.75">
      <c r="A9" t="s">
        <v>292</v>
      </c>
    </row>
    <row r="10" ht="12.75">
      <c r="A10" t="s">
        <v>293</v>
      </c>
    </row>
    <row r="11" ht="12.75">
      <c r="A11" t="s">
        <v>294</v>
      </c>
    </row>
    <row r="12" ht="12.75">
      <c r="A12" t="s">
        <v>295</v>
      </c>
    </row>
    <row r="13" ht="12.75">
      <c r="A13" t="s">
        <v>296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38"/>
  <sheetViews>
    <sheetView workbookViewId="0" topLeftCell="A1">
      <selection activeCell="H22" sqref="H22"/>
    </sheetView>
  </sheetViews>
  <sheetFormatPr defaultColWidth="9.140625" defaultRowHeight="12.75"/>
  <cols>
    <col min="1" max="1" width="1.57421875" style="4" customWidth="1"/>
    <col min="2" max="2" width="24.8515625" style="4" customWidth="1"/>
    <col min="3" max="3" width="7.8515625" style="4" customWidth="1"/>
    <col min="4" max="4" width="4.28125" style="5" customWidth="1"/>
    <col min="5" max="5" width="8.7109375" style="6" customWidth="1"/>
    <col min="6" max="6" width="7.7109375" style="7" customWidth="1"/>
    <col min="7" max="7" width="8.57421875" style="6" customWidth="1"/>
    <col min="8" max="8" width="7.7109375" style="7" customWidth="1"/>
    <col min="9" max="9" width="2.7109375" style="8" customWidth="1"/>
    <col min="10" max="10" width="7.140625" style="6" customWidth="1"/>
    <col min="11" max="11" width="8.28125" style="6" customWidth="1"/>
    <col min="12" max="12" width="9.140625" style="6" customWidth="1"/>
    <col min="13" max="13" width="8.28125" style="6" customWidth="1"/>
    <col min="14" max="14" width="2.28125" style="8" customWidth="1"/>
    <col min="15" max="15" width="7.8515625" style="6" customWidth="1"/>
    <col min="16" max="18" width="8.7109375" style="6" customWidth="1"/>
    <col min="19" max="19" width="2.7109375" style="0" customWidth="1"/>
    <col min="20" max="20" width="7.8515625" style="0" customWidth="1"/>
    <col min="21" max="21" width="7.00390625" style="0" customWidth="1"/>
    <col min="22" max="22" width="7.7109375" style="0" customWidth="1"/>
    <col min="23" max="23" width="7.00390625" style="0" customWidth="1"/>
    <col min="24" max="24" width="7.421875" style="0" customWidth="1"/>
    <col min="25" max="36" width="10.8515625" style="0" customWidth="1"/>
    <col min="37" max="16384" width="10.8515625" style="4" customWidth="1"/>
  </cols>
  <sheetData>
    <row r="1" ht="12.75">
      <c r="A1" s="53" t="s">
        <v>83</v>
      </c>
    </row>
    <row r="2" ht="12.75">
      <c r="A2" s="4" t="s">
        <v>319</v>
      </c>
    </row>
    <row r="3" spans="1:3" ht="12.75">
      <c r="A3" s="4" t="s">
        <v>23</v>
      </c>
      <c r="C3" s="9" t="s">
        <v>160</v>
      </c>
    </row>
    <row r="4" spans="1:18" ht="12.75">
      <c r="A4" s="4" t="s">
        <v>24</v>
      </c>
      <c r="C4" s="9" t="s">
        <v>152</v>
      </c>
      <c r="E4" s="10"/>
      <c r="F4" s="11"/>
      <c r="G4" s="10"/>
      <c r="H4" s="11"/>
      <c r="J4" s="10"/>
      <c r="K4" s="10"/>
      <c r="L4" s="10"/>
      <c r="M4" s="10"/>
      <c r="O4" s="10"/>
      <c r="P4" s="10"/>
      <c r="Q4" s="10"/>
      <c r="R4" s="10"/>
    </row>
    <row r="5" spans="1:3" ht="12.75">
      <c r="A5" s="4" t="s">
        <v>25</v>
      </c>
      <c r="C5" s="9" t="s">
        <v>161</v>
      </c>
    </row>
    <row r="6" spans="3:17" ht="12.75">
      <c r="C6" s="5"/>
      <c r="E6" s="8"/>
      <c r="G6" s="8"/>
      <c r="J6" s="8"/>
      <c r="L6" s="8"/>
      <c r="O6" s="8"/>
      <c r="Q6" s="8"/>
    </row>
    <row r="7" spans="3:23" ht="12.75">
      <c r="C7" s="5" t="s">
        <v>26</v>
      </c>
      <c r="E7" s="12" t="s">
        <v>27</v>
      </c>
      <c r="F7" s="12"/>
      <c r="G7" s="12"/>
      <c r="H7" s="12"/>
      <c r="I7" s="13"/>
      <c r="J7" s="12" t="s">
        <v>28</v>
      </c>
      <c r="K7" s="12"/>
      <c r="L7" s="12"/>
      <c r="M7" s="12"/>
      <c r="N7" s="13"/>
      <c r="O7" s="12" t="s">
        <v>29</v>
      </c>
      <c r="P7" s="12"/>
      <c r="Q7" s="12"/>
      <c r="R7" s="12"/>
      <c r="S7" s="81"/>
      <c r="T7" s="12" t="s">
        <v>163</v>
      </c>
      <c r="U7" s="12"/>
      <c r="V7" s="12"/>
      <c r="W7" s="12"/>
    </row>
    <row r="8" spans="3:23" ht="12.75">
      <c r="C8" s="5" t="s">
        <v>30</v>
      </c>
      <c r="E8" s="8" t="s">
        <v>31</v>
      </c>
      <c r="F8" s="11" t="s">
        <v>32</v>
      </c>
      <c r="G8" s="8" t="s">
        <v>31</v>
      </c>
      <c r="H8" s="11" t="s">
        <v>32</v>
      </c>
      <c r="J8" s="8" t="s">
        <v>31</v>
      </c>
      <c r="K8" s="8" t="s">
        <v>33</v>
      </c>
      <c r="L8" s="8" t="s">
        <v>31</v>
      </c>
      <c r="M8" s="8" t="s">
        <v>33</v>
      </c>
      <c r="O8" s="8" t="s">
        <v>31</v>
      </c>
      <c r="P8" s="8" t="s">
        <v>33</v>
      </c>
      <c r="Q8" s="8" t="s">
        <v>31</v>
      </c>
      <c r="R8" s="8" t="s">
        <v>33</v>
      </c>
      <c r="S8" s="81"/>
      <c r="T8" s="8" t="s">
        <v>31</v>
      </c>
      <c r="U8" s="8" t="s">
        <v>33</v>
      </c>
      <c r="V8" s="8" t="s">
        <v>31</v>
      </c>
      <c r="W8" s="8" t="s">
        <v>33</v>
      </c>
    </row>
    <row r="9" spans="3:23" ht="12.75">
      <c r="C9" s="5"/>
      <c r="E9" s="8" t="s">
        <v>208</v>
      </c>
      <c r="F9" s="8" t="s">
        <v>208</v>
      </c>
      <c r="G9" s="8" t="s">
        <v>73</v>
      </c>
      <c r="H9" s="11" t="s">
        <v>73</v>
      </c>
      <c r="J9" s="8" t="s">
        <v>208</v>
      </c>
      <c r="K9" s="8" t="s">
        <v>208</v>
      </c>
      <c r="L9" s="8" t="s">
        <v>73</v>
      </c>
      <c r="M9" s="11" t="s">
        <v>73</v>
      </c>
      <c r="O9" s="8" t="s">
        <v>208</v>
      </c>
      <c r="P9" s="8" t="s">
        <v>208</v>
      </c>
      <c r="Q9" s="8" t="s">
        <v>73</v>
      </c>
      <c r="R9" s="11" t="s">
        <v>73</v>
      </c>
      <c r="S9" s="81"/>
      <c r="T9" s="8" t="s">
        <v>208</v>
      </c>
      <c r="U9" s="8" t="s">
        <v>208</v>
      </c>
      <c r="V9" s="8" t="s">
        <v>73</v>
      </c>
      <c r="W9" s="11" t="s">
        <v>73</v>
      </c>
    </row>
    <row r="10" spans="1:23" ht="13.5" customHeight="1">
      <c r="A10" s="4" t="s">
        <v>34</v>
      </c>
      <c r="O10" s="14"/>
      <c r="T10" s="14"/>
      <c r="U10" s="6"/>
      <c r="V10" s="6"/>
      <c r="W10" s="6"/>
    </row>
    <row r="11" spans="2:23" ht="12.75">
      <c r="B11" s="4" t="s">
        <v>35</v>
      </c>
      <c r="C11" s="5">
        <v>1</v>
      </c>
      <c r="D11"/>
      <c r="E11">
        <v>0.06</v>
      </c>
      <c r="F11" s="7">
        <f aca="true" t="shared" si="0" ref="F11:H35">IF(E11="","",E11*$C11)</f>
        <v>0.06</v>
      </c>
      <c r="G11" s="15">
        <f aca="true" t="shared" si="1" ref="G11:G20">IF(E11=0,"",IF(D11="nd",E11/2,E11))</f>
        <v>0.06</v>
      </c>
      <c r="H11" s="7">
        <f t="shared" si="0"/>
        <v>0.06</v>
      </c>
      <c r="I11"/>
      <c r="J11">
        <v>0.09</v>
      </c>
      <c r="K11" s="7">
        <f aca="true" t="shared" si="2" ref="K11:M35">IF(J11="","",J11*$C11)</f>
        <v>0.09</v>
      </c>
      <c r="L11" s="15">
        <f>IF(J11=0,"",IF(I11="nd",J11/2,J11))</f>
        <v>0.09</v>
      </c>
      <c r="M11" s="7">
        <f t="shared" si="2"/>
        <v>0.09</v>
      </c>
      <c r="N11"/>
      <c r="O11">
        <v>0.07</v>
      </c>
      <c r="P11" s="7">
        <f aca="true" t="shared" si="3" ref="P11:R35">IF(O11="","",O11*$C11)</f>
        <v>0.07</v>
      </c>
      <c r="Q11" s="15">
        <f>IF(O11=0,"",IF(N11="nd",O11/2,O11))</f>
        <v>0.07</v>
      </c>
      <c r="R11" s="7">
        <f t="shared" si="3"/>
        <v>0.07</v>
      </c>
      <c r="T11">
        <v>0.07</v>
      </c>
      <c r="U11" s="7">
        <f aca="true" t="shared" si="4" ref="U11:W35">IF(T11="","",T11*$C11)</f>
        <v>0.07</v>
      </c>
      <c r="V11" s="15">
        <f>IF(T11=0,"",IF(S11="nd",T11/2,T11))</f>
        <v>0.07</v>
      </c>
      <c r="W11" s="7">
        <f t="shared" si="4"/>
        <v>0.07</v>
      </c>
    </row>
    <row r="12" spans="2:23" ht="12.75">
      <c r="B12" s="4" t="s">
        <v>36</v>
      </c>
      <c r="C12" s="5">
        <v>0</v>
      </c>
      <c r="D12"/>
      <c r="E12">
        <v>39.8</v>
      </c>
      <c r="F12" s="7">
        <f t="shared" si="0"/>
        <v>0</v>
      </c>
      <c r="G12" s="15">
        <f t="shared" si="1"/>
        <v>39.8</v>
      </c>
      <c r="H12" s="7">
        <f t="shared" si="0"/>
        <v>0</v>
      </c>
      <c r="I12"/>
      <c r="J12">
        <v>16.5</v>
      </c>
      <c r="K12" s="7">
        <f t="shared" si="2"/>
        <v>0</v>
      </c>
      <c r="L12" s="15">
        <f aca="true" t="shared" si="5" ref="L12:L35">IF(J12=0,"",IF(I12="nd",J12/2,J12))</f>
        <v>16.5</v>
      </c>
      <c r="M12" s="7">
        <f t="shared" si="2"/>
        <v>0</v>
      </c>
      <c r="N12"/>
      <c r="O12">
        <v>14.4</v>
      </c>
      <c r="P12" s="7">
        <f t="shared" si="3"/>
        <v>0</v>
      </c>
      <c r="Q12" s="15">
        <f aca="true" t="shared" si="6" ref="Q12:Q35">IF(O12=0,"",IF(N12="nd",O12/2,O12))</f>
        <v>14.4</v>
      </c>
      <c r="R12" s="7">
        <f t="shared" si="3"/>
        <v>0</v>
      </c>
      <c r="T12">
        <v>20.2</v>
      </c>
      <c r="U12" s="7">
        <f t="shared" si="4"/>
        <v>0</v>
      </c>
      <c r="V12" s="15">
        <f aca="true" t="shared" si="7" ref="V12:V35">IF(T12=0,"",IF(S12="nd",T12/2,T12))</f>
        <v>20.2</v>
      </c>
      <c r="W12" s="7">
        <f t="shared" si="4"/>
        <v>0</v>
      </c>
    </row>
    <row r="13" spans="2:23" ht="12.75">
      <c r="B13" s="4" t="s">
        <v>37</v>
      </c>
      <c r="C13" s="5">
        <v>0.5</v>
      </c>
      <c r="D13"/>
      <c r="E13">
        <v>0.2</v>
      </c>
      <c r="F13" s="7">
        <f t="shared" si="0"/>
        <v>0.1</v>
      </c>
      <c r="G13" s="15">
        <f t="shared" si="1"/>
        <v>0.2</v>
      </c>
      <c r="H13" s="7">
        <f t="shared" si="0"/>
        <v>0.1</v>
      </c>
      <c r="I13"/>
      <c r="J13">
        <v>0.16</v>
      </c>
      <c r="K13" s="7">
        <f t="shared" si="2"/>
        <v>0.08</v>
      </c>
      <c r="L13" s="15">
        <f t="shared" si="5"/>
        <v>0.16</v>
      </c>
      <c r="M13" s="7">
        <f t="shared" si="2"/>
        <v>0.08</v>
      </c>
      <c r="N13"/>
      <c r="O13">
        <v>0.25</v>
      </c>
      <c r="P13" s="7">
        <f t="shared" si="3"/>
        <v>0.125</v>
      </c>
      <c r="Q13" s="15">
        <f t="shared" si="6"/>
        <v>0.25</v>
      </c>
      <c r="R13" s="7">
        <f t="shared" si="3"/>
        <v>0.125</v>
      </c>
      <c r="T13">
        <v>0.29</v>
      </c>
      <c r="U13" s="7">
        <f t="shared" si="4"/>
        <v>0.145</v>
      </c>
      <c r="V13" s="15">
        <f t="shared" si="7"/>
        <v>0.29</v>
      </c>
      <c r="W13" s="7">
        <f t="shared" si="4"/>
        <v>0.145</v>
      </c>
    </row>
    <row r="14" spans="2:23" ht="12.75">
      <c r="B14" s="4" t="s">
        <v>38</v>
      </c>
      <c r="C14" s="5">
        <v>0</v>
      </c>
      <c r="D14"/>
      <c r="E14">
        <v>38.9</v>
      </c>
      <c r="F14" s="7">
        <f t="shared" si="0"/>
        <v>0</v>
      </c>
      <c r="G14" s="15">
        <f t="shared" si="1"/>
        <v>38.9</v>
      </c>
      <c r="H14" s="7">
        <f t="shared" si="0"/>
        <v>0</v>
      </c>
      <c r="I14"/>
      <c r="J14">
        <v>21.3</v>
      </c>
      <c r="K14" s="7">
        <f t="shared" si="2"/>
        <v>0</v>
      </c>
      <c r="L14" s="15">
        <f t="shared" si="5"/>
        <v>21.3</v>
      </c>
      <c r="M14" s="7">
        <f t="shared" si="2"/>
        <v>0</v>
      </c>
      <c r="N14"/>
      <c r="O14">
        <v>23.3</v>
      </c>
      <c r="P14" s="7">
        <f t="shared" si="3"/>
        <v>0</v>
      </c>
      <c r="Q14" s="15">
        <f t="shared" si="6"/>
        <v>23.3</v>
      </c>
      <c r="R14" s="7">
        <f t="shared" si="3"/>
        <v>0</v>
      </c>
      <c r="T14">
        <v>33.7</v>
      </c>
      <c r="U14" s="7">
        <f t="shared" si="4"/>
        <v>0</v>
      </c>
      <c r="V14" s="15">
        <f t="shared" si="7"/>
        <v>33.7</v>
      </c>
      <c r="W14" s="7">
        <f t="shared" si="4"/>
        <v>0</v>
      </c>
    </row>
    <row r="15" spans="2:23" ht="12.75">
      <c r="B15" s="4" t="s">
        <v>39</v>
      </c>
      <c r="C15" s="5">
        <v>0.1</v>
      </c>
      <c r="D15"/>
      <c r="E15">
        <v>0.22</v>
      </c>
      <c r="F15" s="7">
        <f t="shared" si="0"/>
        <v>0.022000000000000002</v>
      </c>
      <c r="G15" s="15">
        <f t="shared" si="1"/>
        <v>0.22</v>
      </c>
      <c r="H15" s="7">
        <f t="shared" si="0"/>
        <v>0.022000000000000002</v>
      </c>
      <c r="I15"/>
      <c r="J15">
        <v>0.19</v>
      </c>
      <c r="K15" s="7">
        <f t="shared" si="2"/>
        <v>0.019000000000000003</v>
      </c>
      <c r="L15" s="15">
        <f t="shared" si="5"/>
        <v>0.19</v>
      </c>
      <c r="M15" s="7">
        <f t="shared" si="2"/>
        <v>0.019000000000000003</v>
      </c>
      <c r="N15"/>
      <c r="O15">
        <v>0.41</v>
      </c>
      <c r="P15" s="7">
        <f t="shared" si="3"/>
        <v>0.041</v>
      </c>
      <c r="Q15" s="15">
        <f t="shared" si="6"/>
        <v>0.41</v>
      </c>
      <c r="R15" s="7">
        <f t="shared" si="3"/>
        <v>0.041</v>
      </c>
      <c r="T15">
        <v>0.66</v>
      </c>
      <c r="U15" s="7">
        <f t="shared" si="4"/>
        <v>0.066</v>
      </c>
      <c r="V15" s="15">
        <f t="shared" si="7"/>
        <v>0.66</v>
      </c>
      <c r="W15" s="7">
        <f t="shared" si="4"/>
        <v>0.066</v>
      </c>
    </row>
    <row r="16" spans="2:23" ht="12.75">
      <c r="B16" s="4" t="s">
        <v>40</v>
      </c>
      <c r="C16" s="5">
        <v>0.1</v>
      </c>
      <c r="D16"/>
      <c r="E16">
        <v>0.52</v>
      </c>
      <c r="F16" s="7">
        <f t="shared" si="0"/>
        <v>0.052000000000000005</v>
      </c>
      <c r="G16" s="15">
        <f t="shared" si="1"/>
        <v>0.52</v>
      </c>
      <c r="H16" s="7">
        <f t="shared" si="0"/>
        <v>0.052000000000000005</v>
      </c>
      <c r="I16"/>
      <c r="J16">
        <v>0.45</v>
      </c>
      <c r="K16" s="7">
        <f t="shared" si="2"/>
        <v>0.045000000000000005</v>
      </c>
      <c r="L16" s="15">
        <f t="shared" si="5"/>
        <v>0.45</v>
      </c>
      <c r="M16" s="7">
        <f t="shared" si="2"/>
        <v>0.045000000000000005</v>
      </c>
      <c r="N16"/>
      <c r="O16">
        <v>0.99</v>
      </c>
      <c r="P16" s="7">
        <f t="shared" si="3"/>
        <v>0.099</v>
      </c>
      <c r="Q16" s="15">
        <f t="shared" si="6"/>
        <v>0.99</v>
      </c>
      <c r="R16" s="7">
        <f t="shared" si="3"/>
        <v>0.099</v>
      </c>
      <c r="T16">
        <v>1.8</v>
      </c>
      <c r="U16" s="7">
        <f t="shared" si="4"/>
        <v>0.18000000000000002</v>
      </c>
      <c r="V16" s="15">
        <f t="shared" si="7"/>
        <v>1.8</v>
      </c>
      <c r="W16" s="7">
        <f t="shared" si="4"/>
        <v>0.18000000000000002</v>
      </c>
    </row>
    <row r="17" spans="2:23" ht="12.75">
      <c r="B17" s="4" t="s">
        <v>41</v>
      </c>
      <c r="C17" s="5">
        <v>0.1</v>
      </c>
      <c r="D17"/>
      <c r="E17">
        <v>0.38</v>
      </c>
      <c r="F17" s="7">
        <f t="shared" si="0"/>
        <v>0.038000000000000006</v>
      </c>
      <c r="G17" s="15">
        <f t="shared" si="1"/>
        <v>0.38</v>
      </c>
      <c r="H17" s="7">
        <f t="shared" si="0"/>
        <v>0.038000000000000006</v>
      </c>
      <c r="I17"/>
      <c r="J17">
        <v>0.23</v>
      </c>
      <c r="K17" s="7">
        <f t="shared" si="2"/>
        <v>0.023000000000000003</v>
      </c>
      <c r="L17" s="15">
        <f t="shared" si="5"/>
        <v>0.23</v>
      </c>
      <c r="M17" s="7">
        <f t="shared" si="2"/>
        <v>0.023000000000000003</v>
      </c>
      <c r="N17"/>
      <c r="O17">
        <v>0.6</v>
      </c>
      <c r="P17" s="7">
        <f t="shared" si="3"/>
        <v>0.06</v>
      </c>
      <c r="Q17" s="15">
        <f t="shared" si="6"/>
        <v>0.6</v>
      </c>
      <c r="R17" s="7">
        <f t="shared" si="3"/>
        <v>0.06</v>
      </c>
      <c r="T17">
        <v>1.1</v>
      </c>
      <c r="U17" s="7">
        <f t="shared" si="4"/>
        <v>0.11000000000000001</v>
      </c>
      <c r="V17" s="15">
        <f t="shared" si="7"/>
        <v>1.1</v>
      </c>
      <c r="W17" s="7">
        <f t="shared" si="4"/>
        <v>0.11000000000000001</v>
      </c>
    </row>
    <row r="18" spans="2:23" ht="12.75">
      <c r="B18" s="4" t="s">
        <v>42</v>
      </c>
      <c r="C18" s="5">
        <v>0</v>
      </c>
      <c r="D18"/>
      <c r="E18">
        <v>206</v>
      </c>
      <c r="F18" s="7">
        <f t="shared" si="0"/>
        <v>0</v>
      </c>
      <c r="G18" s="15">
        <f t="shared" si="1"/>
        <v>206</v>
      </c>
      <c r="H18" s="7">
        <f t="shared" si="0"/>
        <v>0</v>
      </c>
      <c r="I18"/>
      <c r="J18">
        <v>92.1</v>
      </c>
      <c r="K18" s="7">
        <f t="shared" si="2"/>
        <v>0</v>
      </c>
      <c r="L18" s="15">
        <f t="shared" si="5"/>
        <v>92.1</v>
      </c>
      <c r="M18" s="7">
        <f t="shared" si="2"/>
        <v>0</v>
      </c>
      <c r="N18"/>
      <c r="O18">
        <v>89.6</v>
      </c>
      <c r="P18" s="7">
        <f t="shared" si="3"/>
        <v>0</v>
      </c>
      <c r="Q18" s="15">
        <f t="shared" si="6"/>
        <v>89.6</v>
      </c>
      <c r="R18" s="7">
        <f t="shared" si="3"/>
        <v>0</v>
      </c>
      <c r="T18">
        <v>14.4</v>
      </c>
      <c r="U18" s="7">
        <f t="shared" si="4"/>
        <v>0</v>
      </c>
      <c r="V18" s="15">
        <f t="shared" si="7"/>
        <v>14.4</v>
      </c>
      <c r="W18" s="7">
        <f t="shared" si="4"/>
        <v>0</v>
      </c>
    </row>
    <row r="19" spans="2:23" ht="12.75">
      <c r="B19" s="4" t="s">
        <v>43</v>
      </c>
      <c r="C19" s="5">
        <v>0.01</v>
      </c>
      <c r="D19"/>
      <c r="E19">
        <v>2.1</v>
      </c>
      <c r="F19" s="7">
        <f t="shared" si="0"/>
        <v>0.021</v>
      </c>
      <c r="G19" s="15">
        <f t="shared" si="1"/>
        <v>2.1</v>
      </c>
      <c r="H19" s="7">
        <f t="shared" si="0"/>
        <v>0.021</v>
      </c>
      <c r="I19"/>
      <c r="J19">
        <v>4.5</v>
      </c>
      <c r="K19" s="7">
        <f t="shared" si="2"/>
        <v>0.045</v>
      </c>
      <c r="L19" s="15">
        <f t="shared" si="5"/>
        <v>4.5</v>
      </c>
      <c r="M19" s="7">
        <f t="shared" si="2"/>
        <v>0.045</v>
      </c>
      <c r="N19"/>
      <c r="O19">
        <v>8.6</v>
      </c>
      <c r="P19" s="7">
        <f t="shared" si="3"/>
        <v>0.086</v>
      </c>
      <c r="Q19" s="15">
        <f t="shared" si="6"/>
        <v>8.6</v>
      </c>
      <c r="R19" s="7">
        <f t="shared" si="3"/>
        <v>0.086</v>
      </c>
      <c r="T19">
        <v>11.9</v>
      </c>
      <c r="U19" s="7">
        <f t="shared" si="4"/>
        <v>0.11900000000000001</v>
      </c>
      <c r="V19" s="15">
        <f t="shared" si="7"/>
        <v>11.9</v>
      </c>
      <c r="W19" s="7">
        <f t="shared" si="4"/>
        <v>0.11900000000000001</v>
      </c>
    </row>
    <row r="20" spans="2:23" ht="12.75">
      <c r="B20" s="4" t="s">
        <v>44</v>
      </c>
      <c r="C20" s="5">
        <v>0</v>
      </c>
      <c r="D20"/>
      <c r="E20">
        <v>3.9</v>
      </c>
      <c r="F20" s="7">
        <f t="shared" si="0"/>
        <v>0</v>
      </c>
      <c r="G20" s="15">
        <f t="shared" si="1"/>
        <v>3.9</v>
      </c>
      <c r="H20" s="7">
        <f t="shared" si="0"/>
        <v>0</v>
      </c>
      <c r="I20"/>
      <c r="J20">
        <v>9.2</v>
      </c>
      <c r="K20" s="7">
        <f t="shared" si="2"/>
        <v>0</v>
      </c>
      <c r="L20" s="15">
        <f t="shared" si="5"/>
        <v>9.2</v>
      </c>
      <c r="M20" s="7">
        <f t="shared" si="2"/>
        <v>0</v>
      </c>
      <c r="N20"/>
      <c r="O20">
        <v>17.2</v>
      </c>
      <c r="P20" s="7">
        <f t="shared" si="3"/>
        <v>0</v>
      </c>
      <c r="Q20" s="15">
        <f t="shared" si="6"/>
        <v>17.2</v>
      </c>
      <c r="R20" s="7">
        <f t="shared" si="3"/>
        <v>0</v>
      </c>
      <c r="T20">
        <v>23.6</v>
      </c>
      <c r="U20" s="7">
        <f t="shared" si="4"/>
        <v>0</v>
      </c>
      <c r="V20" s="15">
        <f t="shared" si="7"/>
        <v>23.6</v>
      </c>
      <c r="W20" s="7">
        <f t="shared" si="4"/>
        <v>0</v>
      </c>
    </row>
    <row r="21" spans="2:23" ht="12.75">
      <c r="B21" s="4" t="s">
        <v>45</v>
      </c>
      <c r="C21" s="5">
        <v>0.001</v>
      </c>
      <c r="D21"/>
      <c r="E21">
        <v>1.4</v>
      </c>
      <c r="F21" s="7">
        <f t="shared" si="0"/>
        <v>0.0014</v>
      </c>
      <c r="G21" s="15">
        <f aca="true" t="shared" si="8" ref="G21:G35">IF(E21=0,"",IF(D21="nd",E21/2,E21))</f>
        <v>1.4</v>
      </c>
      <c r="H21" s="7">
        <f t="shared" si="0"/>
        <v>0.0014</v>
      </c>
      <c r="I21"/>
      <c r="J21">
        <v>1</v>
      </c>
      <c r="K21" s="7">
        <f t="shared" si="2"/>
        <v>0.001</v>
      </c>
      <c r="L21" s="15">
        <f t="shared" si="5"/>
        <v>1</v>
      </c>
      <c r="M21" s="7">
        <f t="shared" si="2"/>
        <v>0.001</v>
      </c>
      <c r="N21"/>
      <c r="O21">
        <v>1.8</v>
      </c>
      <c r="P21" s="7">
        <f t="shared" si="3"/>
        <v>0.0018000000000000002</v>
      </c>
      <c r="Q21" s="15">
        <f t="shared" si="6"/>
        <v>1.8</v>
      </c>
      <c r="R21" s="7">
        <f t="shared" si="3"/>
        <v>0.0018000000000000002</v>
      </c>
      <c r="T21">
        <v>2.2</v>
      </c>
      <c r="U21" s="7">
        <f t="shared" si="4"/>
        <v>0.0022</v>
      </c>
      <c r="V21" s="15">
        <f t="shared" si="7"/>
        <v>2.2</v>
      </c>
      <c r="W21" s="7">
        <f t="shared" si="4"/>
        <v>0.0022</v>
      </c>
    </row>
    <row r="22" spans="2:23" ht="12.75">
      <c r="B22" s="4" t="s">
        <v>46</v>
      </c>
      <c r="C22" s="5">
        <v>0.1</v>
      </c>
      <c r="D22"/>
      <c r="E22">
        <v>0.27</v>
      </c>
      <c r="F22" s="7">
        <f t="shared" si="0"/>
        <v>0.027000000000000003</v>
      </c>
      <c r="G22" s="15">
        <f t="shared" si="8"/>
        <v>0.27</v>
      </c>
      <c r="H22" s="7">
        <f t="shared" si="0"/>
        <v>0.027000000000000003</v>
      </c>
      <c r="I22"/>
      <c r="J22">
        <v>0.17</v>
      </c>
      <c r="K22" s="7">
        <f t="shared" si="2"/>
        <v>0.017</v>
      </c>
      <c r="L22" s="15">
        <f t="shared" si="5"/>
        <v>0.17</v>
      </c>
      <c r="M22" s="7">
        <f t="shared" si="2"/>
        <v>0.017</v>
      </c>
      <c r="N22"/>
      <c r="O22">
        <v>0.21</v>
      </c>
      <c r="P22" s="7">
        <f t="shared" si="3"/>
        <v>0.021</v>
      </c>
      <c r="Q22" s="15">
        <f t="shared" si="6"/>
        <v>0.21</v>
      </c>
      <c r="R22" s="7">
        <f t="shared" si="3"/>
        <v>0.021</v>
      </c>
      <c r="T22">
        <v>0.2</v>
      </c>
      <c r="U22" s="7">
        <f t="shared" si="4"/>
        <v>0.020000000000000004</v>
      </c>
      <c r="V22" s="15">
        <f t="shared" si="7"/>
        <v>0.2</v>
      </c>
      <c r="W22" s="7">
        <f t="shared" si="4"/>
        <v>0.020000000000000004</v>
      </c>
    </row>
    <row r="23" spans="2:23" ht="12.75">
      <c r="B23" s="4" t="s">
        <v>47</v>
      </c>
      <c r="C23" s="5">
        <v>0</v>
      </c>
      <c r="D23"/>
      <c r="E23">
        <v>8.9</v>
      </c>
      <c r="F23" s="7">
        <f t="shared" si="0"/>
        <v>0</v>
      </c>
      <c r="G23" s="15">
        <f t="shared" si="8"/>
        <v>8.9</v>
      </c>
      <c r="H23" s="7">
        <f t="shared" si="0"/>
        <v>0</v>
      </c>
      <c r="I23"/>
      <c r="J23">
        <v>6.6</v>
      </c>
      <c r="K23" s="7">
        <f t="shared" si="2"/>
        <v>0</v>
      </c>
      <c r="L23" s="15">
        <f t="shared" si="5"/>
        <v>6.6</v>
      </c>
      <c r="M23" s="7">
        <f t="shared" si="2"/>
        <v>0</v>
      </c>
      <c r="N23"/>
      <c r="O23">
        <v>7.8</v>
      </c>
      <c r="P23" s="7">
        <f t="shared" si="3"/>
        <v>0</v>
      </c>
      <c r="Q23" s="15">
        <f t="shared" si="6"/>
        <v>7.8</v>
      </c>
      <c r="R23" s="7">
        <f t="shared" si="3"/>
        <v>0</v>
      </c>
      <c r="T23">
        <v>8.4</v>
      </c>
      <c r="U23" s="7">
        <f t="shared" si="4"/>
        <v>0</v>
      </c>
      <c r="V23" s="15">
        <f t="shared" si="7"/>
        <v>8.4</v>
      </c>
      <c r="W23" s="7">
        <f t="shared" si="4"/>
        <v>0</v>
      </c>
    </row>
    <row r="24" spans="2:23" ht="12.75">
      <c r="B24" s="4" t="s">
        <v>48</v>
      </c>
      <c r="C24" s="5">
        <v>0.05</v>
      </c>
      <c r="D24"/>
      <c r="E24">
        <v>0.14</v>
      </c>
      <c r="F24" s="7">
        <f t="shared" si="0"/>
        <v>0.007000000000000001</v>
      </c>
      <c r="G24" s="15">
        <f t="shared" si="8"/>
        <v>0.14</v>
      </c>
      <c r="H24" s="7">
        <f t="shared" si="0"/>
        <v>0.007000000000000001</v>
      </c>
      <c r="I24"/>
      <c r="J24">
        <v>0.09</v>
      </c>
      <c r="K24" s="7">
        <f t="shared" si="2"/>
        <v>0.0045</v>
      </c>
      <c r="L24" s="15">
        <f t="shared" si="5"/>
        <v>0.09</v>
      </c>
      <c r="M24" s="7">
        <f t="shared" si="2"/>
        <v>0.0045</v>
      </c>
      <c r="N24"/>
      <c r="O24">
        <v>0.11</v>
      </c>
      <c r="P24" s="7">
        <f t="shared" si="3"/>
        <v>0.0055000000000000005</v>
      </c>
      <c r="Q24" s="15">
        <f t="shared" si="6"/>
        <v>0.11</v>
      </c>
      <c r="R24" s="7">
        <f t="shared" si="3"/>
        <v>0.0055000000000000005</v>
      </c>
      <c r="T24">
        <v>0.13</v>
      </c>
      <c r="U24" s="7">
        <f t="shared" si="4"/>
        <v>0.006500000000000001</v>
      </c>
      <c r="V24" s="15">
        <f t="shared" si="7"/>
        <v>0.13</v>
      </c>
      <c r="W24" s="7">
        <f t="shared" si="4"/>
        <v>0.006500000000000001</v>
      </c>
    </row>
    <row r="25" spans="2:23" ht="12.75">
      <c r="B25" s="4" t="s">
        <v>49</v>
      </c>
      <c r="C25" s="5">
        <v>0.5</v>
      </c>
      <c r="D25"/>
      <c r="E25">
        <v>0.39</v>
      </c>
      <c r="F25" s="7">
        <f t="shared" si="0"/>
        <v>0.195</v>
      </c>
      <c r="G25" s="15">
        <f t="shared" si="8"/>
        <v>0.39</v>
      </c>
      <c r="H25" s="7">
        <f t="shared" si="0"/>
        <v>0.195</v>
      </c>
      <c r="I25"/>
      <c r="J25">
        <v>0.24</v>
      </c>
      <c r="K25" s="7">
        <f t="shared" si="2"/>
        <v>0.12</v>
      </c>
      <c r="L25" s="15">
        <f t="shared" si="5"/>
        <v>0.24</v>
      </c>
      <c r="M25" s="7">
        <f t="shared" si="2"/>
        <v>0.12</v>
      </c>
      <c r="N25"/>
      <c r="O25">
        <v>0.32</v>
      </c>
      <c r="P25" s="7">
        <f t="shared" si="3"/>
        <v>0.16</v>
      </c>
      <c r="Q25" s="15">
        <f t="shared" si="6"/>
        <v>0.32</v>
      </c>
      <c r="R25" s="7">
        <f t="shared" si="3"/>
        <v>0.16</v>
      </c>
      <c r="T25">
        <v>0.38</v>
      </c>
      <c r="U25" s="7">
        <f t="shared" si="4"/>
        <v>0.19</v>
      </c>
      <c r="V25" s="15">
        <f t="shared" si="7"/>
        <v>0.38</v>
      </c>
      <c r="W25" s="7">
        <f t="shared" si="4"/>
        <v>0.19</v>
      </c>
    </row>
    <row r="26" spans="2:23" ht="12.75">
      <c r="B26" s="4" t="s">
        <v>50</v>
      </c>
      <c r="C26" s="5">
        <v>0</v>
      </c>
      <c r="D26"/>
      <c r="E26">
        <v>2.5</v>
      </c>
      <c r="F26" s="7">
        <f t="shared" si="0"/>
        <v>0</v>
      </c>
      <c r="G26" s="15">
        <f t="shared" si="8"/>
        <v>2.5</v>
      </c>
      <c r="H26" s="7">
        <f t="shared" si="0"/>
        <v>0</v>
      </c>
      <c r="I26"/>
      <c r="J26">
        <v>1.9</v>
      </c>
      <c r="K26" s="7">
        <f t="shared" si="2"/>
        <v>0</v>
      </c>
      <c r="L26" s="15">
        <f t="shared" si="5"/>
        <v>1.9</v>
      </c>
      <c r="M26" s="7">
        <f t="shared" si="2"/>
        <v>0</v>
      </c>
      <c r="N26"/>
      <c r="O26">
        <v>2.4</v>
      </c>
      <c r="P26" s="7">
        <f t="shared" si="3"/>
        <v>0</v>
      </c>
      <c r="Q26" s="15">
        <f t="shared" si="6"/>
        <v>2.4</v>
      </c>
      <c r="R26" s="7">
        <f t="shared" si="3"/>
        <v>0</v>
      </c>
      <c r="T26">
        <v>3.1</v>
      </c>
      <c r="U26" s="7">
        <f t="shared" si="4"/>
        <v>0</v>
      </c>
      <c r="V26" s="15">
        <f t="shared" si="7"/>
        <v>3.1</v>
      </c>
      <c r="W26" s="7">
        <f t="shared" si="4"/>
        <v>0</v>
      </c>
    </row>
    <row r="27" spans="2:23" ht="12.75">
      <c r="B27" s="4" t="s">
        <v>51</v>
      </c>
      <c r="C27" s="5">
        <v>0.1</v>
      </c>
      <c r="D27"/>
      <c r="E27">
        <v>0.27</v>
      </c>
      <c r="F27" s="7">
        <f t="shared" si="0"/>
        <v>0.027000000000000003</v>
      </c>
      <c r="G27" s="15">
        <f t="shared" si="8"/>
        <v>0.27</v>
      </c>
      <c r="H27" s="7">
        <f t="shared" si="0"/>
        <v>0.027000000000000003</v>
      </c>
      <c r="I27"/>
      <c r="J27">
        <v>0.16</v>
      </c>
      <c r="K27" s="7">
        <f t="shared" si="2"/>
        <v>0.016</v>
      </c>
      <c r="L27" s="15">
        <f t="shared" si="5"/>
        <v>0.16</v>
      </c>
      <c r="M27" s="7">
        <f t="shared" si="2"/>
        <v>0.016</v>
      </c>
      <c r="N27"/>
      <c r="O27">
        <v>0.22</v>
      </c>
      <c r="P27" s="7">
        <f t="shared" si="3"/>
        <v>0.022000000000000002</v>
      </c>
      <c r="Q27" s="15">
        <f t="shared" si="6"/>
        <v>0.22</v>
      </c>
      <c r="R27" s="7">
        <f t="shared" si="3"/>
        <v>0.022000000000000002</v>
      </c>
      <c r="T27">
        <v>0.32</v>
      </c>
      <c r="U27" s="7">
        <f t="shared" si="4"/>
        <v>0.032</v>
      </c>
      <c r="V27" s="15">
        <f t="shared" si="7"/>
        <v>0.32</v>
      </c>
      <c r="W27" s="7">
        <f t="shared" si="4"/>
        <v>0.032</v>
      </c>
    </row>
    <row r="28" spans="2:23" ht="12.75">
      <c r="B28" s="4" t="s">
        <v>52</v>
      </c>
      <c r="C28" s="5">
        <v>0.1</v>
      </c>
      <c r="D28"/>
      <c r="E28">
        <v>0.08</v>
      </c>
      <c r="F28" s="7">
        <f t="shared" si="0"/>
        <v>0.008</v>
      </c>
      <c r="G28" s="15">
        <f t="shared" si="8"/>
        <v>0.08</v>
      </c>
      <c r="H28" s="7">
        <f t="shared" si="0"/>
        <v>0.008</v>
      </c>
      <c r="I28"/>
      <c r="J28">
        <v>0.06</v>
      </c>
      <c r="K28" s="7">
        <f t="shared" si="2"/>
        <v>0.006</v>
      </c>
      <c r="L28" s="15">
        <f t="shared" si="5"/>
        <v>0.06</v>
      </c>
      <c r="M28" s="7">
        <f t="shared" si="2"/>
        <v>0.006</v>
      </c>
      <c r="N28"/>
      <c r="O28">
        <v>0.1</v>
      </c>
      <c r="P28" s="7">
        <f t="shared" si="3"/>
        <v>0.010000000000000002</v>
      </c>
      <c r="Q28" s="15">
        <f t="shared" si="6"/>
        <v>0.1</v>
      </c>
      <c r="R28" s="7">
        <f t="shared" si="3"/>
        <v>0.010000000000000002</v>
      </c>
      <c r="T28">
        <v>0.15</v>
      </c>
      <c r="U28" s="7">
        <f t="shared" si="4"/>
        <v>0.015</v>
      </c>
      <c r="V28" s="15">
        <f t="shared" si="7"/>
        <v>0.15</v>
      </c>
      <c r="W28" s="7">
        <f t="shared" si="4"/>
        <v>0.015</v>
      </c>
    </row>
    <row r="29" spans="2:23" ht="12.75">
      <c r="B29" s="4" t="s">
        <v>53</v>
      </c>
      <c r="C29" s="5">
        <v>0.1</v>
      </c>
      <c r="D29"/>
      <c r="E29">
        <v>0.21</v>
      </c>
      <c r="F29" s="7">
        <f t="shared" si="0"/>
        <v>0.021</v>
      </c>
      <c r="G29" s="15">
        <f t="shared" si="8"/>
        <v>0.21</v>
      </c>
      <c r="H29" s="7">
        <f t="shared" si="0"/>
        <v>0.021</v>
      </c>
      <c r="I29"/>
      <c r="J29">
        <v>0.15</v>
      </c>
      <c r="K29" s="7">
        <f t="shared" si="2"/>
        <v>0.015</v>
      </c>
      <c r="L29" s="15">
        <f t="shared" si="5"/>
        <v>0.15</v>
      </c>
      <c r="M29" s="7">
        <f t="shared" si="2"/>
        <v>0.015</v>
      </c>
      <c r="N29"/>
      <c r="O29">
        <v>0.26</v>
      </c>
      <c r="P29" s="7">
        <f t="shared" si="3"/>
        <v>0.026000000000000002</v>
      </c>
      <c r="Q29" s="15">
        <f t="shared" si="6"/>
        <v>0.26</v>
      </c>
      <c r="R29" s="7">
        <f t="shared" si="3"/>
        <v>0.026000000000000002</v>
      </c>
      <c r="T29">
        <v>0.43</v>
      </c>
      <c r="U29" s="7">
        <f t="shared" si="4"/>
        <v>0.043000000000000003</v>
      </c>
      <c r="V29" s="15">
        <f t="shared" si="7"/>
        <v>0.43</v>
      </c>
      <c r="W29" s="7">
        <f t="shared" si="4"/>
        <v>0.043000000000000003</v>
      </c>
    </row>
    <row r="30" spans="2:23" ht="12.75">
      <c r="B30" s="4" t="s">
        <v>54</v>
      </c>
      <c r="C30" s="5">
        <v>0.1</v>
      </c>
      <c r="D30"/>
      <c r="E30">
        <v>0.03</v>
      </c>
      <c r="F30" s="7">
        <f t="shared" si="0"/>
        <v>0.003</v>
      </c>
      <c r="G30" s="15">
        <f t="shared" si="8"/>
        <v>0.03</v>
      </c>
      <c r="H30" s="7">
        <f t="shared" si="0"/>
        <v>0.003</v>
      </c>
      <c r="I30"/>
      <c r="J30">
        <v>0.02</v>
      </c>
      <c r="K30" s="7">
        <f t="shared" si="2"/>
        <v>0.002</v>
      </c>
      <c r="L30" s="15">
        <f t="shared" si="5"/>
        <v>0.02</v>
      </c>
      <c r="M30" s="7">
        <f t="shared" si="2"/>
        <v>0.002</v>
      </c>
      <c r="N30"/>
      <c r="O30">
        <v>0.03</v>
      </c>
      <c r="P30" s="7">
        <f t="shared" si="3"/>
        <v>0.003</v>
      </c>
      <c r="Q30" s="15">
        <f t="shared" si="6"/>
        <v>0.03</v>
      </c>
      <c r="R30" s="7">
        <f t="shared" si="3"/>
        <v>0.003</v>
      </c>
      <c r="T30">
        <v>0.06</v>
      </c>
      <c r="U30" s="7">
        <f t="shared" si="4"/>
        <v>0.006</v>
      </c>
      <c r="V30" s="15">
        <f t="shared" si="7"/>
        <v>0.06</v>
      </c>
      <c r="W30" s="7">
        <f t="shared" si="4"/>
        <v>0.006</v>
      </c>
    </row>
    <row r="31" spans="2:23" ht="12.75">
      <c r="B31" s="4" t="s">
        <v>55</v>
      </c>
      <c r="C31" s="5">
        <v>0</v>
      </c>
      <c r="D31"/>
      <c r="E31">
        <v>1.4</v>
      </c>
      <c r="F31" s="7">
        <f t="shared" si="0"/>
        <v>0</v>
      </c>
      <c r="G31" s="15">
        <f t="shared" si="8"/>
        <v>1.4</v>
      </c>
      <c r="H31" s="7">
        <f t="shared" si="0"/>
        <v>0</v>
      </c>
      <c r="I31"/>
      <c r="J31">
        <v>0.77</v>
      </c>
      <c r="K31" s="7">
        <f t="shared" si="2"/>
        <v>0</v>
      </c>
      <c r="L31" s="15">
        <f t="shared" si="5"/>
        <v>0.77</v>
      </c>
      <c r="M31" s="7">
        <f t="shared" si="2"/>
        <v>0</v>
      </c>
      <c r="N31"/>
      <c r="O31">
        <v>1.1</v>
      </c>
      <c r="P31" s="7">
        <f t="shared" si="3"/>
        <v>0</v>
      </c>
      <c r="Q31" s="15">
        <f t="shared" si="6"/>
        <v>1.1</v>
      </c>
      <c r="R31" s="7">
        <f t="shared" si="3"/>
        <v>0</v>
      </c>
      <c r="T31">
        <v>2.3</v>
      </c>
      <c r="U31" s="7">
        <f t="shared" si="4"/>
        <v>0</v>
      </c>
      <c r="V31" s="15">
        <f t="shared" si="7"/>
        <v>2.3</v>
      </c>
      <c r="W31" s="7">
        <f t="shared" si="4"/>
        <v>0</v>
      </c>
    </row>
    <row r="32" spans="2:23" ht="12.75">
      <c r="B32" s="4" t="s">
        <v>56</v>
      </c>
      <c r="C32" s="5">
        <v>0.01</v>
      </c>
      <c r="D32"/>
      <c r="E32">
        <v>0.95</v>
      </c>
      <c r="F32" s="7">
        <f t="shared" si="0"/>
        <v>0.0095</v>
      </c>
      <c r="G32" s="15">
        <f t="shared" si="8"/>
        <v>0.95</v>
      </c>
      <c r="H32" s="7">
        <f t="shared" si="0"/>
        <v>0.0095</v>
      </c>
      <c r="I32"/>
      <c r="J32">
        <v>0.08</v>
      </c>
      <c r="K32" s="7">
        <f t="shared" si="2"/>
        <v>0.0008</v>
      </c>
      <c r="L32" s="15">
        <f t="shared" si="5"/>
        <v>0.08</v>
      </c>
      <c r="M32" s="7">
        <f t="shared" si="2"/>
        <v>0.0008</v>
      </c>
      <c r="N32"/>
      <c r="O32">
        <v>0.11</v>
      </c>
      <c r="P32" s="7">
        <f t="shared" si="3"/>
        <v>0.0011</v>
      </c>
      <c r="Q32" s="15">
        <f t="shared" si="6"/>
        <v>0.11</v>
      </c>
      <c r="R32" s="7">
        <f t="shared" si="3"/>
        <v>0.0011</v>
      </c>
      <c r="T32">
        <v>0.15</v>
      </c>
      <c r="U32" s="7">
        <f t="shared" si="4"/>
        <v>0.0015</v>
      </c>
      <c r="V32" s="15">
        <f t="shared" si="7"/>
        <v>0.15</v>
      </c>
      <c r="W32" s="7">
        <f t="shared" si="4"/>
        <v>0.0015</v>
      </c>
    </row>
    <row r="33" spans="2:23" ht="12.75">
      <c r="B33" s="4" t="s">
        <v>57</v>
      </c>
      <c r="C33" s="5">
        <v>0.01</v>
      </c>
      <c r="D33"/>
      <c r="E33">
        <v>0.3</v>
      </c>
      <c r="F33" s="7">
        <f t="shared" si="0"/>
        <v>0.003</v>
      </c>
      <c r="G33" s="15">
        <f t="shared" si="8"/>
        <v>0.3</v>
      </c>
      <c r="H33" s="7">
        <f t="shared" si="0"/>
        <v>0.003</v>
      </c>
      <c r="I33"/>
      <c r="J33">
        <v>0.02</v>
      </c>
      <c r="K33" s="7">
        <f t="shared" si="2"/>
        <v>0.0002</v>
      </c>
      <c r="L33" s="15">
        <f t="shared" si="5"/>
        <v>0.02</v>
      </c>
      <c r="M33" s="7">
        <f t="shared" si="2"/>
        <v>0.0002</v>
      </c>
      <c r="N33"/>
      <c r="O33">
        <v>0.05</v>
      </c>
      <c r="P33" s="7">
        <f t="shared" si="3"/>
        <v>0.0005</v>
      </c>
      <c r="Q33" s="15">
        <f t="shared" si="6"/>
        <v>0.05</v>
      </c>
      <c r="R33" s="7">
        <f t="shared" si="3"/>
        <v>0.0005</v>
      </c>
      <c r="T33">
        <v>0.09</v>
      </c>
      <c r="U33" s="7">
        <f t="shared" si="4"/>
        <v>0.0009</v>
      </c>
      <c r="V33" s="15">
        <f t="shared" si="7"/>
        <v>0.09</v>
      </c>
      <c r="W33" s="7">
        <f t="shared" si="4"/>
        <v>0.0009</v>
      </c>
    </row>
    <row r="34" spans="2:23" ht="12.75">
      <c r="B34" s="4" t="s">
        <v>58</v>
      </c>
      <c r="C34" s="5">
        <v>0</v>
      </c>
      <c r="D34"/>
      <c r="E34">
        <v>1.8</v>
      </c>
      <c r="F34" s="7">
        <f t="shared" si="0"/>
        <v>0</v>
      </c>
      <c r="G34" s="15">
        <f t="shared" si="8"/>
        <v>1.8</v>
      </c>
      <c r="H34" s="7">
        <f t="shared" si="0"/>
        <v>0</v>
      </c>
      <c r="I34"/>
      <c r="J34">
        <v>0.21</v>
      </c>
      <c r="K34" s="7">
        <f t="shared" si="2"/>
        <v>0</v>
      </c>
      <c r="L34" s="15">
        <f t="shared" si="5"/>
        <v>0.21</v>
      </c>
      <c r="M34" s="7">
        <f t="shared" si="2"/>
        <v>0</v>
      </c>
      <c r="N34"/>
      <c r="O34">
        <v>0.16</v>
      </c>
      <c r="P34" s="7">
        <f t="shared" si="3"/>
        <v>0</v>
      </c>
      <c r="Q34" s="15">
        <f t="shared" si="6"/>
        <v>0.16</v>
      </c>
      <c r="R34" s="7">
        <f t="shared" si="3"/>
        <v>0</v>
      </c>
      <c r="T34">
        <v>0.43</v>
      </c>
      <c r="U34" s="7">
        <f t="shared" si="4"/>
        <v>0</v>
      </c>
      <c r="V34" s="15">
        <f t="shared" si="7"/>
        <v>0.43</v>
      </c>
      <c r="W34" s="7">
        <f t="shared" si="4"/>
        <v>0</v>
      </c>
    </row>
    <row r="35" spans="2:23" ht="12.75">
      <c r="B35" s="4" t="s">
        <v>59</v>
      </c>
      <c r="C35" s="5">
        <v>0.001</v>
      </c>
      <c r="D35"/>
      <c r="E35">
        <v>0.03</v>
      </c>
      <c r="F35" s="7">
        <f t="shared" si="0"/>
        <v>3E-05</v>
      </c>
      <c r="G35" s="15">
        <f t="shared" si="8"/>
        <v>0.03</v>
      </c>
      <c r="H35" s="7">
        <f t="shared" si="0"/>
        <v>3E-05</v>
      </c>
      <c r="I35"/>
      <c r="J35">
        <v>0.04</v>
      </c>
      <c r="K35" s="7">
        <f t="shared" si="2"/>
        <v>4E-05</v>
      </c>
      <c r="L35" s="15">
        <f t="shared" si="5"/>
        <v>0.04</v>
      </c>
      <c r="M35" s="7">
        <f t="shared" si="2"/>
        <v>4E-05</v>
      </c>
      <c r="N35"/>
      <c r="O35">
        <v>0.04</v>
      </c>
      <c r="P35" s="7">
        <f t="shared" si="3"/>
        <v>4E-05</v>
      </c>
      <c r="Q35" s="15">
        <f t="shared" si="6"/>
        <v>0.04</v>
      </c>
      <c r="R35" s="7">
        <f t="shared" si="3"/>
        <v>4E-05</v>
      </c>
      <c r="T35">
        <v>0.06</v>
      </c>
      <c r="U35" s="7">
        <f t="shared" si="4"/>
        <v>6E-05</v>
      </c>
      <c r="V35" s="15">
        <f t="shared" si="7"/>
        <v>0.06</v>
      </c>
      <c r="W35" s="7">
        <f t="shared" si="4"/>
        <v>6E-05</v>
      </c>
    </row>
    <row r="36" spans="5:23" ht="12.75">
      <c r="E36" s="17"/>
      <c r="G36" s="17"/>
      <c r="I36" s="18"/>
      <c r="J36" s="16"/>
      <c r="K36" s="14"/>
      <c r="L36" s="14"/>
      <c r="M36" s="14"/>
      <c r="N36" s="18"/>
      <c r="O36" s="16"/>
      <c r="Q36" s="17"/>
      <c r="T36" s="16"/>
      <c r="U36" s="6"/>
      <c r="V36" s="17"/>
      <c r="W36" s="6"/>
    </row>
    <row r="37" spans="2:23" ht="12.75">
      <c r="B37" s="4" t="s">
        <v>60</v>
      </c>
      <c r="E37" s="17"/>
      <c r="F37" s="17">
        <v>112.8</v>
      </c>
      <c r="G37" s="17">
        <f>3.191/0.0283</f>
        <v>112.75618374558304</v>
      </c>
      <c r="H37" s="17">
        <v>112.8</v>
      </c>
      <c r="I37" s="18"/>
      <c r="J37" s="17"/>
      <c r="K37" s="17">
        <v>118.5</v>
      </c>
      <c r="L37" s="17">
        <f>3.353/0.0283</f>
        <v>118.48056537102475</v>
      </c>
      <c r="M37" s="17">
        <v>118.5</v>
      </c>
      <c r="N37" s="18"/>
      <c r="O37" s="17"/>
      <c r="P37" s="17">
        <v>115.1</v>
      </c>
      <c r="Q37" s="17">
        <f>3.257/0.0283</f>
        <v>115.08833922261485</v>
      </c>
      <c r="R37" s="17">
        <v>115.1</v>
      </c>
      <c r="T37" s="17"/>
      <c r="U37" s="17">
        <v>119.2</v>
      </c>
      <c r="V37" s="17">
        <f>3.373/0.0283</f>
        <v>119.18727915194347</v>
      </c>
      <c r="W37" s="17">
        <v>119.2</v>
      </c>
    </row>
    <row r="38" spans="2:23" ht="12.75">
      <c r="B38" s="4" t="s">
        <v>61</v>
      </c>
      <c r="E38" s="17"/>
      <c r="F38" s="17">
        <v>9.2</v>
      </c>
      <c r="G38" s="17">
        <v>9.2</v>
      </c>
      <c r="H38" s="17">
        <v>9.2</v>
      </c>
      <c r="I38" s="18"/>
      <c r="J38" s="17"/>
      <c r="K38" s="14">
        <v>8.8</v>
      </c>
      <c r="L38" s="14">
        <v>8.8</v>
      </c>
      <c r="M38" s="14">
        <v>8.8</v>
      </c>
      <c r="N38" s="18"/>
      <c r="O38" s="17"/>
      <c r="P38" s="17">
        <v>8.8</v>
      </c>
      <c r="Q38" s="14">
        <v>8.8</v>
      </c>
      <c r="R38" s="17">
        <v>8.8</v>
      </c>
      <c r="T38" s="17"/>
      <c r="U38" s="17">
        <v>9.2</v>
      </c>
      <c r="V38" s="14">
        <v>9.2</v>
      </c>
      <c r="W38" s="17">
        <v>9.2</v>
      </c>
    </row>
    <row r="39" spans="5:23" ht="12.75">
      <c r="E39" s="17"/>
      <c r="F39" s="19"/>
      <c r="G39" s="17"/>
      <c r="H39" s="19"/>
      <c r="I39" s="20"/>
      <c r="J39" s="17"/>
      <c r="K39" s="21"/>
      <c r="L39" s="14"/>
      <c r="M39" s="21"/>
      <c r="N39" s="18"/>
      <c r="O39" s="17"/>
      <c r="P39" s="17"/>
      <c r="Q39" s="17"/>
      <c r="R39" s="17"/>
      <c r="T39" s="17"/>
      <c r="U39" s="17"/>
      <c r="V39" s="17"/>
      <c r="W39" s="17"/>
    </row>
    <row r="40" spans="2:23" ht="12" customHeight="1">
      <c r="B40" s="4" t="s">
        <v>62</v>
      </c>
      <c r="C40" s="7"/>
      <c r="D40" s="11"/>
      <c r="E40" s="14"/>
      <c r="F40" s="15">
        <f>SUM(F11:F35)</f>
        <v>0.5949300000000001</v>
      </c>
      <c r="G40" s="15">
        <f>SUM(G35,G34,G31,G26,G23,G21,G20,G18,G14,G12)</f>
        <v>304.63</v>
      </c>
      <c r="H40" s="15">
        <f>SUM(H11:H35)</f>
        <v>0.5949300000000001</v>
      </c>
      <c r="I40" s="11"/>
      <c r="J40" s="14"/>
      <c r="K40" s="15">
        <f>SUM(K11:K35)</f>
        <v>0.48454</v>
      </c>
      <c r="L40" s="15">
        <f>SUM(L35,L34,L31,L26,L23,L21,L20,L18,L14,L12)</f>
        <v>149.62</v>
      </c>
      <c r="M40" s="15">
        <f>SUM(M11:M35)</f>
        <v>0.48454</v>
      </c>
      <c r="N40" s="11"/>
      <c r="O40" s="17"/>
      <c r="P40" s="15">
        <f>SUM(P11:P35)</f>
        <v>0.73194</v>
      </c>
      <c r="Q40" s="15">
        <f>SUM(Q35,Q34,Q31,Q26,Q23,Q21,Q20,Q18,Q14,Q12)</f>
        <v>157.8</v>
      </c>
      <c r="R40" s="15">
        <f>SUM(R11:R35)</f>
        <v>0.73194</v>
      </c>
      <c r="T40" s="17"/>
      <c r="U40" s="15">
        <f>SUM(U11:U35)</f>
        <v>1.00716</v>
      </c>
      <c r="V40" s="15">
        <f>SUM(V35,V34,V31,V26,V23,V21,V20,V18,V14,V12)</f>
        <v>108.39</v>
      </c>
      <c r="W40" s="15">
        <f>SUM(W11:W35)</f>
        <v>1.00716</v>
      </c>
    </row>
    <row r="41" spans="2:23" ht="12.75">
      <c r="B41" s="4" t="s">
        <v>63</v>
      </c>
      <c r="C41" s="7"/>
      <c r="D41" s="14">
        <f>(F41-H41)*2/F41*100</f>
        <v>0</v>
      </c>
      <c r="E41" s="17"/>
      <c r="F41" s="15">
        <f>(F40/F37/0.0283*(21-7)/(21-F38))</f>
        <v>0.22111406176928206</v>
      </c>
      <c r="G41" s="15">
        <f>(G40/G37/0.0283*(21-7)/(21-G38))</f>
        <v>113.26399991501522</v>
      </c>
      <c r="H41" s="15">
        <f>(H40/H37/0.0283*(21-7)/(21-H38))</f>
        <v>0.22111406176928206</v>
      </c>
      <c r="I41" s="14"/>
      <c r="J41" s="17"/>
      <c r="K41" s="15">
        <f>(K40/K37/0.0283*(21-7)/(21-K38))</f>
        <v>0.16580325571311638</v>
      </c>
      <c r="L41" s="15">
        <f>(L40/L37/0.0283*(21-7)/(21-L38))</f>
        <v>51.206406790102335</v>
      </c>
      <c r="M41" s="15">
        <f>(M40/M37/0.0283*(21-7)/(21-M38))</f>
        <v>0.16580325571311638</v>
      </c>
      <c r="N41" s="14"/>
      <c r="O41" s="17"/>
      <c r="P41" s="15">
        <f>(P40/P37/0.0283*(21-7)/(21-P38))</f>
        <v>0.2578587823588595</v>
      </c>
      <c r="Q41" s="15">
        <f>(Q40/Q37/0.0283*(21-7)/(21-Q38))</f>
        <v>55.59777931013656</v>
      </c>
      <c r="R41" s="15">
        <f>(R40/R37/0.0283*(21-7)/(21-R38))</f>
        <v>0.2578587823588595</v>
      </c>
      <c r="S41" s="14"/>
      <c r="T41" s="17"/>
      <c r="U41" s="15">
        <f>(U40/U37/0.0283*(21-7)/(21-U38))</f>
        <v>0.35422711872445845</v>
      </c>
      <c r="V41" s="15">
        <f>(V40/V37/0.0283*(21-7)/(21-V38))</f>
        <v>38.12579457004025</v>
      </c>
      <c r="W41" s="15">
        <f>(W40/W37/0.0283*(21-7)/(21-W38))</f>
        <v>0.35422711872445845</v>
      </c>
    </row>
    <row r="42" spans="5:17" ht="12.75">
      <c r="E42" s="15"/>
      <c r="G42" s="15"/>
      <c r="I42" s="22"/>
      <c r="J42" s="15"/>
      <c r="K42" s="15"/>
      <c r="L42" s="15"/>
      <c r="M42" s="15"/>
      <c r="N42" s="22"/>
      <c r="O42" s="15"/>
      <c r="Q42" s="15"/>
    </row>
    <row r="43" spans="2:36" s="17" customFormat="1" ht="12.75">
      <c r="B43" s="17" t="s">
        <v>74</v>
      </c>
      <c r="C43" s="15">
        <f>AVERAGE(H41,M41,R41,W41)</f>
        <v>0.2497508046414291</v>
      </c>
      <c r="D43" s="18"/>
      <c r="F43" s="7"/>
      <c r="H43" s="7"/>
      <c r="I43" s="18"/>
      <c r="N43" s="18"/>
      <c r="P43" s="6"/>
      <c r="R43" s="6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2:3" ht="12.75">
      <c r="B44" s="4" t="s">
        <v>75</v>
      </c>
      <c r="C44" s="15">
        <f>AVERAGE(G41,L41,Q41,V41)</f>
        <v>64.54849514632359</v>
      </c>
    </row>
    <row r="45" spans="5:18" ht="12.75">
      <c r="E45" s="4"/>
      <c r="G45" s="4"/>
      <c r="I45" s="5"/>
      <c r="J45" s="4"/>
      <c r="K45" s="4"/>
      <c r="L45" s="4"/>
      <c r="M45" s="4"/>
      <c r="N45" s="5"/>
      <c r="O45" s="4"/>
      <c r="P45" s="4"/>
      <c r="Q45" s="4"/>
      <c r="R45" s="4"/>
    </row>
    <row r="46" spans="5:18" ht="12.75">
      <c r="E46" s="4"/>
      <c r="G46" s="4"/>
      <c r="I46" s="5"/>
      <c r="J46" s="4"/>
      <c r="K46" s="4"/>
      <c r="L46" s="4"/>
      <c r="M46" s="4"/>
      <c r="N46" s="5"/>
      <c r="O46" s="4"/>
      <c r="P46" s="4"/>
      <c r="Q46" s="4"/>
      <c r="R46" s="4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spans="5:17" ht="12.75">
      <c r="E82" s="17"/>
      <c r="G82" s="17"/>
      <c r="I82" s="18"/>
      <c r="J82" s="17"/>
      <c r="K82" s="14"/>
      <c r="L82" s="14"/>
      <c r="M82" s="14"/>
      <c r="N82" s="18"/>
      <c r="O82" s="16"/>
      <c r="Q82" s="17"/>
    </row>
    <row r="83" spans="5:18" ht="12.75">
      <c r="E83" s="17"/>
      <c r="G83" s="17"/>
      <c r="I83" s="18"/>
      <c r="J83" s="17"/>
      <c r="K83" s="14"/>
      <c r="L83" s="14"/>
      <c r="M83" s="14"/>
      <c r="N83" s="18"/>
      <c r="O83" s="17"/>
      <c r="P83" s="17"/>
      <c r="Q83" s="17"/>
      <c r="R83" s="17"/>
    </row>
    <row r="84" spans="5:18" ht="12.75">
      <c r="E84" s="17"/>
      <c r="G84" s="17"/>
      <c r="I84" s="18"/>
      <c r="J84" s="17"/>
      <c r="K84" s="14"/>
      <c r="L84" s="14"/>
      <c r="M84" s="14"/>
      <c r="N84" s="18"/>
      <c r="O84" s="17"/>
      <c r="P84" s="17"/>
      <c r="Q84" s="17"/>
      <c r="R84" s="17"/>
    </row>
    <row r="85" spans="5:18" ht="12.75">
      <c r="E85" s="17"/>
      <c r="F85" s="19"/>
      <c r="G85" s="17"/>
      <c r="H85" s="19"/>
      <c r="I85" s="20"/>
      <c r="J85" s="17"/>
      <c r="K85" s="21"/>
      <c r="L85" s="14"/>
      <c r="M85" s="21"/>
      <c r="N85" s="18"/>
      <c r="O85" s="17"/>
      <c r="P85" s="17"/>
      <c r="Q85" s="17"/>
      <c r="R85" s="17"/>
    </row>
    <row r="86" spans="3:18" ht="12.75">
      <c r="C86" s="7"/>
      <c r="D86" s="11"/>
      <c r="E86" s="14"/>
      <c r="G86" s="14"/>
      <c r="I86" s="11"/>
      <c r="J86" s="14"/>
      <c r="K86" s="14"/>
      <c r="L86" s="14"/>
      <c r="M86" s="14"/>
      <c r="N86" s="11"/>
      <c r="O86" s="17"/>
      <c r="P86" s="7"/>
      <c r="Q86" s="7"/>
      <c r="R86" s="7"/>
    </row>
    <row r="87" spans="3:18" ht="12.75">
      <c r="C87" s="7"/>
      <c r="D87" s="11"/>
      <c r="E87" s="17"/>
      <c r="G87" s="15"/>
      <c r="I87" s="11"/>
      <c r="J87" s="17"/>
      <c r="K87" s="7"/>
      <c r="L87" s="14"/>
      <c r="M87" s="7"/>
      <c r="N87" s="11"/>
      <c r="O87" s="17"/>
      <c r="P87" s="15"/>
      <c r="Q87" s="15"/>
      <c r="R87" s="15"/>
    </row>
    <row r="104" ht="12.75"/>
    <row r="105" spans="3:18" ht="12.75">
      <c r="C105" s="5"/>
      <c r="E105" s="8"/>
      <c r="F105" s="11"/>
      <c r="G105" s="8"/>
      <c r="H105" s="11"/>
      <c r="J105" s="8"/>
      <c r="K105" s="8"/>
      <c r="L105" s="8"/>
      <c r="M105" s="8"/>
      <c r="O105" s="8"/>
      <c r="P105" s="8"/>
      <c r="Q105" s="8"/>
      <c r="R105" s="8"/>
    </row>
    <row r="106" spans="3:18" ht="12.75">
      <c r="C106" s="5"/>
      <c r="E106" s="8"/>
      <c r="G106" s="8"/>
      <c r="J106" s="8"/>
      <c r="K106" s="7"/>
      <c r="L106" s="8"/>
      <c r="M106" s="7"/>
      <c r="O106" s="8"/>
      <c r="P106" s="7"/>
      <c r="Q106" s="8"/>
      <c r="R106" s="7"/>
    </row>
    <row r="107" ht="12.75">
      <c r="O107" s="14"/>
    </row>
    <row r="108" spans="3:18" ht="12.75">
      <c r="C108" s="5"/>
      <c r="E108" s="14"/>
      <c r="F108" s="17"/>
      <c r="G108" s="14"/>
      <c r="H108" s="17"/>
      <c r="I108" s="11"/>
      <c r="J108" s="16"/>
      <c r="K108" s="14"/>
      <c r="L108" s="14"/>
      <c r="M108" s="14"/>
      <c r="N108" s="11"/>
      <c r="O108" s="14"/>
      <c r="P108" s="7"/>
      <c r="Q108" s="14"/>
      <c r="R108" s="7"/>
    </row>
    <row r="109" spans="3:18" ht="12.75">
      <c r="C109" s="5"/>
      <c r="E109" s="14"/>
      <c r="F109" s="17"/>
      <c r="G109" s="14"/>
      <c r="H109" s="17"/>
      <c r="I109" s="11"/>
      <c r="J109" s="16"/>
      <c r="K109" s="14"/>
      <c r="L109" s="14"/>
      <c r="M109" s="14"/>
      <c r="N109" s="11"/>
      <c r="O109" s="21"/>
      <c r="P109" s="7"/>
      <c r="Q109" s="14"/>
      <c r="R109" s="7"/>
    </row>
    <row r="110" spans="3:18" ht="12.75">
      <c r="C110" s="5"/>
      <c r="E110" s="14"/>
      <c r="F110" s="17"/>
      <c r="G110" s="14"/>
      <c r="H110" s="17"/>
      <c r="I110" s="11"/>
      <c r="J110" s="16"/>
      <c r="K110" s="14"/>
      <c r="L110" s="14"/>
      <c r="M110" s="14"/>
      <c r="N110" s="11"/>
      <c r="O110" s="21"/>
      <c r="P110" s="7"/>
      <c r="Q110" s="14"/>
      <c r="R110" s="7"/>
    </row>
    <row r="111" spans="3:18" ht="12.75">
      <c r="C111" s="5"/>
      <c r="E111" s="14"/>
      <c r="F111" s="17"/>
      <c r="G111" s="14"/>
      <c r="H111" s="17"/>
      <c r="I111" s="11"/>
      <c r="J111" s="16"/>
      <c r="K111" s="14"/>
      <c r="L111" s="14"/>
      <c r="M111" s="14"/>
      <c r="N111" s="11"/>
      <c r="O111" s="21"/>
      <c r="P111" s="7"/>
      <c r="Q111" s="14"/>
      <c r="R111" s="7"/>
    </row>
    <row r="112" spans="3:18" ht="12.75">
      <c r="C112" s="5"/>
      <c r="E112" s="14"/>
      <c r="F112" s="17"/>
      <c r="G112" s="14"/>
      <c r="H112" s="17"/>
      <c r="I112" s="11"/>
      <c r="J112" s="16"/>
      <c r="K112" s="14"/>
      <c r="L112" s="14"/>
      <c r="M112" s="14"/>
      <c r="N112" s="11"/>
      <c r="O112" s="21"/>
      <c r="P112" s="7"/>
      <c r="Q112" s="14"/>
      <c r="R112" s="7"/>
    </row>
    <row r="113" spans="3:18" ht="12.75">
      <c r="C113" s="5"/>
      <c r="E113" s="14"/>
      <c r="F113" s="17"/>
      <c r="G113" s="14"/>
      <c r="H113" s="17"/>
      <c r="I113" s="11"/>
      <c r="J113" s="16"/>
      <c r="K113" s="14"/>
      <c r="L113" s="14"/>
      <c r="M113" s="14"/>
      <c r="N113" s="11"/>
      <c r="O113" s="21"/>
      <c r="P113" s="7"/>
      <c r="Q113" s="14"/>
      <c r="R113" s="7"/>
    </row>
    <row r="114" spans="3:18" ht="12.75">
      <c r="C114" s="5"/>
      <c r="E114" s="14"/>
      <c r="F114" s="17"/>
      <c r="G114" s="14"/>
      <c r="H114" s="17"/>
      <c r="I114" s="11"/>
      <c r="J114" s="16"/>
      <c r="K114" s="14"/>
      <c r="L114" s="14"/>
      <c r="M114" s="14"/>
      <c r="N114" s="11"/>
      <c r="O114" s="21"/>
      <c r="P114" s="7"/>
      <c r="Q114" s="14"/>
      <c r="R114" s="7"/>
    </row>
    <row r="115" spans="3:18" ht="12.75">
      <c r="C115" s="5"/>
      <c r="E115" s="14"/>
      <c r="F115" s="17"/>
      <c r="G115" s="14"/>
      <c r="H115" s="17"/>
      <c r="I115" s="11"/>
      <c r="J115" s="16"/>
      <c r="K115" s="14"/>
      <c r="L115" s="14"/>
      <c r="M115" s="14"/>
      <c r="N115" s="11"/>
      <c r="O115" s="21"/>
      <c r="P115" s="7"/>
      <c r="Q115" s="14"/>
      <c r="R115" s="7"/>
    </row>
    <row r="116" spans="3:18" ht="12.75">
      <c r="C116" s="5"/>
      <c r="E116" s="14"/>
      <c r="F116" s="17"/>
      <c r="G116" s="14"/>
      <c r="H116" s="17"/>
      <c r="I116" s="11"/>
      <c r="J116" s="16"/>
      <c r="K116" s="14"/>
      <c r="L116" s="14"/>
      <c r="M116" s="14"/>
      <c r="N116" s="11"/>
      <c r="O116" s="21"/>
      <c r="P116" s="7"/>
      <c r="Q116" s="14"/>
      <c r="R116" s="7"/>
    </row>
    <row r="117" spans="3:18" ht="12.75">
      <c r="C117" s="5"/>
      <c r="E117" s="14"/>
      <c r="F117" s="17"/>
      <c r="G117" s="14"/>
      <c r="H117" s="17"/>
      <c r="I117" s="11"/>
      <c r="J117" s="16"/>
      <c r="K117" s="14"/>
      <c r="L117" s="14"/>
      <c r="M117" s="14"/>
      <c r="N117" s="11"/>
      <c r="O117" s="21"/>
      <c r="P117" s="7"/>
      <c r="Q117" s="14"/>
      <c r="R117" s="7"/>
    </row>
    <row r="118" spans="3:18" ht="12.75">
      <c r="C118" s="5"/>
      <c r="E118" s="14"/>
      <c r="F118" s="17"/>
      <c r="G118" s="14"/>
      <c r="H118" s="17"/>
      <c r="I118" s="11"/>
      <c r="J118" s="16"/>
      <c r="K118" s="14"/>
      <c r="L118" s="14"/>
      <c r="M118" s="14"/>
      <c r="N118" s="11"/>
      <c r="O118" s="21"/>
      <c r="P118" s="7"/>
      <c r="Q118" s="14"/>
      <c r="R118" s="7"/>
    </row>
    <row r="119" spans="3:18" ht="12.75">
      <c r="C119" s="5"/>
      <c r="E119" s="14"/>
      <c r="F119" s="17"/>
      <c r="G119" s="14"/>
      <c r="H119" s="17"/>
      <c r="I119" s="11"/>
      <c r="J119" s="16"/>
      <c r="K119" s="14"/>
      <c r="L119" s="14"/>
      <c r="M119" s="14"/>
      <c r="N119" s="11"/>
      <c r="O119" s="21"/>
      <c r="P119" s="7"/>
      <c r="Q119" s="14"/>
      <c r="R119" s="7"/>
    </row>
    <row r="120" spans="3:18" ht="12.75">
      <c r="C120" s="5"/>
      <c r="E120" s="14"/>
      <c r="F120" s="17"/>
      <c r="G120" s="14"/>
      <c r="H120" s="17"/>
      <c r="I120" s="11"/>
      <c r="J120" s="16"/>
      <c r="K120" s="14"/>
      <c r="L120" s="14"/>
      <c r="M120" s="14"/>
      <c r="N120" s="11"/>
      <c r="O120" s="21"/>
      <c r="P120" s="7"/>
      <c r="Q120" s="14"/>
      <c r="R120" s="7"/>
    </row>
    <row r="121" spans="3:18" ht="12.75">
      <c r="C121" s="5"/>
      <c r="E121" s="14"/>
      <c r="F121" s="17"/>
      <c r="G121" s="14"/>
      <c r="H121" s="17"/>
      <c r="I121" s="11"/>
      <c r="J121" s="16"/>
      <c r="K121" s="14"/>
      <c r="L121" s="14"/>
      <c r="M121" s="14"/>
      <c r="N121" s="11"/>
      <c r="O121" s="21"/>
      <c r="P121" s="7"/>
      <c r="Q121" s="14"/>
      <c r="R121" s="7"/>
    </row>
    <row r="122" spans="3:18" ht="12.75">
      <c r="C122" s="5"/>
      <c r="E122" s="14"/>
      <c r="F122" s="17"/>
      <c r="G122" s="14"/>
      <c r="H122" s="17"/>
      <c r="I122" s="11"/>
      <c r="J122" s="16"/>
      <c r="K122" s="14"/>
      <c r="L122" s="14"/>
      <c r="M122" s="14"/>
      <c r="N122" s="11"/>
      <c r="O122" s="21"/>
      <c r="P122" s="7"/>
      <c r="Q122" s="14"/>
      <c r="R122" s="7"/>
    </row>
    <row r="123" spans="3:18" ht="12.75">
      <c r="C123" s="5"/>
      <c r="E123" s="14"/>
      <c r="F123" s="17"/>
      <c r="G123" s="14"/>
      <c r="H123" s="17"/>
      <c r="I123" s="11"/>
      <c r="J123" s="16"/>
      <c r="K123" s="14"/>
      <c r="L123" s="14"/>
      <c r="M123" s="14"/>
      <c r="N123" s="11"/>
      <c r="O123" s="21"/>
      <c r="P123" s="7"/>
      <c r="Q123" s="14"/>
      <c r="R123" s="7"/>
    </row>
    <row r="124" spans="3:18" ht="12.75">
      <c r="C124" s="5"/>
      <c r="E124" s="14"/>
      <c r="F124" s="17"/>
      <c r="G124" s="14"/>
      <c r="H124" s="17"/>
      <c r="I124" s="11"/>
      <c r="J124" s="16"/>
      <c r="K124" s="14"/>
      <c r="L124" s="14"/>
      <c r="M124" s="14"/>
      <c r="N124" s="11"/>
      <c r="O124" s="21"/>
      <c r="P124" s="7"/>
      <c r="Q124" s="14"/>
      <c r="R124" s="7"/>
    </row>
    <row r="125" spans="3:18" ht="12.75">
      <c r="C125" s="5"/>
      <c r="E125" s="14"/>
      <c r="F125" s="17"/>
      <c r="G125" s="14"/>
      <c r="H125" s="17"/>
      <c r="I125" s="11"/>
      <c r="J125" s="16"/>
      <c r="K125" s="14"/>
      <c r="L125" s="14"/>
      <c r="M125" s="14"/>
      <c r="N125" s="11"/>
      <c r="O125" s="21"/>
      <c r="P125" s="7"/>
      <c r="Q125" s="14"/>
      <c r="R125" s="7"/>
    </row>
    <row r="126" spans="3:18" ht="12.75">
      <c r="C126" s="5"/>
      <c r="E126" s="14"/>
      <c r="F126" s="17"/>
      <c r="G126" s="14"/>
      <c r="H126" s="17"/>
      <c r="I126" s="11"/>
      <c r="J126" s="16"/>
      <c r="K126" s="14"/>
      <c r="L126" s="14"/>
      <c r="M126" s="14"/>
      <c r="N126" s="11"/>
      <c r="O126" s="21"/>
      <c r="P126" s="7"/>
      <c r="Q126" s="14"/>
      <c r="R126" s="7"/>
    </row>
    <row r="127" spans="3:18" ht="12.75">
      <c r="C127" s="5"/>
      <c r="E127" s="14"/>
      <c r="F127" s="17"/>
      <c r="G127" s="14"/>
      <c r="H127" s="17"/>
      <c r="I127" s="11"/>
      <c r="J127" s="16"/>
      <c r="K127" s="14"/>
      <c r="L127" s="14"/>
      <c r="M127" s="14"/>
      <c r="N127" s="11"/>
      <c r="O127" s="21"/>
      <c r="P127" s="7"/>
      <c r="Q127" s="14"/>
      <c r="R127" s="7"/>
    </row>
    <row r="128" spans="3:18" ht="12.75">
      <c r="C128" s="5"/>
      <c r="E128" s="14"/>
      <c r="F128" s="17"/>
      <c r="G128" s="14"/>
      <c r="H128" s="17"/>
      <c r="I128" s="11"/>
      <c r="J128" s="16"/>
      <c r="K128" s="14"/>
      <c r="L128" s="14"/>
      <c r="M128" s="14"/>
      <c r="N128" s="11"/>
      <c r="O128" s="21"/>
      <c r="P128" s="7"/>
      <c r="Q128" s="14"/>
      <c r="R128" s="7"/>
    </row>
    <row r="129" spans="3:18" ht="12.75">
      <c r="C129" s="5"/>
      <c r="E129" s="14"/>
      <c r="F129" s="17"/>
      <c r="G129" s="14"/>
      <c r="H129" s="17"/>
      <c r="I129" s="11"/>
      <c r="J129" s="16"/>
      <c r="K129" s="14"/>
      <c r="L129" s="14"/>
      <c r="M129" s="14"/>
      <c r="N129" s="11"/>
      <c r="O129" s="21"/>
      <c r="P129" s="7"/>
      <c r="Q129" s="14"/>
      <c r="R129" s="7"/>
    </row>
    <row r="130" spans="3:18" ht="12.75">
      <c r="C130" s="5"/>
      <c r="E130" s="14"/>
      <c r="F130" s="17"/>
      <c r="G130" s="14"/>
      <c r="H130" s="17"/>
      <c r="I130" s="11"/>
      <c r="J130" s="16"/>
      <c r="K130" s="14"/>
      <c r="L130" s="14"/>
      <c r="M130" s="14"/>
      <c r="N130" s="11"/>
      <c r="O130" s="21"/>
      <c r="P130" s="7"/>
      <c r="Q130" s="14"/>
      <c r="R130" s="7"/>
    </row>
    <row r="131" spans="3:18" ht="12.75">
      <c r="C131" s="5"/>
      <c r="E131" s="14"/>
      <c r="F131" s="17"/>
      <c r="G131" s="14"/>
      <c r="H131" s="17"/>
      <c r="I131" s="11"/>
      <c r="J131" s="16"/>
      <c r="K131" s="14"/>
      <c r="L131" s="14"/>
      <c r="M131" s="14"/>
      <c r="N131" s="11"/>
      <c r="O131" s="21"/>
      <c r="P131" s="7"/>
      <c r="Q131" s="14"/>
      <c r="R131" s="7"/>
    </row>
    <row r="132" spans="3:18" ht="12.75">
      <c r="C132" s="5"/>
      <c r="E132" s="14"/>
      <c r="F132" s="17"/>
      <c r="G132" s="14"/>
      <c r="H132" s="17"/>
      <c r="I132" s="11"/>
      <c r="J132" s="16"/>
      <c r="K132" s="14"/>
      <c r="L132" s="14"/>
      <c r="M132" s="14"/>
      <c r="N132" s="11"/>
      <c r="O132" s="21"/>
      <c r="P132" s="7"/>
      <c r="Q132" s="14"/>
      <c r="R132" s="7"/>
    </row>
    <row r="133" spans="5:17" ht="12.75">
      <c r="E133" s="17"/>
      <c r="G133" s="17"/>
      <c r="I133" s="18"/>
      <c r="J133" s="17"/>
      <c r="K133" s="14"/>
      <c r="L133" s="14"/>
      <c r="M133" s="14"/>
      <c r="N133" s="18"/>
      <c r="O133" s="16"/>
      <c r="Q133" s="17"/>
    </row>
    <row r="134" spans="5:18" ht="12.75">
      <c r="E134" s="17"/>
      <c r="F134" s="17"/>
      <c r="G134" s="17"/>
      <c r="H134" s="17"/>
      <c r="I134" s="18"/>
      <c r="J134" s="17"/>
      <c r="K134" s="14"/>
      <c r="L134" s="14"/>
      <c r="M134" s="14"/>
      <c r="N134" s="18"/>
      <c r="O134" s="17"/>
      <c r="P134" s="17"/>
      <c r="Q134" s="17"/>
      <c r="R134" s="17"/>
    </row>
    <row r="135" spans="5:18" ht="12.75">
      <c r="E135" s="17"/>
      <c r="F135" s="17"/>
      <c r="G135" s="17"/>
      <c r="H135" s="17"/>
      <c r="I135" s="18"/>
      <c r="J135" s="17"/>
      <c r="K135" s="14"/>
      <c r="L135" s="14"/>
      <c r="M135" s="14"/>
      <c r="N135" s="18"/>
      <c r="O135" s="17"/>
      <c r="P135" s="17"/>
      <c r="Q135" s="17"/>
      <c r="R135" s="17"/>
    </row>
    <row r="136" spans="5:18" ht="12.75">
      <c r="E136" s="17"/>
      <c r="F136" s="16"/>
      <c r="G136" s="17"/>
      <c r="H136" s="16"/>
      <c r="I136" s="20"/>
      <c r="J136" s="17"/>
      <c r="K136" s="21"/>
      <c r="L136" s="14"/>
      <c r="M136" s="21"/>
      <c r="N136" s="18"/>
      <c r="O136" s="17"/>
      <c r="P136" s="17"/>
      <c r="Q136" s="17"/>
      <c r="R136" s="17"/>
    </row>
    <row r="137" spans="3:18" ht="12.75">
      <c r="C137" s="7"/>
      <c r="D137" s="11"/>
      <c r="E137" s="14"/>
      <c r="F137" s="17"/>
      <c r="G137" s="14"/>
      <c r="H137" s="17"/>
      <c r="I137" s="11"/>
      <c r="J137" s="14"/>
      <c r="K137" s="14"/>
      <c r="L137" s="14"/>
      <c r="M137" s="14"/>
      <c r="N137" s="11"/>
      <c r="O137" s="17"/>
      <c r="P137" s="7"/>
      <c r="Q137" s="7"/>
      <c r="R137" s="7"/>
    </row>
    <row r="138" spans="3:18" ht="12.75">
      <c r="C138" s="7"/>
      <c r="D138" s="11"/>
      <c r="E138" s="17"/>
      <c r="G138" s="15"/>
      <c r="I138" s="11"/>
      <c r="J138" s="17"/>
      <c r="K138" s="7"/>
      <c r="L138" s="14"/>
      <c r="M138" s="7"/>
      <c r="N138" s="11"/>
      <c r="O138" s="17"/>
      <c r="P138" s="15"/>
      <c r="Q138" s="15"/>
      <c r="R138" s="15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5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7"/>
  <sheetViews>
    <sheetView workbookViewId="0" topLeftCell="A22">
      <selection activeCell="G44" sqref="G44"/>
    </sheetView>
  </sheetViews>
  <sheetFormatPr defaultColWidth="9.140625" defaultRowHeight="12.75"/>
  <cols>
    <col min="1" max="1" width="1.57421875" style="4" customWidth="1"/>
    <col min="2" max="2" width="25.00390625" style="4" customWidth="1"/>
    <col min="3" max="3" width="7.8515625" style="4" customWidth="1"/>
    <col min="4" max="4" width="3.7109375" style="5" customWidth="1"/>
    <col min="5" max="5" width="8.7109375" style="6" customWidth="1"/>
    <col min="6" max="6" width="7.7109375" style="7" customWidth="1"/>
    <col min="7" max="7" width="8.57421875" style="6" customWidth="1"/>
    <col min="8" max="8" width="7.7109375" style="7" customWidth="1"/>
    <col min="9" max="9" width="3.57421875" style="8" customWidth="1"/>
    <col min="10" max="10" width="7.00390625" style="6" customWidth="1"/>
    <col min="11" max="11" width="8.28125" style="6" customWidth="1"/>
    <col min="12" max="12" width="9.140625" style="6" customWidth="1"/>
    <col min="13" max="13" width="8.28125" style="6" customWidth="1"/>
    <col min="14" max="14" width="3.57421875" style="8" customWidth="1"/>
    <col min="15" max="15" width="7.8515625" style="6" customWidth="1"/>
    <col min="16" max="18" width="8.7109375" style="6" customWidth="1"/>
    <col min="19" max="19" width="7.421875" style="0" customWidth="1"/>
    <col min="20" max="31" width="10.8515625" style="0" customWidth="1"/>
    <col min="32" max="16384" width="10.8515625" style="4" customWidth="1"/>
  </cols>
  <sheetData>
    <row r="1" ht="12.75">
      <c r="A1" s="53" t="s">
        <v>83</v>
      </c>
    </row>
    <row r="2" ht="12.75">
      <c r="A2" s="4" t="s">
        <v>319</v>
      </c>
    </row>
    <row r="3" spans="1:3" ht="12.75">
      <c r="A3" s="4" t="s">
        <v>23</v>
      </c>
      <c r="C3" s="9" t="s">
        <v>160</v>
      </c>
    </row>
    <row r="4" spans="1:18" ht="12.75">
      <c r="A4" s="4" t="s">
        <v>24</v>
      </c>
      <c r="C4" s="9" t="s">
        <v>145</v>
      </c>
      <c r="E4" s="10"/>
      <c r="F4" s="11"/>
      <c r="G4" s="10"/>
      <c r="H4" s="11"/>
      <c r="J4" s="10"/>
      <c r="K4" s="10"/>
      <c r="L4" s="10"/>
      <c r="M4" s="10"/>
      <c r="O4" s="10"/>
      <c r="P4" s="10"/>
      <c r="Q4" s="10"/>
      <c r="R4" s="10"/>
    </row>
    <row r="5" spans="1:3" ht="12.75">
      <c r="A5" s="4" t="s">
        <v>25</v>
      </c>
      <c r="C5" s="9" t="s">
        <v>164</v>
      </c>
    </row>
    <row r="6" spans="3:17" ht="12.75">
      <c r="C6" s="5"/>
      <c r="E6" s="8"/>
      <c r="G6" s="8"/>
      <c r="J6" s="8"/>
      <c r="L6" s="8"/>
      <c r="O6" s="8"/>
      <c r="Q6" s="8"/>
    </row>
    <row r="7" spans="3:18" ht="12.75">
      <c r="C7" s="5" t="s">
        <v>26</v>
      </c>
      <c r="E7" s="12" t="s">
        <v>165</v>
      </c>
      <c r="F7" s="12"/>
      <c r="G7" s="12"/>
      <c r="H7" s="12"/>
      <c r="I7" s="13"/>
      <c r="J7" s="12" t="s">
        <v>166</v>
      </c>
      <c r="K7" s="12"/>
      <c r="L7" s="12"/>
      <c r="M7" s="12"/>
      <c r="N7" s="13"/>
      <c r="O7" s="12" t="s">
        <v>167</v>
      </c>
      <c r="P7" s="12"/>
      <c r="Q7" s="12"/>
      <c r="R7" s="12"/>
    </row>
    <row r="8" spans="3:18" ht="12.75">
      <c r="C8" s="5" t="s">
        <v>30</v>
      </c>
      <c r="E8" s="8" t="s">
        <v>31</v>
      </c>
      <c r="F8" s="11" t="s">
        <v>32</v>
      </c>
      <c r="G8" s="8" t="s">
        <v>31</v>
      </c>
      <c r="H8" s="11" t="s">
        <v>32</v>
      </c>
      <c r="J8" s="8" t="s">
        <v>31</v>
      </c>
      <c r="K8" s="8" t="s">
        <v>33</v>
      </c>
      <c r="L8" s="8" t="s">
        <v>31</v>
      </c>
      <c r="M8" s="8" t="s">
        <v>33</v>
      </c>
      <c r="O8" s="8" t="s">
        <v>31</v>
      </c>
      <c r="P8" s="8" t="s">
        <v>33</v>
      </c>
      <c r="Q8" s="8" t="s">
        <v>31</v>
      </c>
      <c r="R8" s="8" t="s">
        <v>33</v>
      </c>
    </row>
    <row r="9" spans="3:18" ht="12.75">
      <c r="C9" s="5"/>
      <c r="E9" s="8" t="s">
        <v>208</v>
      </c>
      <c r="F9" s="8" t="s">
        <v>208</v>
      </c>
      <c r="G9" s="8" t="s">
        <v>73</v>
      </c>
      <c r="H9" s="11" t="s">
        <v>73</v>
      </c>
      <c r="J9" s="8" t="s">
        <v>208</v>
      </c>
      <c r="K9" s="8" t="s">
        <v>208</v>
      </c>
      <c r="L9" s="8" t="s">
        <v>73</v>
      </c>
      <c r="M9" s="11" t="s">
        <v>73</v>
      </c>
      <c r="O9" s="8" t="s">
        <v>208</v>
      </c>
      <c r="P9" s="8" t="s">
        <v>208</v>
      </c>
      <c r="Q9" s="8" t="s">
        <v>73</v>
      </c>
      <c r="R9" s="11" t="s">
        <v>73</v>
      </c>
    </row>
    <row r="10" spans="1:15" ht="13.5" customHeight="1">
      <c r="A10" s="4" t="s">
        <v>34</v>
      </c>
      <c r="O10" s="14"/>
    </row>
    <row r="11" spans="2:18" ht="12.75">
      <c r="B11" s="4" t="s">
        <v>35</v>
      </c>
      <c r="C11" s="5">
        <v>1</v>
      </c>
      <c r="D11"/>
      <c r="E11">
        <v>0.04</v>
      </c>
      <c r="F11" s="7">
        <f aca="true" t="shared" si="0" ref="F11:H35">IF(E11="","",E11*$C11)</f>
        <v>0.04</v>
      </c>
      <c r="G11" s="15">
        <f aca="true" t="shared" si="1" ref="G11:G35">IF(E11=0,"",IF(D11="nd",E11/2,E11))</f>
        <v>0.04</v>
      </c>
      <c r="H11" s="7">
        <f t="shared" si="0"/>
        <v>0.04</v>
      </c>
      <c r="I11"/>
      <c r="J11">
        <v>0.08</v>
      </c>
      <c r="K11" s="7">
        <f aca="true" t="shared" si="2" ref="K11:M35">IF(J11="","",J11*$C11)</f>
        <v>0.08</v>
      </c>
      <c r="L11" s="15">
        <f>IF(J11=0,"",IF(I11="nd",J11/2,J11))</f>
        <v>0.08</v>
      </c>
      <c r="M11" s="7">
        <f t="shared" si="2"/>
        <v>0.08</v>
      </c>
      <c r="N11"/>
      <c r="O11">
        <v>0.06</v>
      </c>
      <c r="P11" s="7">
        <f aca="true" t="shared" si="3" ref="P11:R35">IF(O11="","",O11*$C11)</f>
        <v>0.06</v>
      </c>
      <c r="Q11" s="15">
        <f>IF(O11=0,"",IF(N11="nd",O11/2,O11))</f>
        <v>0.06</v>
      </c>
      <c r="R11" s="7">
        <f t="shared" si="3"/>
        <v>0.06</v>
      </c>
    </row>
    <row r="12" spans="2:18" ht="12.75">
      <c r="B12" s="4" t="s">
        <v>36</v>
      </c>
      <c r="C12" s="5">
        <v>0</v>
      </c>
      <c r="D12"/>
      <c r="E12">
        <v>2.2</v>
      </c>
      <c r="F12" s="7">
        <f t="shared" si="0"/>
        <v>0</v>
      </c>
      <c r="G12" s="15">
        <f t="shared" si="1"/>
        <v>2.2</v>
      </c>
      <c r="H12" s="7">
        <f t="shared" si="0"/>
        <v>0</v>
      </c>
      <c r="I12"/>
      <c r="J12">
        <v>2</v>
      </c>
      <c r="K12" s="7">
        <f t="shared" si="2"/>
        <v>0</v>
      </c>
      <c r="L12" s="15">
        <f aca="true" t="shared" si="4" ref="L12:L35">IF(J12=0,"",IF(I12="nd",J12/2,J12))</f>
        <v>2</v>
      </c>
      <c r="M12" s="7">
        <f t="shared" si="2"/>
        <v>0</v>
      </c>
      <c r="N12"/>
      <c r="O12">
        <v>2.9</v>
      </c>
      <c r="P12" s="7">
        <f t="shared" si="3"/>
        <v>0</v>
      </c>
      <c r="Q12" s="15">
        <f aca="true" t="shared" si="5" ref="Q12:Q35">IF(O12=0,"",IF(N12="nd",O12/2,O12))</f>
        <v>2.9</v>
      </c>
      <c r="R12" s="7">
        <f t="shared" si="3"/>
        <v>0</v>
      </c>
    </row>
    <row r="13" spans="2:18" ht="12.75">
      <c r="B13" s="4" t="s">
        <v>37</v>
      </c>
      <c r="C13" s="5">
        <v>0.5</v>
      </c>
      <c r="D13"/>
      <c r="E13">
        <v>0.04</v>
      </c>
      <c r="F13" s="7">
        <f t="shared" si="0"/>
        <v>0.02</v>
      </c>
      <c r="G13" s="15">
        <f t="shared" si="1"/>
        <v>0.04</v>
      </c>
      <c r="H13" s="7">
        <f t="shared" si="0"/>
        <v>0.02</v>
      </c>
      <c r="I13"/>
      <c r="J13">
        <v>0.18</v>
      </c>
      <c r="K13" s="7">
        <f t="shared" si="2"/>
        <v>0.09</v>
      </c>
      <c r="L13" s="15">
        <f t="shared" si="4"/>
        <v>0.18</v>
      </c>
      <c r="M13" s="7">
        <f t="shared" si="2"/>
        <v>0.09</v>
      </c>
      <c r="N13"/>
      <c r="O13">
        <v>0.06</v>
      </c>
      <c r="P13" s="7">
        <f t="shared" si="3"/>
        <v>0.03</v>
      </c>
      <c r="Q13" s="15">
        <f t="shared" si="5"/>
        <v>0.06</v>
      </c>
      <c r="R13" s="7">
        <f t="shared" si="3"/>
        <v>0.03</v>
      </c>
    </row>
    <row r="14" spans="2:18" ht="12.75">
      <c r="B14" s="4" t="s">
        <v>38</v>
      </c>
      <c r="C14" s="5">
        <v>0</v>
      </c>
      <c r="D14"/>
      <c r="E14">
        <v>1.7</v>
      </c>
      <c r="F14" s="7">
        <f t="shared" si="0"/>
        <v>0</v>
      </c>
      <c r="G14" s="15">
        <f t="shared" si="1"/>
        <v>1.7</v>
      </c>
      <c r="H14" s="7">
        <f t="shared" si="0"/>
        <v>0</v>
      </c>
      <c r="I14"/>
      <c r="J14">
        <v>1.5</v>
      </c>
      <c r="K14" s="7">
        <f t="shared" si="2"/>
        <v>0</v>
      </c>
      <c r="L14" s="15">
        <f t="shared" si="4"/>
        <v>1.5</v>
      </c>
      <c r="M14" s="7">
        <f t="shared" si="2"/>
        <v>0</v>
      </c>
      <c r="N14"/>
      <c r="O14">
        <v>2</v>
      </c>
      <c r="P14" s="7">
        <f t="shared" si="3"/>
        <v>0</v>
      </c>
      <c r="Q14" s="15">
        <f t="shared" si="5"/>
        <v>2</v>
      </c>
      <c r="R14" s="7">
        <f t="shared" si="3"/>
        <v>0</v>
      </c>
    </row>
    <row r="15" spans="2:18" ht="12.75">
      <c r="B15" s="4" t="s">
        <v>39</v>
      </c>
      <c r="C15" s="5">
        <v>0.1</v>
      </c>
      <c r="D15"/>
      <c r="E15">
        <v>0.02</v>
      </c>
      <c r="F15" s="7">
        <f t="shared" si="0"/>
        <v>0.002</v>
      </c>
      <c r="G15" s="15">
        <f t="shared" si="1"/>
        <v>0.02</v>
      </c>
      <c r="H15" s="7">
        <f t="shared" si="0"/>
        <v>0.002</v>
      </c>
      <c r="I15"/>
      <c r="J15">
        <v>0.28</v>
      </c>
      <c r="K15" s="7">
        <f t="shared" si="2"/>
        <v>0.028000000000000004</v>
      </c>
      <c r="L15" s="15">
        <f t="shared" si="4"/>
        <v>0.28</v>
      </c>
      <c r="M15" s="7">
        <f t="shared" si="2"/>
        <v>0.028000000000000004</v>
      </c>
      <c r="N15"/>
      <c r="O15">
        <v>0.02</v>
      </c>
      <c r="P15" s="7">
        <f t="shared" si="3"/>
        <v>0.002</v>
      </c>
      <c r="Q15" s="15">
        <f t="shared" si="5"/>
        <v>0.02</v>
      </c>
      <c r="R15" s="7">
        <f t="shared" si="3"/>
        <v>0.002</v>
      </c>
    </row>
    <row r="16" spans="2:18" ht="12.75">
      <c r="B16" s="4" t="s">
        <v>40</v>
      </c>
      <c r="C16" s="5">
        <v>0.1</v>
      </c>
      <c r="D16"/>
      <c r="E16">
        <v>0.04</v>
      </c>
      <c r="F16" s="7">
        <f t="shared" si="0"/>
        <v>0.004</v>
      </c>
      <c r="G16" s="15">
        <f t="shared" si="1"/>
        <v>0.04</v>
      </c>
      <c r="H16" s="7">
        <f t="shared" si="0"/>
        <v>0.004</v>
      </c>
      <c r="I16"/>
      <c r="J16">
        <v>0.34</v>
      </c>
      <c r="K16" s="7">
        <f t="shared" si="2"/>
        <v>0.034</v>
      </c>
      <c r="L16" s="15">
        <f t="shared" si="4"/>
        <v>0.34</v>
      </c>
      <c r="M16" s="7">
        <f t="shared" si="2"/>
        <v>0.034</v>
      </c>
      <c r="N16"/>
      <c r="O16">
        <v>0.04</v>
      </c>
      <c r="P16" s="7">
        <f t="shared" si="3"/>
        <v>0.004</v>
      </c>
      <c r="Q16" s="15">
        <f t="shared" si="5"/>
        <v>0.04</v>
      </c>
      <c r="R16" s="7">
        <f t="shared" si="3"/>
        <v>0.004</v>
      </c>
    </row>
    <row r="17" spans="2:18" ht="12.75">
      <c r="B17" s="4" t="s">
        <v>41</v>
      </c>
      <c r="C17" s="5">
        <v>0.1</v>
      </c>
      <c r="D17"/>
      <c r="E17">
        <v>0.05</v>
      </c>
      <c r="F17" s="7">
        <f t="shared" si="0"/>
        <v>0.005000000000000001</v>
      </c>
      <c r="G17" s="15">
        <f t="shared" si="1"/>
        <v>0.05</v>
      </c>
      <c r="H17" s="7">
        <f t="shared" si="0"/>
        <v>0.005000000000000001</v>
      </c>
      <c r="I17"/>
      <c r="J17">
        <v>0.35</v>
      </c>
      <c r="K17" s="7">
        <f t="shared" si="2"/>
        <v>0.034999999999999996</v>
      </c>
      <c r="L17" s="15">
        <f t="shared" si="4"/>
        <v>0.35</v>
      </c>
      <c r="M17" s="7">
        <f t="shared" si="2"/>
        <v>0.034999999999999996</v>
      </c>
      <c r="N17"/>
      <c r="O17">
        <v>0.06</v>
      </c>
      <c r="P17" s="7">
        <f t="shared" si="3"/>
        <v>0.006</v>
      </c>
      <c r="Q17" s="15">
        <f t="shared" si="5"/>
        <v>0.06</v>
      </c>
      <c r="R17" s="7">
        <f t="shared" si="3"/>
        <v>0.006</v>
      </c>
    </row>
    <row r="18" spans="2:18" ht="12.75">
      <c r="B18" s="4" t="s">
        <v>42</v>
      </c>
      <c r="C18" s="5">
        <v>0</v>
      </c>
      <c r="D18"/>
      <c r="E18">
        <v>3.8</v>
      </c>
      <c r="F18" s="7">
        <f t="shared" si="0"/>
        <v>0</v>
      </c>
      <c r="G18" s="15">
        <f t="shared" si="1"/>
        <v>3.8</v>
      </c>
      <c r="H18" s="7">
        <f t="shared" si="0"/>
        <v>0</v>
      </c>
      <c r="I18"/>
      <c r="J18">
        <v>2.1</v>
      </c>
      <c r="K18" s="7">
        <f t="shared" si="2"/>
        <v>0</v>
      </c>
      <c r="L18" s="15">
        <f t="shared" si="4"/>
        <v>2.1</v>
      </c>
      <c r="M18" s="7">
        <f t="shared" si="2"/>
        <v>0</v>
      </c>
      <c r="N18"/>
      <c r="O18">
        <v>1.7</v>
      </c>
      <c r="P18" s="7">
        <f t="shared" si="3"/>
        <v>0</v>
      </c>
      <c r="Q18" s="15">
        <f t="shared" si="5"/>
        <v>1.7</v>
      </c>
      <c r="R18" s="7">
        <f t="shared" si="3"/>
        <v>0</v>
      </c>
    </row>
    <row r="19" spans="2:18" ht="12.75">
      <c r="B19" s="4" t="s">
        <v>43</v>
      </c>
      <c r="C19" s="5">
        <v>0.01</v>
      </c>
      <c r="D19"/>
      <c r="E19">
        <v>0.28</v>
      </c>
      <c r="F19" s="7">
        <f t="shared" si="0"/>
        <v>0.0028000000000000004</v>
      </c>
      <c r="G19" s="15">
        <f t="shared" si="1"/>
        <v>0.28</v>
      </c>
      <c r="H19" s="7">
        <f t="shared" si="0"/>
        <v>0.0028000000000000004</v>
      </c>
      <c r="I19"/>
      <c r="J19">
        <v>0.67</v>
      </c>
      <c r="K19" s="7">
        <f t="shared" si="2"/>
        <v>0.0067</v>
      </c>
      <c r="L19" s="15">
        <f t="shared" si="4"/>
        <v>0.67</v>
      </c>
      <c r="M19" s="7">
        <f t="shared" si="2"/>
        <v>0.0067</v>
      </c>
      <c r="N19"/>
      <c r="O19">
        <v>0.16</v>
      </c>
      <c r="P19" s="7">
        <f t="shared" si="3"/>
        <v>0.0016</v>
      </c>
      <c r="Q19" s="15">
        <f t="shared" si="5"/>
        <v>0.16</v>
      </c>
      <c r="R19" s="7">
        <f t="shared" si="3"/>
        <v>0.0016</v>
      </c>
    </row>
    <row r="20" spans="2:18" ht="12.75">
      <c r="B20" s="4" t="s">
        <v>44</v>
      </c>
      <c r="C20" s="5">
        <v>0</v>
      </c>
      <c r="D20"/>
      <c r="E20">
        <v>0.6</v>
      </c>
      <c r="F20" s="7">
        <f t="shared" si="0"/>
        <v>0</v>
      </c>
      <c r="G20" s="15">
        <f t="shared" si="1"/>
        <v>0.6</v>
      </c>
      <c r="H20" s="7">
        <f t="shared" si="0"/>
        <v>0</v>
      </c>
      <c r="I20"/>
      <c r="J20">
        <v>0.93</v>
      </c>
      <c r="K20" s="7">
        <f t="shared" si="2"/>
        <v>0</v>
      </c>
      <c r="L20" s="15">
        <f t="shared" si="4"/>
        <v>0.93</v>
      </c>
      <c r="M20" s="7">
        <f t="shared" si="2"/>
        <v>0</v>
      </c>
      <c r="N20"/>
      <c r="O20">
        <v>0.47</v>
      </c>
      <c r="P20" s="7">
        <f t="shared" si="3"/>
        <v>0</v>
      </c>
      <c r="Q20" s="15">
        <f t="shared" si="5"/>
        <v>0.47</v>
      </c>
      <c r="R20" s="7">
        <f t="shared" si="3"/>
        <v>0</v>
      </c>
    </row>
    <row r="21" spans="2:18" ht="12.75">
      <c r="B21" s="4" t="s">
        <v>45</v>
      </c>
      <c r="C21" s="5">
        <v>0.001</v>
      </c>
      <c r="D21"/>
      <c r="E21">
        <v>0.14</v>
      </c>
      <c r="F21" s="7">
        <f t="shared" si="0"/>
        <v>0.00014000000000000001</v>
      </c>
      <c r="G21" s="15">
        <f t="shared" si="1"/>
        <v>0.14</v>
      </c>
      <c r="H21" s="7">
        <f t="shared" si="0"/>
        <v>0.00014000000000000001</v>
      </c>
      <c r="I21"/>
      <c r="J21">
        <v>2</v>
      </c>
      <c r="K21" s="7">
        <f t="shared" si="2"/>
        <v>0.002</v>
      </c>
      <c r="L21" s="15">
        <f t="shared" si="4"/>
        <v>2</v>
      </c>
      <c r="M21" s="7">
        <f t="shared" si="2"/>
        <v>0.002</v>
      </c>
      <c r="N21"/>
      <c r="O21">
        <v>0.15</v>
      </c>
      <c r="P21" s="7">
        <f t="shared" si="3"/>
        <v>0.00015</v>
      </c>
      <c r="Q21" s="15">
        <f t="shared" si="5"/>
        <v>0.15</v>
      </c>
      <c r="R21" s="7">
        <f t="shared" si="3"/>
        <v>0.00015</v>
      </c>
    </row>
    <row r="22" spans="2:18" ht="12.75">
      <c r="B22" s="4" t="s">
        <v>46</v>
      </c>
      <c r="C22" s="5">
        <v>0.1</v>
      </c>
      <c r="D22"/>
      <c r="E22">
        <v>0.06</v>
      </c>
      <c r="F22" s="7">
        <f t="shared" si="0"/>
        <v>0.006</v>
      </c>
      <c r="G22" s="15">
        <f t="shared" si="1"/>
        <v>0.06</v>
      </c>
      <c r="H22" s="7">
        <f t="shared" si="0"/>
        <v>0.006</v>
      </c>
      <c r="I22"/>
      <c r="J22">
        <v>0.08</v>
      </c>
      <c r="K22" s="7">
        <f t="shared" si="2"/>
        <v>0.008</v>
      </c>
      <c r="L22" s="15">
        <f t="shared" si="4"/>
        <v>0.08</v>
      </c>
      <c r="M22" s="7">
        <f t="shared" si="2"/>
        <v>0.008</v>
      </c>
      <c r="N22"/>
      <c r="O22">
        <v>0.16</v>
      </c>
      <c r="P22" s="7">
        <f t="shared" si="3"/>
        <v>0.016</v>
      </c>
      <c r="Q22" s="15">
        <f t="shared" si="5"/>
        <v>0.16</v>
      </c>
      <c r="R22" s="7">
        <f t="shared" si="3"/>
        <v>0.016</v>
      </c>
    </row>
    <row r="23" spans="2:18" ht="12.75">
      <c r="B23" s="4" t="s">
        <v>47</v>
      </c>
      <c r="C23" s="5">
        <v>0</v>
      </c>
      <c r="D23"/>
      <c r="E23">
        <v>1.2</v>
      </c>
      <c r="F23" s="7">
        <f t="shared" si="0"/>
        <v>0</v>
      </c>
      <c r="G23" s="15">
        <f t="shared" si="1"/>
        <v>1.2</v>
      </c>
      <c r="H23" s="7">
        <f t="shared" si="0"/>
        <v>0</v>
      </c>
      <c r="I23"/>
      <c r="J23">
        <v>3</v>
      </c>
      <c r="K23" s="7">
        <f t="shared" si="2"/>
        <v>0</v>
      </c>
      <c r="L23" s="15">
        <f t="shared" si="4"/>
        <v>3</v>
      </c>
      <c r="M23" s="7">
        <f t="shared" si="2"/>
        <v>0</v>
      </c>
      <c r="N23"/>
      <c r="O23">
        <v>6.2</v>
      </c>
      <c r="P23" s="7">
        <f t="shared" si="3"/>
        <v>0</v>
      </c>
      <c r="Q23" s="15">
        <f t="shared" si="5"/>
        <v>6.2</v>
      </c>
      <c r="R23" s="7">
        <f t="shared" si="3"/>
        <v>0</v>
      </c>
    </row>
    <row r="24" spans="2:18" ht="12.75">
      <c r="B24" s="4" t="s">
        <v>48</v>
      </c>
      <c r="C24" s="5">
        <v>0.05</v>
      </c>
      <c r="D24"/>
      <c r="E24">
        <v>0.02</v>
      </c>
      <c r="F24" s="7">
        <f t="shared" si="0"/>
        <v>0.001</v>
      </c>
      <c r="G24" s="15">
        <f t="shared" si="1"/>
        <v>0.02</v>
      </c>
      <c r="H24" s="7">
        <f t="shared" si="0"/>
        <v>0.001</v>
      </c>
      <c r="I24"/>
      <c r="J24">
        <v>0.18</v>
      </c>
      <c r="K24" s="7">
        <f t="shared" si="2"/>
        <v>0.009</v>
      </c>
      <c r="L24" s="15">
        <f t="shared" si="4"/>
        <v>0.18</v>
      </c>
      <c r="M24" s="7">
        <f t="shared" si="2"/>
        <v>0.009</v>
      </c>
      <c r="N24"/>
      <c r="O24">
        <v>0.07</v>
      </c>
      <c r="P24" s="7">
        <f t="shared" si="3"/>
        <v>0.0035000000000000005</v>
      </c>
      <c r="Q24" s="15">
        <f t="shared" si="5"/>
        <v>0.07</v>
      </c>
      <c r="R24" s="7">
        <f t="shared" si="3"/>
        <v>0.0035000000000000005</v>
      </c>
    </row>
    <row r="25" spans="2:18" ht="12.75">
      <c r="B25" s="4" t="s">
        <v>49</v>
      </c>
      <c r="C25" s="5">
        <v>0.5</v>
      </c>
      <c r="D25"/>
      <c r="E25">
        <v>0.03</v>
      </c>
      <c r="F25" s="7">
        <f t="shared" si="0"/>
        <v>0.015</v>
      </c>
      <c r="G25" s="15">
        <f t="shared" si="1"/>
        <v>0.03</v>
      </c>
      <c r="H25" s="7">
        <f t="shared" si="0"/>
        <v>0.015</v>
      </c>
      <c r="I25"/>
      <c r="J25">
        <v>0.22</v>
      </c>
      <c r="K25" s="7">
        <f t="shared" si="2"/>
        <v>0.11</v>
      </c>
      <c r="L25" s="15">
        <f t="shared" si="4"/>
        <v>0.22</v>
      </c>
      <c r="M25" s="7">
        <f t="shared" si="2"/>
        <v>0.11</v>
      </c>
      <c r="N25"/>
      <c r="O25">
        <v>0.12</v>
      </c>
      <c r="P25" s="7">
        <f t="shared" si="3"/>
        <v>0.06</v>
      </c>
      <c r="Q25" s="15">
        <f t="shared" si="5"/>
        <v>0.12</v>
      </c>
      <c r="R25" s="7">
        <f t="shared" si="3"/>
        <v>0.06</v>
      </c>
    </row>
    <row r="26" spans="2:18" ht="12.75">
      <c r="B26" s="4" t="s">
        <v>50</v>
      </c>
      <c r="C26" s="5">
        <v>0</v>
      </c>
      <c r="D26"/>
      <c r="E26">
        <v>0.34</v>
      </c>
      <c r="F26" s="7">
        <f t="shared" si="0"/>
        <v>0</v>
      </c>
      <c r="G26" s="15">
        <f t="shared" si="1"/>
        <v>0.34</v>
      </c>
      <c r="H26" s="7">
        <f t="shared" si="0"/>
        <v>0</v>
      </c>
      <c r="I26"/>
      <c r="J26">
        <v>1.2</v>
      </c>
      <c r="K26" s="7">
        <f t="shared" si="2"/>
        <v>0</v>
      </c>
      <c r="L26" s="15">
        <f t="shared" si="4"/>
        <v>1.2</v>
      </c>
      <c r="M26" s="7">
        <f t="shared" si="2"/>
        <v>0</v>
      </c>
      <c r="N26"/>
      <c r="O26">
        <v>1.3</v>
      </c>
      <c r="P26" s="7">
        <f t="shared" si="3"/>
        <v>0</v>
      </c>
      <c r="Q26" s="15">
        <f t="shared" si="5"/>
        <v>1.3</v>
      </c>
      <c r="R26" s="7">
        <f t="shared" si="3"/>
        <v>0</v>
      </c>
    </row>
    <row r="27" spans="2:18" ht="12.75">
      <c r="B27" s="4" t="s">
        <v>51</v>
      </c>
      <c r="C27" s="5">
        <v>0.1</v>
      </c>
      <c r="D27"/>
      <c r="E27">
        <v>0.04</v>
      </c>
      <c r="F27" s="7">
        <f t="shared" si="0"/>
        <v>0.004</v>
      </c>
      <c r="G27" s="15">
        <f t="shared" si="1"/>
        <v>0.04</v>
      </c>
      <c r="H27" s="7">
        <f t="shared" si="0"/>
        <v>0.004</v>
      </c>
      <c r="I27"/>
      <c r="J27">
        <v>0.28</v>
      </c>
      <c r="K27" s="7">
        <f t="shared" si="2"/>
        <v>0.028000000000000004</v>
      </c>
      <c r="L27" s="15">
        <f t="shared" si="4"/>
        <v>0.28</v>
      </c>
      <c r="M27" s="7">
        <f t="shared" si="2"/>
        <v>0.028000000000000004</v>
      </c>
      <c r="N27"/>
      <c r="O27">
        <v>0.09</v>
      </c>
      <c r="P27" s="7">
        <f t="shared" si="3"/>
        <v>0.009</v>
      </c>
      <c r="Q27" s="15">
        <f t="shared" si="5"/>
        <v>0.09</v>
      </c>
      <c r="R27" s="7">
        <f t="shared" si="3"/>
        <v>0.009</v>
      </c>
    </row>
    <row r="28" spans="2:18" ht="12.75">
      <c r="B28" s="4" t="s">
        <v>52</v>
      </c>
      <c r="C28" s="5">
        <v>0.1</v>
      </c>
      <c r="D28"/>
      <c r="E28">
        <v>0.02</v>
      </c>
      <c r="F28" s="7">
        <f t="shared" si="0"/>
        <v>0.002</v>
      </c>
      <c r="G28" s="15">
        <f t="shared" si="1"/>
        <v>0.02</v>
      </c>
      <c r="H28" s="7">
        <f t="shared" si="0"/>
        <v>0.002</v>
      </c>
      <c r="I28"/>
      <c r="J28">
        <v>0.28</v>
      </c>
      <c r="K28" s="7">
        <f t="shared" si="2"/>
        <v>0.028000000000000004</v>
      </c>
      <c r="L28" s="15">
        <f t="shared" si="4"/>
        <v>0.28</v>
      </c>
      <c r="M28" s="7">
        <f t="shared" si="2"/>
        <v>0.028000000000000004</v>
      </c>
      <c r="N28"/>
      <c r="O28">
        <v>0.03</v>
      </c>
      <c r="P28" s="7">
        <f t="shared" si="3"/>
        <v>0.003</v>
      </c>
      <c r="Q28" s="15">
        <f t="shared" si="5"/>
        <v>0.03</v>
      </c>
      <c r="R28" s="7">
        <f t="shared" si="3"/>
        <v>0.003</v>
      </c>
    </row>
    <row r="29" spans="2:18" ht="12.75">
      <c r="B29" s="4" t="s">
        <v>53</v>
      </c>
      <c r="C29" s="5">
        <v>0.1</v>
      </c>
      <c r="D29"/>
      <c r="E29">
        <v>0.04</v>
      </c>
      <c r="F29" s="7">
        <f t="shared" si="0"/>
        <v>0.004</v>
      </c>
      <c r="G29" s="15">
        <f t="shared" si="1"/>
        <v>0.04</v>
      </c>
      <c r="H29" s="7">
        <f t="shared" si="0"/>
        <v>0.004</v>
      </c>
      <c r="I29"/>
      <c r="J29">
        <v>0.41</v>
      </c>
      <c r="K29" s="7">
        <f t="shared" si="2"/>
        <v>0.041</v>
      </c>
      <c r="L29" s="15">
        <f t="shared" si="4"/>
        <v>0.41</v>
      </c>
      <c r="M29" s="7">
        <f t="shared" si="2"/>
        <v>0.041</v>
      </c>
      <c r="N29"/>
      <c r="O29">
        <v>0.06</v>
      </c>
      <c r="P29" s="7">
        <f t="shared" si="3"/>
        <v>0.006</v>
      </c>
      <c r="Q29" s="15">
        <f t="shared" si="5"/>
        <v>0.06</v>
      </c>
      <c r="R29" s="7">
        <f t="shared" si="3"/>
        <v>0.006</v>
      </c>
    </row>
    <row r="30" spans="2:18" ht="12.75">
      <c r="B30" s="4" t="s">
        <v>54</v>
      </c>
      <c r="C30" s="5">
        <v>0.1</v>
      </c>
      <c r="D30"/>
      <c r="E30">
        <v>0.006</v>
      </c>
      <c r="F30" s="7">
        <f t="shared" si="0"/>
        <v>0.0006000000000000001</v>
      </c>
      <c r="G30" s="15">
        <f t="shared" si="1"/>
        <v>0.006</v>
      </c>
      <c r="H30" s="7">
        <f t="shared" si="0"/>
        <v>0.0006000000000000001</v>
      </c>
      <c r="I30"/>
      <c r="J30">
        <v>0.4</v>
      </c>
      <c r="K30" s="7">
        <f t="shared" si="2"/>
        <v>0.04000000000000001</v>
      </c>
      <c r="L30" s="15">
        <f t="shared" si="4"/>
        <v>0.4</v>
      </c>
      <c r="M30" s="7">
        <f t="shared" si="2"/>
        <v>0.04000000000000001</v>
      </c>
      <c r="N30"/>
      <c r="O30">
        <v>0.006</v>
      </c>
      <c r="P30" s="7">
        <f t="shared" si="3"/>
        <v>0.0006000000000000001</v>
      </c>
      <c r="Q30" s="15">
        <f t="shared" si="5"/>
        <v>0.006</v>
      </c>
      <c r="R30" s="7">
        <f t="shared" si="3"/>
        <v>0.0006000000000000001</v>
      </c>
    </row>
    <row r="31" spans="2:18" ht="12.75">
      <c r="B31" s="4" t="s">
        <v>55</v>
      </c>
      <c r="C31" s="5">
        <v>0</v>
      </c>
      <c r="D31"/>
      <c r="E31">
        <v>0.18</v>
      </c>
      <c r="F31" s="7">
        <f t="shared" si="0"/>
        <v>0</v>
      </c>
      <c r="G31" s="15">
        <f t="shared" si="1"/>
        <v>0.18</v>
      </c>
      <c r="H31" s="7">
        <f t="shared" si="0"/>
        <v>0</v>
      </c>
      <c r="I31"/>
      <c r="J31">
        <v>1.5</v>
      </c>
      <c r="K31" s="7">
        <f t="shared" si="2"/>
        <v>0</v>
      </c>
      <c r="L31" s="15">
        <f t="shared" si="4"/>
        <v>1.5</v>
      </c>
      <c r="M31" s="7">
        <f t="shared" si="2"/>
        <v>0</v>
      </c>
      <c r="N31"/>
      <c r="O31">
        <v>0.45</v>
      </c>
      <c r="P31" s="7">
        <f t="shared" si="3"/>
        <v>0</v>
      </c>
      <c r="Q31" s="15">
        <f t="shared" si="5"/>
        <v>0.45</v>
      </c>
      <c r="R31" s="7">
        <f t="shared" si="3"/>
        <v>0</v>
      </c>
    </row>
    <row r="32" spans="2:18" ht="12.75">
      <c r="B32" s="4" t="s">
        <v>56</v>
      </c>
      <c r="C32" s="5">
        <v>0.01</v>
      </c>
      <c r="D32"/>
      <c r="E32">
        <v>0.03</v>
      </c>
      <c r="F32" s="7">
        <f t="shared" si="0"/>
        <v>0.0003</v>
      </c>
      <c r="G32" s="15">
        <f t="shared" si="1"/>
        <v>0.03</v>
      </c>
      <c r="H32" s="7">
        <f t="shared" si="0"/>
        <v>0.0003</v>
      </c>
      <c r="I32"/>
      <c r="J32">
        <v>0.64</v>
      </c>
      <c r="K32" s="7">
        <f t="shared" si="2"/>
        <v>0.0064</v>
      </c>
      <c r="L32" s="15">
        <f t="shared" si="4"/>
        <v>0.64</v>
      </c>
      <c r="M32" s="7">
        <f t="shared" si="2"/>
        <v>0.0064</v>
      </c>
      <c r="N32"/>
      <c r="O32">
        <v>0.06</v>
      </c>
      <c r="P32" s="7">
        <f t="shared" si="3"/>
        <v>0.0006</v>
      </c>
      <c r="Q32" s="15">
        <f t="shared" si="5"/>
        <v>0.06</v>
      </c>
      <c r="R32" s="7">
        <f t="shared" si="3"/>
        <v>0.0006</v>
      </c>
    </row>
    <row r="33" spans="2:18" ht="12.75">
      <c r="B33" s="4" t="s">
        <v>57</v>
      </c>
      <c r="C33" s="5">
        <v>0.01</v>
      </c>
      <c r="D33"/>
      <c r="E33">
        <v>0.01</v>
      </c>
      <c r="F33" s="7">
        <f t="shared" si="0"/>
        <v>0.0001</v>
      </c>
      <c r="G33" s="15">
        <f t="shared" si="1"/>
        <v>0.01</v>
      </c>
      <c r="H33" s="7">
        <f t="shared" si="0"/>
        <v>0.0001</v>
      </c>
      <c r="I33"/>
      <c r="J33">
        <v>0.64</v>
      </c>
      <c r="K33" s="7">
        <f t="shared" si="2"/>
        <v>0.0064</v>
      </c>
      <c r="L33" s="15">
        <f t="shared" si="4"/>
        <v>0.64</v>
      </c>
      <c r="M33" s="7">
        <f t="shared" si="2"/>
        <v>0.0064</v>
      </c>
      <c r="N33"/>
      <c r="O33">
        <v>0.001</v>
      </c>
      <c r="P33" s="7">
        <f t="shared" si="3"/>
        <v>1E-05</v>
      </c>
      <c r="Q33" s="15">
        <f t="shared" si="5"/>
        <v>0.001</v>
      </c>
      <c r="R33" s="7">
        <f t="shared" si="3"/>
        <v>1E-05</v>
      </c>
    </row>
    <row r="34" spans="2:18" ht="12.75">
      <c r="B34" s="4" t="s">
        <v>58</v>
      </c>
      <c r="C34" s="5">
        <v>0</v>
      </c>
      <c r="D34"/>
      <c r="E34">
        <v>0.05</v>
      </c>
      <c r="F34" s="7">
        <f t="shared" si="0"/>
        <v>0</v>
      </c>
      <c r="G34" s="15">
        <f t="shared" si="1"/>
        <v>0.05</v>
      </c>
      <c r="H34" s="7">
        <f t="shared" si="0"/>
        <v>0</v>
      </c>
      <c r="I34"/>
      <c r="J34">
        <v>1.3</v>
      </c>
      <c r="K34" s="7">
        <f t="shared" si="2"/>
        <v>0</v>
      </c>
      <c r="L34" s="15">
        <f t="shared" si="4"/>
        <v>1.3</v>
      </c>
      <c r="M34" s="7">
        <f t="shared" si="2"/>
        <v>0</v>
      </c>
      <c r="N34"/>
      <c r="O34">
        <v>0.08</v>
      </c>
      <c r="P34" s="7">
        <f t="shared" si="3"/>
        <v>0</v>
      </c>
      <c r="Q34" s="15">
        <f t="shared" si="5"/>
        <v>0.08</v>
      </c>
      <c r="R34" s="7">
        <f t="shared" si="3"/>
        <v>0</v>
      </c>
    </row>
    <row r="35" spans="2:18" ht="12.75">
      <c r="B35" s="4" t="s">
        <v>59</v>
      </c>
      <c r="C35" s="5">
        <v>0.001</v>
      </c>
      <c r="D35"/>
      <c r="E35">
        <v>0.02</v>
      </c>
      <c r="F35" s="7">
        <f t="shared" si="0"/>
        <v>2E-05</v>
      </c>
      <c r="G35" s="15">
        <f t="shared" si="1"/>
        <v>0.02</v>
      </c>
      <c r="H35" s="7">
        <f t="shared" si="0"/>
        <v>2E-05</v>
      </c>
      <c r="I35"/>
      <c r="J35">
        <v>1.6</v>
      </c>
      <c r="K35" s="7">
        <f t="shared" si="2"/>
        <v>0.0016</v>
      </c>
      <c r="L35" s="15">
        <f t="shared" si="4"/>
        <v>1.6</v>
      </c>
      <c r="M35" s="7">
        <f t="shared" si="2"/>
        <v>0.0016</v>
      </c>
      <c r="N35"/>
      <c r="O35">
        <v>0.01</v>
      </c>
      <c r="P35" s="7">
        <f t="shared" si="3"/>
        <v>1E-05</v>
      </c>
      <c r="Q35" s="15">
        <f t="shared" si="5"/>
        <v>0.01</v>
      </c>
      <c r="R35" s="7">
        <f t="shared" si="3"/>
        <v>1E-05</v>
      </c>
    </row>
    <row r="36" spans="5:17" ht="12.75">
      <c r="E36" s="17"/>
      <c r="G36" s="17"/>
      <c r="I36" s="18"/>
      <c r="J36" s="16"/>
      <c r="K36" s="14"/>
      <c r="L36" s="14"/>
      <c r="M36" s="14"/>
      <c r="N36" s="18"/>
      <c r="O36" s="16"/>
      <c r="Q36" s="17"/>
    </row>
    <row r="37" spans="2:18" ht="12.75">
      <c r="B37" s="4" t="s">
        <v>60</v>
      </c>
      <c r="E37" s="17"/>
      <c r="F37" s="17">
        <v>109.8</v>
      </c>
      <c r="G37" s="17">
        <f>3.107/0.0283</f>
        <v>109.7879858657244</v>
      </c>
      <c r="H37" s="17">
        <v>109.8</v>
      </c>
      <c r="I37" s="18"/>
      <c r="J37" s="17"/>
      <c r="K37" s="17">
        <v>109.7</v>
      </c>
      <c r="L37" s="17">
        <f>3.104/0.0283</f>
        <v>109.68197879858658</v>
      </c>
      <c r="M37" s="17">
        <v>109.7</v>
      </c>
      <c r="N37" s="18"/>
      <c r="O37" s="17"/>
      <c r="P37" s="17">
        <v>111</v>
      </c>
      <c r="Q37" s="17">
        <f>3.141/0.0283</f>
        <v>110.98939929328623</v>
      </c>
      <c r="R37" s="17">
        <v>111</v>
      </c>
    </row>
    <row r="38" spans="2:18" ht="12.75">
      <c r="B38" s="4" t="s">
        <v>61</v>
      </c>
      <c r="E38" s="17"/>
      <c r="F38" s="17">
        <v>8.8</v>
      </c>
      <c r="G38" s="17">
        <v>8.8</v>
      </c>
      <c r="H38" s="17">
        <v>8.8</v>
      </c>
      <c r="I38" s="18"/>
      <c r="J38" s="17"/>
      <c r="K38" s="14">
        <v>9.8</v>
      </c>
      <c r="L38" s="14">
        <v>9.8</v>
      </c>
      <c r="M38" s="14">
        <v>9.8</v>
      </c>
      <c r="N38" s="18"/>
      <c r="O38" s="17"/>
      <c r="P38" s="17">
        <v>9</v>
      </c>
      <c r="Q38" s="14">
        <v>9</v>
      </c>
      <c r="R38" s="17">
        <v>9</v>
      </c>
    </row>
    <row r="39" spans="5:18" ht="12.75">
      <c r="E39" s="17"/>
      <c r="F39" s="19"/>
      <c r="G39" s="17"/>
      <c r="H39" s="19"/>
      <c r="I39" s="20"/>
      <c r="J39" s="17"/>
      <c r="K39" s="21"/>
      <c r="L39" s="14"/>
      <c r="M39" s="21"/>
      <c r="N39" s="18"/>
      <c r="O39" s="17"/>
      <c r="P39" s="17"/>
      <c r="Q39" s="17"/>
      <c r="R39" s="17"/>
    </row>
    <row r="40" spans="2:18" ht="12" customHeight="1">
      <c r="B40" s="4" t="s">
        <v>62</v>
      </c>
      <c r="C40" s="7"/>
      <c r="D40" s="11"/>
      <c r="E40" s="14"/>
      <c r="F40" s="15">
        <f>SUM(F11:F35)</f>
        <v>0.10696000000000003</v>
      </c>
      <c r="G40" s="15">
        <f>SUM(G35,G34,G31,G26,G23,G21,G20,G18,G14,G12)</f>
        <v>10.23</v>
      </c>
      <c r="H40" s="15">
        <f>SUM(H11:H35)</f>
        <v>0.10696000000000003</v>
      </c>
      <c r="I40" s="11"/>
      <c r="J40" s="14"/>
      <c r="K40" s="15">
        <f>SUM(K11:K35)</f>
        <v>0.5540999999999999</v>
      </c>
      <c r="L40" s="15">
        <f>SUM(L35,L34,L31,L26,L23,L21,L20,L18,L14,L12)</f>
        <v>17.130000000000003</v>
      </c>
      <c r="M40" s="15">
        <f>SUM(M11:M35)</f>
        <v>0.5540999999999999</v>
      </c>
      <c r="N40" s="11"/>
      <c r="O40" s="17"/>
      <c r="P40" s="15">
        <f>SUM(P11:P35)</f>
        <v>0.20247000000000004</v>
      </c>
      <c r="Q40" s="15">
        <f>SUM(Q35,Q34,Q31,Q26,Q23,Q21,Q20,Q18,Q14,Q12)</f>
        <v>15.260000000000002</v>
      </c>
      <c r="R40" s="15">
        <f>SUM(R11:R35)</f>
        <v>0.20247000000000004</v>
      </c>
    </row>
    <row r="41" spans="2:18" ht="12.75">
      <c r="B41" s="4" t="s">
        <v>63</v>
      </c>
      <c r="C41" s="7"/>
      <c r="D41" s="14">
        <f>(F41-H41)*2/F41*100</f>
        <v>0</v>
      </c>
      <c r="E41" s="17"/>
      <c r="F41" s="15">
        <f>(F40/F37/0.0283*(21-7)/(21-F38))</f>
        <v>0.03950033907025219</v>
      </c>
      <c r="G41" s="15">
        <f>(G40/G37/0.0283*(21-7)/(21-G38))</f>
        <v>3.778353479979106</v>
      </c>
      <c r="H41" s="15">
        <f>(H40/H37/0.0283*(21-7)/(21-H38))</f>
        <v>0.03950033907025219</v>
      </c>
      <c r="I41" s="14">
        <f>(K41-M41)*2/K41*100</f>
        <v>0</v>
      </c>
      <c r="J41" s="17"/>
      <c r="K41" s="15">
        <f>(K40/K37/0.0283*(21-7)/(21-K38))</f>
        <v>0.2231028407059407</v>
      </c>
      <c r="L41" s="15">
        <f>(L40/L37/0.0283*(21-7)/(21-L38))</f>
        <v>6.898356958762888</v>
      </c>
      <c r="M41" s="15">
        <f>(M40/M37/0.0283*(21-7)/(21-M38))</f>
        <v>0.2231028407059407</v>
      </c>
      <c r="N41" s="14">
        <f>(P41-R41)*2/P41*100</f>
        <v>0</v>
      </c>
      <c r="O41" s="17"/>
      <c r="P41" s="15">
        <f>(P40/P37/0.0283*(21-7)/(21-P38))</f>
        <v>0.07519657466653935</v>
      </c>
      <c r="Q41" s="15">
        <f>(Q40/Q37/0.0283*(21-7)/(21-Q38))</f>
        <v>5.668046269765468</v>
      </c>
      <c r="R41" s="15">
        <f>(R40/R37/0.0283*(21-7)/(21-R38))</f>
        <v>0.07519657466653935</v>
      </c>
    </row>
    <row r="42" spans="5:17" ht="12.75">
      <c r="E42" s="15"/>
      <c r="G42" s="15"/>
      <c r="I42" s="22"/>
      <c r="J42" s="15"/>
      <c r="K42" s="15"/>
      <c r="L42" s="15"/>
      <c r="M42" s="15"/>
      <c r="N42" s="22"/>
      <c r="O42" s="15"/>
      <c r="Q42" s="15"/>
    </row>
    <row r="43" spans="2:31" s="17" customFormat="1" ht="12.75">
      <c r="B43" s="17" t="s">
        <v>74</v>
      </c>
      <c r="C43" s="15">
        <f>AVERAGE(H41,M41,R41)</f>
        <v>0.1125999181475774</v>
      </c>
      <c r="D43" s="18"/>
      <c r="F43" s="7"/>
      <c r="H43" s="7"/>
      <c r="I43" s="18"/>
      <c r="N43" s="18"/>
      <c r="P43" s="6"/>
      <c r="R43" s="6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2:3" ht="12.75">
      <c r="B44" s="4" t="s">
        <v>75</v>
      </c>
      <c r="C44" s="15">
        <f>AVERAGE(G41,L41,Q41)</f>
        <v>5.448252236169154</v>
      </c>
    </row>
    <row r="45" ht="12.75"/>
    <row r="46" ht="12.75"/>
    <row r="47" spans="3:18" ht="12.75">
      <c r="C47" s="5"/>
      <c r="E47" s="14"/>
      <c r="F47" s="17"/>
      <c r="G47" s="14"/>
      <c r="H47" s="17"/>
      <c r="I47" s="11"/>
      <c r="J47" s="16"/>
      <c r="K47" s="14"/>
      <c r="L47" s="14"/>
      <c r="M47" s="14"/>
      <c r="N47" s="11"/>
      <c r="O47" s="21"/>
      <c r="P47" s="7"/>
      <c r="Q47" s="14"/>
      <c r="R47" s="7"/>
    </row>
    <row r="48" spans="3:18" ht="12.75">
      <c r="C48" s="5"/>
      <c r="E48" s="14"/>
      <c r="F48" s="17"/>
      <c r="G48" s="14"/>
      <c r="H48" s="17"/>
      <c r="I48" s="11"/>
      <c r="J48" s="16"/>
      <c r="K48" s="14"/>
      <c r="L48" s="14"/>
      <c r="M48" s="14"/>
      <c r="N48" s="11"/>
      <c r="O48" s="21"/>
      <c r="P48" s="7"/>
      <c r="Q48" s="14"/>
      <c r="R48" s="7"/>
    </row>
    <row r="49" spans="3:18" ht="12.75">
      <c r="C49" s="5"/>
      <c r="E49" s="14"/>
      <c r="F49" s="17"/>
      <c r="G49" s="14"/>
      <c r="H49" s="17"/>
      <c r="I49" s="11"/>
      <c r="J49" s="16"/>
      <c r="K49" s="14"/>
      <c r="L49" s="14"/>
      <c r="M49" s="14"/>
      <c r="N49" s="11"/>
      <c r="O49" s="21"/>
      <c r="P49" s="7"/>
      <c r="Q49" s="14"/>
      <c r="R49" s="7"/>
    </row>
    <row r="50" spans="3:18" ht="12.75">
      <c r="C50" s="5"/>
      <c r="E50" s="14"/>
      <c r="F50" s="17"/>
      <c r="G50" s="14"/>
      <c r="H50" s="17"/>
      <c r="I50" s="11"/>
      <c r="J50" s="16"/>
      <c r="K50" s="14"/>
      <c r="L50" s="14"/>
      <c r="M50" s="14"/>
      <c r="N50" s="11"/>
      <c r="O50" s="21"/>
      <c r="P50" s="7"/>
      <c r="Q50" s="14"/>
      <c r="R50" s="7"/>
    </row>
    <row r="51" spans="3:18" ht="12.75">
      <c r="C51" s="5"/>
      <c r="E51" s="14"/>
      <c r="F51" s="17"/>
      <c r="G51" s="14"/>
      <c r="H51" s="17"/>
      <c r="I51" s="11"/>
      <c r="J51" s="16"/>
      <c r="K51" s="14"/>
      <c r="L51" s="14"/>
      <c r="M51" s="14"/>
      <c r="N51" s="11"/>
      <c r="O51" s="21"/>
      <c r="P51" s="7"/>
      <c r="Q51" s="14"/>
      <c r="R51" s="7"/>
    </row>
    <row r="52" spans="3:18" ht="12.75">
      <c r="C52" s="5"/>
      <c r="E52" s="14"/>
      <c r="F52" s="17"/>
      <c r="G52" s="14"/>
      <c r="H52" s="17"/>
      <c r="I52" s="11"/>
      <c r="J52" s="16"/>
      <c r="K52" s="14"/>
      <c r="L52" s="14"/>
      <c r="M52" s="14"/>
      <c r="N52" s="11"/>
      <c r="O52" s="21"/>
      <c r="P52" s="7"/>
      <c r="Q52" s="14"/>
      <c r="R52" s="7"/>
    </row>
    <row r="53" spans="3:18" ht="12.75">
      <c r="C53" s="5"/>
      <c r="E53" s="14"/>
      <c r="F53" s="17"/>
      <c r="G53" s="14"/>
      <c r="H53" s="17"/>
      <c r="I53" s="11"/>
      <c r="J53" s="16"/>
      <c r="K53" s="14"/>
      <c r="L53" s="14"/>
      <c r="M53" s="14"/>
      <c r="N53" s="11"/>
      <c r="O53" s="21"/>
      <c r="P53" s="7"/>
      <c r="Q53" s="14"/>
      <c r="R53" s="7"/>
    </row>
    <row r="54" spans="3:18" ht="12.75">
      <c r="C54" s="5"/>
      <c r="E54" s="14"/>
      <c r="F54" s="17"/>
      <c r="G54" s="14"/>
      <c r="H54" s="17"/>
      <c r="I54" s="11"/>
      <c r="J54" s="16"/>
      <c r="K54" s="14"/>
      <c r="L54" s="14"/>
      <c r="M54" s="14"/>
      <c r="N54" s="11"/>
      <c r="O54" s="21"/>
      <c r="P54" s="7"/>
      <c r="Q54" s="14"/>
      <c r="R54" s="7"/>
    </row>
    <row r="55" spans="3:18" ht="12.75">
      <c r="C55" s="5"/>
      <c r="E55" s="14"/>
      <c r="F55" s="17"/>
      <c r="G55" s="14"/>
      <c r="H55" s="17"/>
      <c r="I55" s="11"/>
      <c r="J55" s="16"/>
      <c r="K55" s="14"/>
      <c r="L55" s="14"/>
      <c r="M55" s="14"/>
      <c r="N55" s="11"/>
      <c r="O55" s="21"/>
      <c r="P55" s="7"/>
      <c r="Q55" s="14"/>
      <c r="R55" s="7"/>
    </row>
    <row r="56" spans="3:18" ht="12.75">
      <c r="C56" s="5"/>
      <c r="E56" s="14"/>
      <c r="F56" s="17"/>
      <c r="G56" s="14"/>
      <c r="H56" s="17"/>
      <c r="I56" s="11"/>
      <c r="J56" s="16"/>
      <c r="K56" s="14"/>
      <c r="L56" s="14"/>
      <c r="M56" s="14"/>
      <c r="N56" s="11"/>
      <c r="O56" s="21"/>
      <c r="P56" s="7"/>
      <c r="Q56" s="14"/>
      <c r="R56" s="7"/>
    </row>
    <row r="57" spans="3:18" ht="12.75">
      <c r="C57" s="5"/>
      <c r="E57" s="14"/>
      <c r="F57" s="17"/>
      <c r="G57" s="14"/>
      <c r="H57" s="17"/>
      <c r="I57" s="11"/>
      <c r="J57" s="16"/>
      <c r="K57" s="14"/>
      <c r="L57" s="14"/>
      <c r="M57" s="14"/>
      <c r="N57" s="11"/>
      <c r="O57" s="21"/>
      <c r="P57" s="7"/>
      <c r="Q57" s="14"/>
      <c r="R57" s="7"/>
    </row>
    <row r="58" spans="3:18" ht="12.75">
      <c r="C58" s="5"/>
      <c r="E58" s="14"/>
      <c r="F58" s="17"/>
      <c r="G58" s="14"/>
      <c r="H58" s="17"/>
      <c r="I58" s="11"/>
      <c r="J58" s="16"/>
      <c r="K58" s="14"/>
      <c r="L58" s="14"/>
      <c r="M58" s="14"/>
      <c r="N58" s="11"/>
      <c r="O58" s="21"/>
      <c r="P58" s="7"/>
      <c r="Q58" s="14"/>
      <c r="R58" s="7"/>
    </row>
    <row r="59" spans="3:18" ht="12.75">
      <c r="C59" s="5"/>
      <c r="E59" s="14"/>
      <c r="F59" s="17"/>
      <c r="G59" s="14"/>
      <c r="H59" s="17"/>
      <c r="I59" s="11"/>
      <c r="J59" s="16"/>
      <c r="K59" s="14"/>
      <c r="L59" s="14"/>
      <c r="M59" s="14"/>
      <c r="N59" s="11"/>
      <c r="O59" s="21"/>
      <c r="P59" s="7"/>
      <c r="Q59" s="14"/>
      <c r="R59" s="7"/>
    </row>
    <row r="60" spans="3:18" ht="12.75">
      <c r="C60" s="5"/>
      <c r="E60" s="14"/>
      <c r="F60" s="17"/>
      <c r="G60" s="14"/>
      <c r="H60" s="17"/>
      <c r="I60" s="11"/>
      <c r="J60" s="16"/>
      <c r="K60" s="14"/>
      <c r="L60" s="14"/>
      <c r="M60" s="14"/>
      <c r="N60" s="11"/>
      <c r="O60" s="21"/>
      <c r="P60" s="7"/>
      <c r="Q60" s="14"/>
      <c r="R60" s="7"/>
    </row>
    <row r="61" spans="3:18" ht="12.75">
      <c r="C61" s="5"/>
      <c r="E61" s="14"/>
      <c r="F61" s="17"/>
      <c r="G61" s="14"/>
      <c r="H61" s="17"/>
      <c r="I61" s="11"/>
      <c r="J61" s="16"/>
      <c r="K61" s="14"/>
      <c r="L61" s="14"/>
      <c r="M61" s="14"/>
      <c r="N61" s="11"/>
      <c r="O61" s="21"/>
      <c r="P61" s="7"/>
      <c r="Q61" s="14"/>
      <c r="R61" s="7"/>
    </row>
    <row r="62" spans="5:17" ht="12.75">
      <c r="E62" s="17"/>
      <c r="G62" s="17"/>
      <c r="I62" s="18"/>
      <c r="J62" s="17"/>
      <c r="K62" s="14"/>
      <c r="L62" s="14"/>
      <c r="M62" s="14"/>
      <c r="N62" s="18"/>
      <c r="O62" s="16"/>
      <c r="Q62" s="17"/>
    </row>
    <row r="63" spans="5:18" ht="12.75">
      <c r="E63" s="17"/>
      <c r="F63" s="17"/>
      <c r="G63" s="17"/>
      <c r="H63" s="17"/>
      <c r="I63" s="18"/>
      <c r="J63" s="17"/>
      <c r="K63" s="14"/>
      <c r="L63" s="14"/>
      <c r="M63" s="14"/>
      <c r="N63" s="18"/>
      <c r="O63" s="17"/>
      <c r="P63" s="17"/>
      <c r="Q63" s="17"/>
      <c r="R63" s="17"/>
    </row>
    <row r="64" spans="5:18" ht="12.75">
      <c r="E64" s="17"/>
      <c r="F64" s="17"/>
      <c r="G64" s="17"/>
      <c r="H64" s="17"/>
      <c r="I64" s="18"/>
      <c r="J64" s="17"/>
      <c r="K64" s="14"/>
      <c r="L64" s="14"/>
      <c r="M64" s="14"/>
      <c r="N64" s="18"/>
      <c r="O64" s="17"/>
      <c r="P64" s="17"/>
      <c r="Q64" s="17"/>
      <c r="R64" s="17"/>
    </row>
    <row r="65" spans="5:18" ht="12.75">
      <c r="E65" s="17"/>
      <c r="F65" s="16"/>
      <c r="G65" s="17"/>
      <c r="H65" s="16"/>
      <c r="I65" s="20"/>
      <c r="J65" s="17"/>
      <c r="K65" s="21"/>
      <c r="L65" s="14"/>
      <c r="M65" s="21"/>
      <c r="N65" s="18"/>
      <c r="O65" s="17"/>
      <c r="P65" s="17"/>
      <c r="Q65" s="17"/>
      <c r="R65" s="17"/>
    </row>
    <row r="66" spans="3:18" ht="12.75">
      <c r="C66" s="7"/>
      <c r="D66" s="11"/>
      <c r="E66" s="14"/>
      <c r="F66" s="17"/>
      <c r="G66" s="14"/>
      <c r="H66" s="17"/>
      <c r="I66" s="11"/>
      <c r="J66" s="14"/>
      <c r="K66" s="14"/>
      <c r="L66" s="14"/>
      <c r="M66" s="14"/>
      <c r="N66" s="11"/>
      <c r="O66" s="17"/>
      <c r="P66" s="7"/>
      <c r="Q66" s="7"/>
      <c r="R66" s="7"/>
    </row>
    <row r="67" spans="3:18" ht="12.75">
      <c r="C67" s="7"/>
      <c r="D67" s="11"/>
      <c r="E67" s="17"/>
      <c r="G67" s="15"/>
      <c r="I67" s="11"/>
      <c r="J67" s="17"/>
      <c r="K67" s="7"/>
      <c r="L67" s="14"/>
      <c r="M67" s="7"/>
      <c r="N67" s="11"/>
      <c r="O67" s="17"/>
      <c r="P67" s="15"/>
      <c r="Q67" s="15"/>
      <c r="R67" s="15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39"/>
  <sheetViews>
    <sheetView workbookViewId="0" topLeftCell="K1">
      <selection activeCell="U16" sqref="U16"/>
    </sheetView>
  </sheetViews>
  <sheetFormatPr defaultColWidth="9.140625" defaultRowHeight="12.75"/>
  <cols>
    <col min="1" max="1" width="6.7109375" style="0" hidden="1" customWidth="1"/>
    <col min="2" max="2" width="1.7109375" style="0" hidden="1" customWidth="1"/>
    <col min="3" max="3" width="13.8515625" style="0" customWidth="1"/>
    <col min="5" max="5" width="4.421875" style="0" customWidth="1"/>
    <col min="6" max="8" width="9.140625" style="84" customWidth="1"/>
    <col min="9" max="9" width="4.140625" style="0" customWidth="1"/>
    <col min="10" max="12" width="9.140625" style="84" customWidth="1"/>
    <col min="13" max="13" width="5.57421875" style="0" customWidth="1"/>
    <col min="14" max="16" width="9.140625" style="84" customWidth="1"/>
    <col min="17" max="17" width="4.421875" style="0" customWidth="1"/>
    <col min="18" max="20" width="9.140625" style="84" customWidth="1"/>
  </cols>
  <sheetData>
    <row r="1" spans="3:20" ht="12.75">
      <c r="C1" s="2" t="s">
        <v>181</v>
      </c>
      <c r="D1" s="5" t="s">
        <v>26</v>
      </c>
      <c r="F1" s="82" t="s">
        <v>147</v>
      </c>
      <c r="G1" s="82"/>
      <c r="H1" s="82"/>
      <c r="J1" s="82" t="s">
        <v>148</v>
      </c>
      <c r="K1" s="82"/>
      <c r="L1" s="82"/>
      <c r="N1" s="82" t="s">
        <v>149</v>
      </c>
      <c r="O1" s="82"/>
      <c r="P1" s="82"/>
      <c r="R1" s="82" t="s">
        <v>150</v>
      </c>
      <c r="S1" s="82"/>
      <c r="T1" s="82"/>
    </row>
    <row r="2" spans="4:20" ht="12.75">
      <c r="D2" s="5" t="s">
        <v>30</v>
      </c>
      <c r="F2" s="83" t="s">
        <v>31</v>
      </c>
      <c r="G2" s="11" t="s">
        <v>31</v>
      </c>
      <c r="H2" s="11" t="s">
        <v>32</v>
      </c>
      <c r="I2" s="3"/>
      <c r="J2" s="83" t="s">
        <v>31</v>
      </c>
      <c r="K2" s="11" t="s">
        <v>31</v>
      </c>
      <c r="L2" s="11" t="s">
        <v>32</v>
      </c>
      <c r="M2" s="3"/>
      <c r="N2" s="83" t="s">
        <v>31</v>
      </c>
      <c r="O2" s="11" t="s">
        <v>31</v>
      </c>
      <c r="P2" s="11" t="s">
        <v>32</v>
      </c>
      <c r="Q2" s="3"/>
      <c r="R2" s="83" t="s">
        <v>31</v>
      </c>
      <c r="S2" s="11" t="s">
        <v>31</v>
      </c>
      <c r="T2" s="11" t="s">
        <v>32</v>
      </c>
    </row>
    <row r="3" spans="3:20" ht="12.75">
      <c r="C3" t="s">
        <v>79</v>
      </c>
      <c r="D3" s="5"/>
      <c r="F3" s="83" t="s">
        <v>208</v>
      </c>
      <c r="G3" s="11" t="s">
        <v>73</v>
      </c>
      <c r="H3" s="11" t="s">
        <v>73</v>
      </c>
      <c r="I3" s="3"/>
      <c r="J3" s="83" t="s">
        <v>208</v>
      </c>
      <c r="K3" s="11" t="s">
        <v>73</v>
      </c>
      <c r="L3" s="11" t="s">
        <v>73</v>
      </c>
      <c r="M3" s="3"/>
      <c r="N3" s="83" t="s">
        <v>208</v>
      </c>
      <c r="O3" s="11" t="s">
        <v>73</v>
      </c>
      <c r="P3" s="11" t="s">
        <v>73</v>
      </c>
      <c r="Q3" s="3"/>
      <c r="R3" s="83" t="s">
        <v>208</v>
      </c>
      <c r="S3" s="11" t="s">
        <v>73</v>
      </c>
      <c r="T3" s="11" t="s">
        <v>73</v>
      </c>
    </row>
    <row r="4" spans="4:20" ht="12.75">
      <c r="D4" s="4"/>
      <c r="G4" s="7"/>
      <c r="H4" s="7"/>
      <c r="K4" s="7"/>
      <c r="L4" s="7"/>
      <c r="O4" s="7"/>
      <c r="P4" s="7"/>
      <c r="S4" s="7"/>
      <c r="T4" s="7"/>
    </row>
    <row r="5" spans="1:40" s="66" customFormat="1" ht="12.75">
      <c r="A5" s="66" t="s">
        <v>181</v>
      </c>
      <c r="B5" s="66">
        <v>1</v>
      </c>
      <c r="C5" s="66" t="s">
        <v>209</v>
      </c>
      <c r="D5" s="5">
        <v>1</v>
      </c>
      <c r="E5" s="64">
        <v>1</v>
      </c>
      <c r="F5" s="71">
        <v>0.020521064433081423</v>
      </c>
      <c r="G5" s="7">
        <f>IF(F5=0,"",IF(E5=1,F5/2,F5))</f>
        <v>0.010260532216540712</v>
      </c>
      <c r="H5" s="7">
        <f>IF(G5="","",G5*$D5)</f>
        <v>0.010260532216540712</v>
      </c>
      <c r="I5" s="64"/>
      <c r="J5" s="71">
        <v>3.1883870967742</v>
      </c>
      <c r="K5" s="7">
        <f>IF(J5=0,"",IF(I5=1,J5/2,J5))</f>
        <v>3.1883870967742</v>
      </c>
      <c r="L5" s="7">
        <f>IF(K5="","",K5*$D5)</f>
        <v>3.1883870967742</v>
      </c>
      <c r="M5" s="64">
        <v>1</v>
      </c>
      <c r="N5" s="71">
        <v>0.029261822854064</v>
      </c>
      <c r="O5" s="7">
        <f>IF(N5=0,"",IF(M5=1,N5/2,N5))</f>
        <v>0.014630911427032</v>
      </c>
      <c r="P5" s="7">
        <f>IF(O5="","",O5*$D5)</f>
        <v>0.014630911427032</v>
      </c>
      <c r="Q5" s="64">
        <v>1</v>
      </c>
      <c r="R5" s="71">
        <v>0.11866543407009</v>
      </c>
      <c r="S5" s="7">
        <f>IF(R5=0,"",IF(Q5=1,R5/2,R5))</f>
        <v>0.059332717035045</v>
      </c>
      <c r="T5" s="7">
        <f>IF(S5="","",S5*$D5)</f>
        <v>0.059332717035045</v>
      </c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</row>
    <row r="6" spans="1:40" s="66" customFormat="1" ht="12.75">
      <c r="A6" s="66" t="s">
        <v>181</v>
      </c>
      <c r="B6" s="66">
        <v>2</v>
      </c>
      <c r="C6" s="66" t="s">
        <v>210</v>
      </c>
      <c r="D6" s="5">
        <v>0</v>
      </c>
      <c r="E6" s="64"/>
      <c r="F6" s="71">
        <v>11.412643405426564</v>
      </c>
      <c r="G6" s="7">
        <f aca="true" t="shared" si="0" ref="G6:G37">IF(F6=0,"",IF(E6=1,F6/2,F6))</f>
        <v>11.412643405426564</v>
      </c>
      <c r="H6" s="7">
        <f aca="true" t="shared" si="1" ref="H6:H37">IF(G6="","",G6*$D6)</f>
        <v>0</v>
      </c>
      <c r="I6" s="64"/>
      <c r="J6" s="71">
        <v>167.8874366978841</v>
      </c>
      <c r="K6" s="7">
        <f aca="true" t="shared" si="2" ref="K6:K37">IF(J6=0,"",IF(I6=1,J6/2,J6))</f>
        <v>167.8874366978841</v>
      </c>
      <c r="L6" s="7">
        <f aca="true" t="shared" si="3" ref="L6:L37">IF(K6="","",K6*$D6)</f>
        <v>0</v>
      </c>
      <c r="M6" s="64"/>
      <c r="N6" s="71">
        <v>44.15609068678244</v>
      </c>
      <c r="O6" s="7">
        <f aca="true" t="shared" si="4" ref="O6:O37">IF(N6=0,"",IF(M6=1,N6/2,N6))</f>
        <v>44.15609068678244</v>
      </c>
      <c r="P6" s="7">
        <f aca="true" t="shared" si="5" ref="P6:P37">IF(O6="","",O6*$D6)</f>
        <v>0</v>
      </c>
      <c r="Q6" s="64"/>
      <c r="R6" s="71">
        <v>17.621816959408353</v>
      </c>
      <c r="S6" s="7">
        <f aca="true" t="shared" si="6" ref="S6:S37">IF(R6=0,"",IF(Q6=1,R6/2,R6))</f>
        <v>17.621816959408353</v>
      </c>
      <c r="T6" s="7">
        <f aca="true" t="shared" si="7" ref="T6:T37">IF(S6="","",S6*$D6)</f>
        <v>0</v>
      </c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s="66" customFormat="1" ht="12.75">
      <c r="A7" s="66" t="s">
        <v>181</v>
      </c>
      <c r="B7" s="66">
        <v>3</v>
      </c>
      <c r="C7" s="66" t="s">
        <v>211</v>
      </c>
      <c r="D7" s="5">
        <v>0</v>
      </c>
      <c r="E7" s="64"/>
      <c r="F7" s="71">
        <v>11.433164469859646</v>
      </c>
      <c r="G7" s="7">
        <f t="shared" si="0"/>
        <v>11.433164469859646</v>
      </c>
      <c r="H7" s="7">
        <f t="shared" si="1"/>
        <v>0</v>
      </c>
      <c r="I7" s="64"/>
      <c r="J7" s="71">
        <v>171.0758237946583</v>
      </c>
      <c r="K7" s="7">
        <f t="shared" si="2"/>
        <v>171.0758237946583</v>
      </c>
      <c r="L7" s="7">
        <f t="shared" si="3"/>
        <v>0</v>
      </c>
      <c r="M7" s="64"/>
      <c r="N7" s="71">
        <v>44.1853525096365</v>
      </c>
      <c r="O7" s="7">
        <f t="shared" si="4"/>
        <v>44.1853525096365</v>
      </c>
      <c r="P7" s="7">
        <f t="shared" si="5"/>
        <v>0</v>
      </c>
      <c r="Q7" s="64"/>
      <c r="R7" s="71">
        <v>17.74048239347844</v>
      </c>
      <c r="S7" s="7">
        <f t="shared" si="6"/>
        <v>17.74048239347844</v>
      </c>
      <c r="T7" s="7">
        <f t="shared" si="7"/>
        <v>0</v>
      </c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</row>
    <row r="8" spans="1:40" s="66" customFormat="1" ht="12.75">
      <c r="A8" s="66" t="s">
        <v>181</v>
      </c>
      <c r="B8" s="66">
        <v>4</v>
      </c>
      <c r="C8" s="66" t="s">
        <v>212</v>
      </c>
      <c r="D8" s="5">
        <v>0.5</v>
      </c>
      <c r="E8" s="64"/>
      <c r="F8" s="71">
        <v>0.1143316446985965</v>
      </c>
      <c r="G8" s="7">
        <f t="shared" si="0"/>
        <v>0.1143316446985965</v>
      </c>
      <c r="H8" s="7">
        <f t="shared" si="1"/>
        <v>0.05716582234929825</v>
      </c>
      <c r="I8" s="64"/>
      <c r="J8" s="71">
        <v>2.502712452306625</v>
      </c>
      <c r="K8" s="7">
        <f t="shared" si="2"/>
        <v>2.502712452306625</v>
      </c>
      <c r="L8" s="7">
        <f t="shared" si="3"/>
        <v>1.2513562261533124</v>
      </c>
      <c r="M8" s="64"/>
      <c r="N8" s="71">
        <v>0.2896920462552327</v>
      </c>
      <c r="O8" s="7">
        <f t="shared" si="4"/>
        <v>0.2896920462552327</v>
      </c>
      <c r="P8" s="7">
        <f t="shared" si="5"/>
        <v>0.14484602312761635</v>
      </c>
      <c r="Q8" s="64"/>
      <c r="R8" s="71">
        <v>0.17503151525338267</v>
      </c>
      <c r="S8" s="7">
        <f t="shared" si="6"/>
        <v>0.17503151525338267</v>
      </c>
      <c r="T8" s="7">
        <f t="shared" si="7"/>
        <v>0.08751575762669134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66" customFormat="1" ht="12.75">
      <c r="A9" s="66" t="s">
        <v>181</v>
      </c>
      <c r="B9" s="66">
        <v>5</v>
      </c>
      <c r="C9" s="66" t="s">
        <v>213</v>
      </c>
      <c r="D9" s="5">
        <v>0</v>
      </c>
      <c r="E9" s="64"/>
      <c r="F9" s="71">
        <v>14.807413778785</v>
      </c>
      <c r="G9" s="7">
        <f t="shared" si="0"/>
        <v>14.807413778785</v>
      </c>
      <c r="H9" s="7">
        <f t="shared" si="1"/>
        <v>0</v>
      </c>
      <c r="I9" s="64"/>
      <c r="J9" s="71">
        <v>251.5397433229275</v>
      </c>
      <c r="K9" s="7">
        <f t="shared" si="2"/>
        <v>251.5397433229275</v>
      </c>
      <c r="L9" s="7">
        <f t="shared" si="3"/>
        <v>0</v>
      </c>
      <c r="M9" s="64"/>
      <c r="N9" s="71">
        <v>50.33326149127533</v>
      </c>
      <c r="O9" s="7">
        <f t="shared" si="4"/>
        <v>50.33326149127533</v>
      </c>
      <c r="P9" s="7">
        <f t="shared" si="5"/>
        <v>0</v>
      </c>
      <c r="Q9" s="64"/>
      <c r="R9" s="71">
        <v>23.0240608454492</v>
      </c>
      <c r="S9" s="7">
        <f t="shared" si="6"/>
        <v>23.0240608454492</v>
      </c>
      <c r="T9" s="7">
        <f t="shared" si="7"/>
        <v>0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</row>
    <row r="10" spans="1:40" s="66" customFormat="1" ht="12.75">
      <c r="A10" s="66" t="s">
        <v>181</v>
      </c>
      <c r="B10" s="66">
        <v>5</v>
      </c>
      <c r="C10" s="66" t="s">
        <v>214</v>
      </c>
      <c r="D10" s="5">
        <v>0</v>
      </c>
      <c r="E10" s="64"/>
      <c r="F10" s="71">
        <v>14.921745423483488</v>
      </c>
      <c r="G10" s="7">
        <f t="shared" si="0"/>
        <v>14.921745423483488</v>
      </c>
      <c r="H10" s="7">
        <f t="shared" si="1"/>
        <v>0</v>
      </c>
      <c r="I10" s="64"/>
      <c r="J10" s="71">
        <v>254.04245577523412</v>
      </c>
      <c r="K10" s="7">
        <f t="shared" si="2"/>
        <v>254.04245577523412</v>
      </c>
      <c r="L10" s="7">
        <f t="shared" si="3"/>
        <v>0</v>
      </c>
      <c r="M10" s="64"/>
      <c r="N10" s="71">
        <v>50.62295353753056</v>
      </c>
      <c r="O10" s="7">
        <f t="shared" si="4"/>
        <v>50.62295353753056</v>
      </c>
      <c r="P10" s="7">
        <f t="shared" si="5"/>
        <v>0</v>
      </c>
      <c r="Q10" s="64"/>
      <c r="R10" s="71">
        <v>23.199092360702583</v>
      </c>
      <c r="S10" s="7">
        <f t="shared" si="6"/>
        <v>23.199092360702583</v>
      </c>
      <c r="T10" s="7">
        <f t="shared" si="7"/>
        <v>0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</row>
    <row r="11" spans="1:40" s="66" customFormat="1" ht="12.75">
      <c r="A11" s="66" t="s">
        <v>181</v>
      </c>
      <c r="B11" s="66">
        <v>7</v>
      </c>
      <c r="C11" s="66" t="s">
        <v>215</v>
      </c>
      <c r="D11" s="5">
        <v>0.1</v>
      </c>
      <c r="E11" s="64"/>
      <c r="F11" s="71">
        <v>0.1905527411643275</v>
      </c>
      <c r="G11" s="7">
        <f t="shared" si="0"/>
        <v>0.1905527411643275</v>
      </c>
      <c r="H11" s="7">
        <f t="shared" si="1"/>
        <v>0.01905527411643275</v>
      </c>
      <c r="I11" s="64"/>
      <c r="J11" s="71">
        <v>1.0970794311481</v>
      </c>
      <c r="K11" s="7">
        <f t="shared" si="2"/>
        <v>1.0970794311481</v>
      </c>
      <c r="L11" s="7">
        <f t="shared" si="3"/>
        <v>0.10970794311481001</v>
      </c>
      <c r="M11" s="64"/>
      <c r="N11" s="71">
        <v>0.46818916566502256</v>
      </c>
      <c r="O11" s="7">
        <f t="shared" si="4"/>
        <v>0.46818916566502256</v>
      </c>
      <c r="P11" s="7">
        <f t="shared" si="5"/>
        <v>0.04681891656650226</v>
      </c>
      <c r="Q11" s="64"/>
      <c r="R11" s="71">
        <v>0.15723170014287</v>
      </c>
      <c r="S11" s="7">
        <f t="shared" si="6"/>
        <v>0.15723170014287</v>
      </c>
      <c r="T11" s="7">
        <f t="shared" si="7"/>
        <v>0.015723170014287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1:40" s="66" customFormat="1" ht="12.75">
      <c r="A12" s="66" t="s">
        <v>181</v>
      </c>
      <c r="B12" s="66">
        <v>8</v>
      </c>
      <c r="C12" s="66" t="s">
        <v>216</v>
      </c>
      <c r="D12" s="5">
        <v>0.1</v>
      </c>
      <c r="E12" s="64"/>
      <c r="F12" s="71">
        <v>0.35178967599568145</v>
      </c>
      <c r="G12" s="7">
        <f t="shared" si="0"/>
        <v>0.35178967599568145</v>
      </c>
      <c r="H12" s="7">
        <f t="shared" si="1"/>
        <v>0.035178967599568144</v>
      </c>
      <c r="I12" s="64"/>
      <c r="J12" s="71">
        <v>1.9198890045092</v>
      </c>
      <c r="K12" s="7">
        <f t="shared" si="2"/>
        <v>1.9198890045092</v>
      </c>
      <c r="L12" s="7">
        <f t="shared" si="3"/>
        <v>0.19198890045092</v>
      </c>
      <c r="M12" s="64"/>
      <c r="N12" s="71">
        <v>0.8778546856219173</v>
      </c>
      <c r="O12" s="7">
        <f t="shared" si="4"/>
        <v>0.8778546856219173</v>
      </c>
      <c r="P12" s="7">
        <f t="shared" si="5"/>
        <v>0.08778546856219173</v>
      </c>
      <c r="Q12" s="64"/>
      <c r="R12" s="71">
        <v>0.3856626607277923</v>
      </c>
      <c r="S12" s="7">
        <f t="shared" si="6"/>
        <v>0.3856626607277923</v>
      </c>
      <c r="T12" s="7">
        <f t="shared" si="7"/>
        <v>0.038566266072779236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</row>
    <row r="13" spans="1:40" s="66" customFormat="1" ht="12.75">
      <c r="A13" s="66" t="s">
        <v>181</v>
      </c>
      <c r="B13" s="66">
        <v>9</v>
      </c>
      <c r="C13" s="66" t="s">
        <v>217</v>
      </c>
      <c r="D13" s="5">
        <v>0.1</v>
      </c>
      <c r="E13" s="64"/>
      <c r="F13" s="71">
        <v>0.322473869662708</v>
      </c>
      <c r="G13" s="7">
        <f t="shared" si="0"/>
        <v>0.322473869662708</v>
      </c>
      <c r="H13" s="7">
        <f t="shared" si="1"/>
        <v>0.0322473869662708</v>
      </c>
      <c r="I13" s="64"/>
      <c r="J13" s="71">
        <v>1.9884564689559487</v>
      </c>
      <c r="K13" s="7">
        <f t="shared" si="2"/>
        <v>1.9884564689559487</v>
      </c>
      <c r="L13" s="7">
        <f t="shared" si="3"/>
        <v>0.1988456468955949</v>
      </c>
      <c r="M13" s="64"/>
      <c r="N13" s="71">
        <v>0.8485928627678534</v>
      </c>
      <c r="O13" s="7">
        <f t="shared" si="4"/>
        <v>0.8485928627678534</v>
      </c>
      <c r="P13" s="7">
        <f t="shared" si="5"/>
        <v>0.08485928627678535</v>
      </c>
      <c r="Q13" s="64"/>
      <c r="R13" s="71">
        <v>0.35599630221027</v>
      </c>
      <c r="S13" s="7">
        <f t="shared" si="6"/>
        <v>0.35599630221027</v>
      </c>
      <c r="T13" s="7">
        <f t="shared" si="7"/>
        <v>0.035599630221027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40" s="66" customFormat="1" ht="12.75">
      <c r="A14" s="66" t="s">
        <v>181</v>
      </c>
      <c r="B14" s="66">
        <v>10</v>
      </c>
      <c r="C14" s="66" t="s">
        <v>218</v>
      </c>
      <c r="D14" s="5">
        <v>0</v>
      </c>
      <c r="E14" s="64"/>
      <c r="F14" s="71">
        <v>30.209938426129145</v>
      </c>
      <c r="G14" s="7">
        <f t="shared" si="0"/>
        <v>30.209938426129145</v>
      </c>
      <c r="H14" s="7">
        <f t="shared" si="1"/>
        <v>0</v>
      </c>
      <c r="I14" s="64"/>
      <c r="J14" s="71">
        <v>120.130197710718</v>
      </c>
      <c r="K14" s="7">
        <f t="shared" si="2"/>
        <v>120.130197710718</v>
      </c>
      <c r="L14" s="7">
        <f t="shared" si="3"/>
        <v>0</v>
      </c>
      <c r="M14" s="64"/>
      <c r="N14" s="71">
        <v>128.02047498653</v>
      </c>
      <c r="O14" s="7">
        <f t="shared" si="4"/>
        <v>128.02047498653</v>
      </c>
      <c r="P14" s="7">
        <f t="shared" si="5"/>
        <v>0</v>
      </c>
      <c r="Q14" s="64"/>
      <c r="R14" s="71">
        <v>42.117329187326675</v>
      </c>
      <c r="S14" s="7">
        <f t="shared" si="6"/>
        <v>42.117329187326675</v>
      </c>
      <c r="T14" s="7">
        <f t="shared" si="7"/>
        <v>0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40" s="66" customFormat="1" ht="12.75">
      <c r="A15" s="66" t="s">
        <v>181</v>
      </c>
      <c r="B15" s="66">
        <v>11</v>
      </c>
      <c r="C15" s="66" t="s">
        <v>219</v>
      </c>
      <c r="D15" s="5">
        <v>0</v>
      </c>
      <c r="E15" s="64"/>
      <c r="F15" s="71">
        <v>31.074754712951865</v>
      </c>
      <c r="G15" s="7">
        <f t="shared" si="0"/>
        <v>31.074754712951865</v>
      </c>
      <c r="H15" s="7">
        <f t="shared" si="1"/>
        <v>0</v>
      </c>
      <c r="I15" s="64"/>
      <c r="J15" s="71">
        <v>125.13562261533124</v>
      </c>
      <c r="K15" s="7">
        <f t="shared" si="2"/>
        <v>125.13562261533124</v>
      </c>
      <c r="L15" s="7">
        <f t="shared" si="3"/>
        <v>0</v>
      </c>
      <c r="M15" s="64"/>
      <c r="N15" s="71">
        <v>130.2151117005844</v>
      </c>
      <c r="O15" s="7">
        <f t="shared" si="4"/>
        <v>130.2151117005844</v>
      </c>
      <c r="P15" s="7">
        <f t="shared" si="5"/>
        <v>0</v>
      </c>
      <c r="Q15" s="64"/>
      <c r="R15" s="71">
        <v>43.0162198504076</v>
      </c>
      <c r="S15" s="7">
        <f t="shared" si="6"/>
        <v>43.0162198504076</v>
      </c>
      <c r="T15" s="7">
        <f t="shared" si="7"/>
        <v>0</v>
      </c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40" s="66" customFormat="1" ht="12.75">
      <c r="A16" s="66" t="s">
        <v>181</v>
      </c>
      <c r="B16" s="66">
        <v>12</v>
      </c>
      <c r="C16" s="66" t="s">
        <v>220</v>
      </c>
      <c r="D16" s="5">
        <v>0.01</v>
      </c>
      <c r="E16" s="64"/>
      <c r="F16" s="71">
        <v>1.8762116053103</v>
      </c>
      <c r="G16" s="7">
        <f t="shared" si="0"/>
        <v>1.8762116053103</v>
      </c>
      <c r="H16" s="7">
        <f t="shared" si="1"/>
        <v>0.018762116053103</v>
      </c>
      <c r="I16" s="64"/>
      <c r="J16" s="71">
        <v>11.656468955948665</v>
      </c>
      <c r="K16" s="7">
        <f t="shared" si="2"/>
        <v>11.656468955948665</v>
      </c>
      <c r="L16" s="7">
        <f t="shared" si="3"/>
        <v>0.11656468955948665</v>
      </c>
      <c r="M16" s="64"/>
      <c r="N16" s="71">
        <v>5.32565175943963</v>
      </c>
      <c r="O16" s="7">
        <f t="shared" si="4"/>
        <v>5.32565175943963</v>
      </c>
      <c r="P16" s="7">
        <f t="shared" si="5"/>
        <v>0.0532565175943963</v>
      </c>
      <c r="Q16" s="64"/>
      <c r="R16" s="71">
        <v>2.3733086814018</v>
      </c>
      <c r="S16" s="7">
        <f t="shared" si="6"/>
        <v>2.3733086814018</v>
      </c>
      <c r="T16" s="7">
        <f t="shared" si="7"/>
        <v>0.023733086814018003</v>
      </c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</row>
    <row r="17" spans="1:40" s="66" customFormat="1" ht="12.75">
      <c r="A17" s="66" t="s">
        <v>181</v>
      </c>
      <c r="B17" s="66">
        <v>13</v>
      </c>
      <c r="C17" s="66" t="s">
        <v>221</v>
      </c>
      <c r="D17" s="5">
        <v>0</v>
      </c>
      <c r="E17" s="64"/>
      <c r="F17" s="71">
        <v>2.785001601632478</v>
      </c>
      <c r="G17" s="7">
        <f t="shared" si="0"/>
        <v>2.785001601632478</v>
      </c>
      <c r="H17" s="7">
        <f t="shared" si="1"/>
        <v>0</v>
      </c>
      <c r="I17" s="64"/>
      <c r="J17" s="71">
        <v>17.45041970169962</v>
      </c>
      <c r="K17" s="7">
        <f t="shared" si="2"/>
        <v>17.45041970169962</v>
      </c>
      <c r="L17" s="7">
        <f t="shared" si="3"/>
        <v>0</v>
      </c>
      <c r="M17" s="64"/>
      <c r="N17" s="71">
        <v>7.578812119202553</v>
      </c>
      <c r="O17" s="7">
        <f t="shared" si="4"/>
        <v>7.578812119202553</v>
      </c>
      <c r="P17" s="7">
        <f t="shared" si="5"/>
        <v>0</v>
      </c>
      <c r="Q17" s="64"/>
      <c r="R17" s="71">
        <v>3.23363307840995</v>
      </c>
      <c r="S17" s="7">
        <f t="shared" si="6"/>
        <v>3.23363307840995</v>
      </c>
      <c r="T17" s="7">
        <f t="shared" si="7"/>
        <v>0</v>
      </c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</row>
    <row r="18" spans="1:40" s="66" customFormat="1" ht="12.75">
      <c r="A18" s="66" t="s">
        <v>181</v>
      </c>
      <c r="B18" s="66">
        <v>14</v>
      </c>
      <c r="C18" s="66" t="s">
        <v>222</v>
      </c>
      <c r="D18" s="5">
        <v>0</v>
      </c>
      <c r="E18" s="64"/>
      <c r="F18" s="71">
        <v>4.661213206942779</v>
      </c>
      <c r="G18" s="7">
        <f t="shared" si="0"/>
        <v>4.661213206942779</v>
      </c>
      <c r="H18" s="7">
        <f t="shared" si="1"/>
        <v>0</v>
      </c>
      <c r="I18" s="64"/>
      <c r="J18" s="71">
        <v>29.106888657648284</v>
      </c>
      <c r="K18" s="7">
        <f t="shared" si="2"/>
        <v>29.106888657648284</v>
      </c>
      <c r="L18" s="7">
        <f t="shared" si="3"/>
        <v>0</v>
      </c>
      <c r="M18" s="64"/>
      <c r="N18" s="71">
        <v>12.904463878642183</v>
      </c>
      <c r="O18" s="7">
        <f t="shared" si="4"/>
        <v>12.904463878642183</v>
      </c>
      <c r="P18" s="7">
        <f t="shared" si="5"/>
        <v>0</v>
      </c>
      <c r="Q18" s="64"/>
      <c r="R18" s="71">
        <v>5.606941759811749</v>
      </c>
      <c r="S18" s="7">
        <f t="shared" si="6"/>
        <v>5.606941759811749</v>
      </c>
      <c r="T18" s="7">
        <f t="shared" si="7"/>
        <v>0</v>
      </c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1:40" s="66" customFormat="1" ht="12.75">
      <c r="A19" s="66" t="s">
        <v>181</v>
      </c>
      <c r="B19" s="66">
        <v>15</v>
      </c>
      <c r="C19" s="66" t="s">
        <v>223</v>
      </c>
      <c r="D19" s="5">
        <v>0.001</v>
      </c>
      <c r="E19" s="64"/>
      <c r="F19" s="71">
        <v>2.052106443308142</v>
      </c>
      <c r="G19" s="7">
        <f t="shared" si="0"/>
        <v>2.052106443308142</v>
      </c>
      <c r="H19" s="7">
        <f t="shared" si="1"/>
        <v>0.002052106443308142</v>
      </c>
      <c r="I19" s="64"/>
      <c r="J19" s="71">
        <v>109.36510579257717</v>
      </c>
      <c r="K19" s="7">
        <f t="shared" si="2"/>
        <v>109.36510579257717</v>
      </c>
      <c r="L19" s="7">
        <f t="shared" si="3"/>
        <v>0.10936510579257717</v>
      </c>
      <c r="M19" s="64"/>
      <c r="N19" s="71">
        <v>2.779873171136071</v>
      </c>
      <c r="O19" s="7">
        <f t="shared" si="4"/>
        <v>2.779873171136071</v>
      </c>
      <c r="P19" s="7">
        <f t="shared" si="5"/>
        <v>0.002779873171136071</v>
      </c>
      <c r="Q19" s="64"/>
      <c r="R19" s="71">
        <v>1.5129842843936465</v>
      </c>
      <c r="S19" s="7">
        <f t="shared" si="6"/>
        <v>1.5129842843936465</v>
      </c>
      <c r="T19" s="7">
        <f t="shared" si="7"/>
        <v>0.0015129842843936466</v>
      </c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0" s="66" customFormat="1" ht="12.75">
      <c r="A20" s="66" t="s">
        <v>181</v>
      </c>
      <c r="B20" s="66">
        <v>16</v>
      </c>
      <c r="C20" s="66" t="s">
        <v>224</v>
      </c>
      <c r="D20" s="5">
        <v>0.1</v>
      </c>
      <c r="E20" s="64"/>
      <c r="F20" s="71">
        <v>0.908789996322177</v>
      </c>
      <c r="G20" s="7">
        <f t="shared" si="0"/>
        <v>0.908789996322177</v>
      </c>
      <c r="H20" s="7">
        <f t="shared" si="1"/>
        <v>0.09087899963221771</v>
      </c>
      <c r="I20" s="64"/>
      <c r="J20" s="71">
        <v>15.324828303850154</v>
      </c>
      <c r="K20" s="7">
        <f t="shared" si="2"/>
        <v>15.324828303850154</v>
      </c>
      <c r="L20" s="7">
        <f t="shared" si="3"/>
        <v>1.5324828303850155</v>
      </c>
      <c r="M20" s="64"/>
      <c r="N20" s="71">
        <v>2.4287312968873</v>
      </c>
      <c r="O20" s="7">
        <f t="shared" si="4"/>
        <v>2.4287312968873</v>
      </c>
      <c r="P20" s="7">
        <f t="shared" si="5"/>
        <v>0.24287312968873</v>
      </c>
      <c r="Q20" s="64"/>
      <c r="R20" s="71">
        <v>0.682326245903017</v>
      </c>
      <c r="S20" s="7">
        <f t="shared" si="6"/>
        <v>0.682326245903017</v>
      </c>
      <c r="T20" s="7">
        <f t="shared" si="7"/>
        <v>0.0682326245903017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2.75">
      <c r="A21" s="66" t="s">
        <v>181</v>
      </c>
      <c r="B21" s="66">
        <v>17</v>
      </c>
      <c r="C21" s="66" t="s">
        <v>225</v>
      </c>
      <c r="D21" s="5">
        <v>0</v>
      </c>
      <c r="E21" s="64"/>
      <c r="F21" s="71">
        <v>3.5765283726227617</v>
      </c>
      <c r="G21" s="7">
        <f t="shared" si="0"/>
        <v>3.5765283726227617</v>
      </c>
      <c r="H21" s="7">
        <f t="shared" si="1"/>
        <v>0</v>
      </c>
      <c r="I21" s="64"/>
      <c r="J21" s="71">
        <v>58.72803329864725</v>
      </c>
      <c r="K21" s="7">
        <f t="shared" si="2"/>
        <v>58.72803329864725</v>
      </c>
      <c r="L21" s="7">
        <f t="shared" si="3"/>
        <v>0</v>
      </c>
      <c r="M21" s="64"/>
      <c r="N21" s="71">
        <v>8.047001284867573</v>
      </c>
      <c r="O21" s="7">
        <f t="shared" si="4"/>
        <v>8.047001284867573</v>
      </c>
      <c r="P21" s="7">
        <f t="shared" si="5"/>
        <v>0</v>
      </c>
      <c r="Q21" s="64"/>
      <c r="R21" s="71">
        <v>2.1953105302966645</v>
      </c>
      <c r="S21" s="7">
        <f t="shared" si="6"/>
        <v>2.1953105302966645</v>
      </c>
      <c r="T21" s="7">
        <f t="shared" si="7"/>
        <v>0</v>
      </c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2.75">
      <c r="A22" s="66" t="s">
        <v>181</v>
      </c>
      <c r="B22" s="66">
        <v>18</v>
      </c>
      <c r="C22" s="66" t="s">
        <v>226</v>
      </c>
      <c r="D22" s="5">
        <v>0</v>
      </c>
      <c r="E22" s="64"/>
      <c r="F22" s="71">
        <v>4.485318368944939</v>
      </c>
      <c r="G22" s="7">
        <f t="shared" si="0"/>
        <v>4.485318368944939</v>
      </c>
      <c r="H22" s="7">
        <f t="shared" si="1"/>
        <v>0</v>
      </c>
      <c r="I22" s="64"/>
      <c r="J22" s="71">
        <v>74.0528616024974</v>
      </c>
      <c r="K22" s="7">
        <f t="shared" si="2"/>
        <v>74.0528616024974</v>
      </c>
      <c r="L22" s="7">
        <f t="shared" si="3"/>
        <v>0</v>
      </c>
      <c r="M22" s="64"/>
      <c r="N22" s="71">
        <v>10.475732581754878</v>
      </c>
      <c r="O22" s="7">
        <f t="shared" si="4"/>
        <v>10.475732581754878</v>
      </c>
      <c r="P22" s="7">
        <f t="shared" si="5"/>
        <v>0</v>
      </c>
      <c r="Q22" s="64"/>
      <c r="R22" s="71">
        <v>2.8776367761996813</v>
      </c>
      <c r="S22" s="7">
        <f t="shared" si="6"/>
        <v>2.8776367761996813</v>
      </c>
      <c r="T22" s="7">
        <f t="shared" si="7"/>
        <v>0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2.75">
      <c r="A23" s="66" t="s">
        <v>181</v>
      </c>
      <c r="B23" s="66">
        <v>19</v>
      </c>
      <c r="C23" s="66" t="s">
        <v>227</v>
      </c>
      <c r="D23" s="5">
        <v>0.05</v>
      </c>
      <c r="E23" s="64"/>
      <c r="F23" s="71">
        <v>0.14071587039827257</v>
      </c>
      <c r="G23" s="7">
        <f t="shared" si="0"/>
        <v>0.14071587039827257</v>
      </c>
      <c r="H23" s="7">
        <f t="shared" si="1"/>
        <v>0.007035793519913629</v>
      </c>
      <c r="I23" s="64"/>
      <c r="J23" s="71">
        <v>1.6799028789455428</v>
      </c>
      <c r="K23" s="7">
        <f t="shared" si="2"/>
        <v>1.6799028789455428</v>
      </c>
      <c r="L23" s="7">
        <f t="shared" si="3"/>
        <v>0.08399514394727714</v>
      </c>
      <c r="M23" s="64"/>
      <c r="N23" s="71">
        <v>0.38040369710283</v>
      </c>
      <c r="O23" s="7">
        <f t="shared" si="4"/>
        <v>0.38040369710283</v>
      </c>
      <c r="P23" s="7">
        <f t="shared" si="5"/>
        <v>0.019020184855141502</v>
      </c>
      <c r="Q23" s="64"/>
      <c r="R23" s="71">
        <v>0.11866543407009</v>
      </c>
      <c r="S23" s="7">
        <f t="shared" si="6"/>
        <v>0.11866543407009</v>
      </c>
      <c r="T23" s="7">
        <f t="shared" si="7"/>
        <v>0.005933271703504501</v>
      </c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2.75">
      <c r="A24" s="66" t="s">
        <v>181</v>
      </c>
      <c r="B24" s="66">
        <v>20</v>
      </c>
      <c r="C24" s="66" t="s">
        <v>228</v>
      </c>
      <c r="D24" s="5">
        <v>0.5</v>
      </c>
      <c r="E24" s="64"/>
      <c r="F24" s="71">
        <v>0.322473869662708</v>
      </c>
      <c r="G24" s="7">
        <f t="shared" si="0"/>
        <v>0.322473869662708</v>
      </c>
      <c r="H24" s="7">
        <f t="shared" si="1"/>
        <v>0.161236934831354</v>
      </c>
      <c r="I24" s="64"/>
      <c r="J24" s="71">
        <v>4.834006243496358</v>
      </c>
      <c r="K24" s="7">
        <f t="shared" si="2"/>
        <v>4.834006243496358</v>
      </c>
      <c r="L24" s="7">
        <f t="shared" si="3"/>
        <v>2.417003121748179</v>
      </c>
      <c r="M24" s="64"/>
      <c r="N24" s="71">
        <v>1.2289965598706842</v>
      </c>
      <c r="O24" s="7">
        <f t="shared" si="4"/>
        <v>1.2289965598706842</v>
      </c>
      <c r="P24" s="7">
        <f t="shared" si="5"/>
        <v>0.6144982799353421</v>
      </c>
      <c r="Q24" s="64"/>
      <c r="R24" s="71">
        <v>0.35599630221027</v>
      </c>
      <c r="S24" s="7">
        <f t="shared" si="6"/>
        <v>0.35599630221027</v>
      </c>
      <c r="T24" s="7">
        <f t="shared" si="7"/>
        <v>0.177998151105135</v>
      </c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2.75">
      <c r="A25" s="66" t="s">
        <v>181</v>
      </c>
      <c r="B25" s="66">
        <v>21</v>
      </c>
      <c r="C25" s="66" t="s">
        <v>229</v>
      </c>
      <c r="D25" s="5">
        <v>0</v>
      </c>
      <c r="E25" s="64"/>
      <c r="F25" s="71">
        <v>1.5889167032471614</v>
      </c>
      <c r="G25" s="7">
        <f t="shared" si="0"/>
        <v>1.5889167032471614</v>
      </c>
      <c r="H25" s="7">
        <f t="shared" si="1"/>
        <v>0</v>
      </c>
      <c r="I25" s="64"/>
      <c r="J25" s="71">
        <v>29.141172389871656</v>
      </c>
      <c r="K25" s="7">
        <f t="shared" si="2"/>
        <v>29.141172389871656</v>
      </c>
      <c r="L25" s="7">
        <f t="shared" si="3"/>
        <v>0</v>
      </c>
      <c r="M25" s="64"/>
      <c r="N25" s="71">
        <v>7.754383056326936</v>
      </c>
      <c r="O25" s="7">
        <f t="shared" si="4"/>
        <v>7.754383056326936</v>
      </c>
      <c r="P25" s="7">
        <f t="shared" si="5"/>
        <v>0</v>
      </c>
      <c r="Q25" s="64"/>
      <c r="R25" s="71">
        <v>1.5129842843936465</v>
      </c>
      <c r="S25" s="7">
        <f t="shared" si="6"/>
        <v>1.5129842843936465</v>
      </c>
      <c r="T25" s="7">
        <f t="shared" si="7"/>
        <v>0</v>
      </c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12.75">
      <c r="A26" s="66" t="s">
        <v>181</v>
      </c>
      <c r="B26" s="66">
        <v>22</v>
      </c>
      <c r="C26" s="66" t="s">
        <v>230</v>
      </c>
      <c r="D26" s="5">
        <v>0</v>
      </c>
      <c r="E26" s="64"/>
      <c r="F26" s="71">
        <v>2.052106443308142</v>
      </c>
      <c r="G26" s="7">
        <f t="shared" si="0"/>
        <v>2.052106443308142</v>
      </c>
      <c r="H26" s="7">
        <f t="shared" si="1"/>
        <v>0</v>
      </c>
      <c r="I26" s="64"/>
      <c r="J26" s="71">
        <v>35.65508151231356</v>
      </c>
      <c r="K26" s="7">
        <f t="shared" si="2"/>
        <v>35.65508151231356</v>
      </c>
      <c r="L26" s="7">
        <f t="shared" si="3"/>
        <v>0</v>
      </c>
      <c r="M26" s="64"/>
      <c r="N26" s="71">
        <v>9.36378331330045</v>
      </c>
      <c r="O26" s="7">
        <f t="shared" si="4"/>
        <v>9.36378331330045</v>
      </c>
      <c r="P26" s="7">
        <f t="shared" si="5"/>
        <v>0</v>
      </c>
      <c r="Q26" s="64"/>
      <c r="R26" s="71">
        <v>1.987646020674</v>
      </c>
      <c r="S26" s="7">
        <f t="shared" si="6"/>
        <v>1.987646020674</v>
      </c>
      <c r="T26" s="7">
        <f t="shared" si="7"/>
        <v>0</v>
      </c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2.75">
      <c r="A27" s="66" t="s">
        <v>181</v>
      </c>
      <c r="B27" s="66">
        <v>23</v>
      </c>
      <c r="C27" s="66" t="s">
        <v>231</v>
      </c>
      <c r="D27" s="5">
        <v>0.1</v>
      </c>
      <c r="E27" s="64"/>
      <c r="F27" s="71">
        <v>0.23745803129708504</v>
      </c>
      <c r="G27" s="7">
        <f t="shared" si="0"/>
        <v>0.23745803129708504</v>
      </c>
      <c r="H27" s="7">
        <f t="shared" si="1"/>
        <v>0.023745803129708504</v>
      </c>
      <c r="I27" s="64"/>
      <c r="J27" s="71">
        <v>12.650697190426637</v>
      </c>
      <c r="K27" s="7">
        <f t="shared" si="2"/>
        <v>12.650697190426637</v>
      </c>
      <c r="L27" s="7">
        <f t="shared" si="3"/>
        <v>1.2650697190426639</v>
      </c>
      <c r="M27" s="64"/>
      <c r="N27" s="71">
        <v>0.7315455713515977</v>
      </c>
      <c r="O27" s="7">
        <f t="shared" si="4"/>
        <v>0.7315455713515977</v>
      </c>
      <c r="P27" s="7">
        <f t="shared" si="5"/>
        <v>0.07315455713515977</v>
      </c>
      <c r="Q27" s="64"/>
      <c r="R27" s="71">
        <v>0.1898646945121439</v>
      </c>
      <c r="S27" s="7">
        <f t="shared" si="6"/>
        <v>0.1898646945121439</v>
      </c>
      <c r="T27" s="7">
        <f t="shared" si="7"/>
        <v>0.01898646945121439</v>
      </c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2.75">
      <c r="A28" s="66" t="s">
        <v>181</v>
      </c>
      <c r="B28" s="66">
        <v>24</v>
      </c>
      <c r="C28" s="66" t="s">
        <v>232</v>
      </c>
      <c r="D28" s="5">
        <v>0.1</v>
      </c>
      <c r="E28" s="64"/>
      <c r="F28" s="71">
        <v>0.10553690279870445</v>
      </c>
      <c r="G28" s="7">
        <f t="shared" si="0"/>
        <v>0.10553690279870445</v>
      </c>
      <c r="H28" s="7">
        <f t="shared" si="1"/>
        <v>0.010553690279870446</v>
      </c>
      <c r="I28" s="64"/>
      <c r="J28" s="71">
        <v>5.759667013527576</v>
      </c>
      <c r="K28" s="7">
        <f t="shared" si="2"/>
        <v>5.759667013527576</v>
      </c>
      <c r="L28" s="7">
        <f t="shared" si="3"/>
        <v>0.5759667013527576</v>
      </c>
      <c r="M28" s="64"/>
      <c r="N28" s="71">
        <v>0.26043022340116884</v>
      </c>
      <c r="O28" s="7">
        <f t="shared" si="4"/>
        <v>0.26043022340116884</v>
      </c>
      <c r="P28" s="7">
        <f t="shared" si="5"/>
        <v>0.026043022340116885</v>
      </c>
      <c r="Q28" s="64"/>
      <c r="R28" s="71">
        <v>0.07713253214555846</v>
      </c>
      <c r="S28" s="7">
        <f t="shared" si="6"/>
        <v>0.07713253214555846</v>
      </c>
      <c r="T28" s="7">
        <f t="shared" si="7"/>
        <v>0.007713253214555846</v>
      </c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2.75">
      <c r="A29" s="66" t="s">
        <v>181</v>
      </c>
      <c r="B29" s="66">
        <v>25</v>
      </c>
      <c r="C29" s="66" t="s">
        <v>233</v>
      </c>
      <c r="D29" s="5">
        <v>0.1</v>
      </c>
      <c r="E29" s="64"/>
      <c r="F29" s="71">
        <v>0.026384225699676113</v>
      </c>
      <c r="G29" s="7">
        <f t="shared" si="0"/>
        <v>0.026384225699676113</v>
      </c>
      <c r="H29" s="7">
        <f t="shared" si="1"/>
        <v>0.0026384225699676114</v>
      </c>
      <c r="I29" s="64">
        <v>1</v>
      </c>
      <c r="J29" s="71">
        <v>0.8228095733610821</v>
      </c>
      <c r="K29" s="7">
        <f t="shared" si="2"/>
        <v>0.41140478668054103</v>
      </c>
      <c r="L29" s="7">
        <f t="shared" si="3"/>
        <v>0.041140478668054106</v>
      </c>
      <c r="M29" s="64"/>
      <c r="N29" s="71">
        <v>0.07900692170597257</v>
      </c>
      <c r="O29" s="7">
        <f t="shared" si="4"/>
        <v>0.07900692170597257</v>
      </c>
      <c r="P29" s="7">
        <f t="shared" si="5"/>
        <v>0.007900692170597258</v>
      </c>
      <c r="Q29" s="64">
        <v>1</v>
      </c>
      <c r="R29" s="71">
        <v>0.14833179258761242</v>
      </c>
      <c r="S29" s="7">
        <f t="shared" si="6"/>
        <v>0.07416589629380621</v>
      </c>
      <c r="T29" s="7">
        <f t="shared" si="7"/>
        <v>0.007416589629380622</v>
      </c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2.75">
      <c r="A30" s="66" t="s">
        <v>181</v>
      </c>
      <c r="B30" s="66">
        <v>26</v>
      </c>
      <c r="C30" s="66" t="s">
        <v>234</v>
      </c>
      <c r="D30" s="5">
        <v>0.1</v>
      </c>
      <c r="E30" s="64"/>
      <c r="F30" s="71">
        <v>0.20227906369751683</v>
      </c>
      <c r="G30" s="7">
        <f t="shared" si="0"/>
        <v>0.20227906369751683</v>
      </c>
      <c r="H30" s="7">
        <f t="shared" si="1"/>
        <v>0.020227906369751684</v>
      </c>
      <c r="I30" s="64"/>
      <c r="J30" s="71">
        <v>14.33060006937218</v>
      </c>
      <c r="K30" s="7">
        <f t="shared" si="2"/>
        <v>14.33060006937218</v>
      </c>
      <c r="L30" s="7">
        <f t="shared" si="3"/>
        <v>1.4330600069372181</v>
      </c>
      <c r="M30" s="64"/>
      <c r="N30" s="71">
        <v>0.6144982799353421</v>
      </c>
      <c r="O30" s="7">
        <f t="shared" si="4"/>
        <v>0.6144982799353421</v>
      </c>
      <c r="P30" s="7">
        <f t="shared" si="5"/>
        <v>0.06144982799353421</v>
      </c>
      <c r="Q30" s="64"/>
      <c r="R30" s="71">
        <v>0.17503151525338267</v>
      </c>
      <c r="S30" s="7">
        <f t="shared" si="6"/>
        <v>0.17503151525338267</v>
      </c>
      <c r="T30" s="7">
        <f t="shared" si="7"/>
        <v>0.017503151525338267</v>
      </c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2.75">
      <c r="A31" s="66" t="s">
        <v>181</v>
      </c>
      <c r="B31" s="66">
        <v>27</v>
      </c>
      <c r="C31" s="66" t="s">
        <v>235</v>
      </c>
      <c r="D31" s="5">
        <v>0</v>
      </c>
      <c r="E31" s="64"/>
      <c r="F31" s="71">
        <v>0.63028983615893</v>
      </c>
      <c r="G31" s="7">
        <f t="shared" si="0"/>
        <v>0.63028983615893</v>
      </c>
      <c r="H31" s="7">
        <f t="shared" si="1"/>
        <v>0</v>
      </c>
      <c r="I31" s="64"/>
      <c r="J31" s="71">
        <v>24.032896288588265</v>
      </c>
      <c r="K31" s="7">
        <f t="shared" si="2"/>
        <v>24.032896288588265</v>
      </c>
      <c r="L31" s="7">
        <f t="shared" si="3"/>
        <v>0</v>
      </c>
      <c r="M31" s="64"/>
      <c r="N31" s="71">
        <v>1.8844613918017146</v>
      </c>
      <c r="O31" s="7">
        <f t="shared" si="4"/>
        <v>1.8844613918017146</v>
      </c>
      <c r="P31" s="7">
        <f t="shared" si="5"/>
        <v>0</v>
      </c>
      <c r="Q31" s="64"/>
      <c r="R31" s="71">
        <v>0.21063114547441</v>
      </c>
      <c r="S31" s="7">
        <f t="shared" si="6"/>
        <v>0.21063114547441</v>
      </c>
      <c r="T31" s="7">
        <f t="shared" si="7"/>
        <v>0</v>
      </c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2.75">
      <c r="A32" s="66" t="s">
        <v>181</v>
      </c>
      <c r="B32" s="66">
        <v>28</v>
      </c>
      <c r="C32" s="66" t="s">
        <v>236</v>
      </c>
      <c r="D32" s="5">
        <v>0</v>
      </c>
      <c r="E32" s="64"/>
      <c r="F32" s="71">
        <v>1.2019480596519119</v>
      </c>
      <c r="G32" s="7">
        <f t="shared" si="0"/>
        <v>1.2019480596519119</v>
      </c>
      <c r="H32" s="7">
        <f t="shared" si="1"/>
        <v>0</v>
      </c>
      <c r="I32" s="64"/>
      <c r="J32" s="71">
        <v>57.596670135275744</v>
      </c>
      <c r="K32" s="7">
        <f t="shared" si="2"/>
        <v>57.596670135275744</v>
      </c>
      <c r="L32" s="7">
        <f t="shared" si="3"/>
        <v>0</v>
      </c>
      <c r="M32" s="64"/>
      <c r="N32" s="71">
        <v>3.5699423881958</v>
      </c>
      <c r="O32" s="7">
        <f t="shared" si="4"/>
        <v>3.5699423881958</v>
      </c>
      <c r="P32" s="7">
        <f t="shared" si="5"/>
        <v>0</v>
      </c>
      <c r="Q32" s="64"/>
      <c r="R32" s="71">
        <v>0.8009916799731072</v>
      </c>
      <c r="S32" s="7">
        <f t="shared" si="6"/>
        <v>0.8009916799731072</v>
      </c>
      <c r="T32" s="7">
        <f t="shared" si="7"/>
        <v>0</v>
      </c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12.75">
      <c r="A33" s="66" t="s">
        <v>181</v>
      </c>
      <c r="B33" s="66">
        <v>29</v>
      </c>
      <c r="C33" s="66" t="s">
        <v>237</v>
      </c>
      <c r="D33" s="5">
        <v>0.01</v>
      </c>
      <c r="E33" s="64"/>
      <c r="F33" s="71">
        <v>0.15244219293146197</v>
      </c>
      <c r="G33" s="7">
        <f t="shared" si="0"/>
        <v>0.15244219293146197</v>
      </c>
      <c r="H33" s="7">
        <f t="shared" si="1"/>
        <v>0.0015244219293146198</v>
      </c>
      <c r="I33" s="64"/>
      <c r="J33" s="71">
        <v>5.896801942421089</v>
      </c>
      <c r="K33" s="7">
        <f t="shared" si="2"/>
        <v>5.896801942421089</v>
      </c>
      <c r="L33" s="7">
        <f t="shared" si="3"/>
        <v>0.058968019424210885</v>
      </c>
      <c r="M33" s="64"/>
      <c r="N33" s="71">
        <v>0.35114187424876686</v>
      </c>
      <c r="O33" s="7">
        <f t="shared" si="4"/>
        <v>0.35114187424876686</v>
      </c>
      <c r="P33" s="7">
        <f t="shared" si="5"/>
        <v>0.0035114187424876687</v>
      </c>
      <c r="Q33" s="64"/>
      <c r="R33" s="71">
        <v>0.12163206992184215</v>
      </c>
      <c r="S33" s="7">
        <f t="shared" si="6"/>
        <v>0.12163206992184215</v>
      </c>
      <c r="T33" s="7">
        <f t="shared" si="7"/>
        <v>0.0012163206992184216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2.75">
      <c r="A34" s="66" t="s">
        <v>181</v>
      </c>
      <c r="B34" s="66">
        <v>30</v>
      </c>
      <c r="C34" s="66" t="s">
        <v>238</v>
      </c>
      <c r="D34" s="5">
        <v>0.01</v>
      </c>
      <c r="E34" s="64">
        <v>1</v>
      </c>
      <c r="F34" s="71">
        <v>0.02931580633297346</v>
      </c>
      <c r="G34" s="7">
        <f t="shared" si="0"/>
        <v>0.01465790316648673</v>
      </c>
      <c r="H34" s="7">
        <f t="shared" si="1"/>
        <v>0.0001465790316648673</v>
      </c>
      <c r="I34" s="64"/>
      <c r="J34" s="71">
        <v>1.7484703433923</v>
      </c>
      <c r="K34" s="7">
        <f t="shared" si="2"/>
        <v>1.7484703433923</v>
      </c>
      <c r="L34" s="7">
        <f t="shared" si="3"/>
        <v>0.017484703433923</v>
      </c>
      <c r="M34" s="64"/>
      <c r="N34" s="71">
        <v>0.0936378331330045</v>
      </c>
      <c r="O34" s="7">
        <f t="shared" si="4"/>
        <v>0.0936378331330045</v>
      </c>
      <c r="P34" s="7">
        <f t="shared" si="5"/>
        <v>0.000936378331330045</v>
      </c>
      <c r="Q34" s="64">
        <v>1</v>
      </c>
      <c r="R34" s="71">
        <v>0.1779981511051349</v>
      </c>
      <c r="S34" s="7">
        <f t="shared" si="6"/>
        <v>0.08899907555256745</v>
      </c>
      <c r="T34" s="7">
        <f t="shared" si="7"/>
        <v>0.0008899907555256745</v>
      </c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s="66" customFormat="1" ht="12.75">
      <c r="A35" s="66" t="s">
        <v>181</v>
      </c>
      <c r="B35" s="66">
        <v>31</v>
      </c>
      <c r="C35" s="66" t="s">
        <v>239</v>
      </c>
      <c r="D35" s="5">
        <v>0</v>
      </c>
      <c r="E35" s="64"/>
      <c r="F35" s="71">
        <v>0.14071587039827257</v>
      </c>
      <c r="G35" s="7">
        <f t="shared" si="0"/>
        <v>0.14071587039827257</v>
      </c>
      <c r="H35" s="7">
        <f t="shared" si="1"/>
        <v>0</v>
      </c>
      <c r="I35" s="64"/>
      <c r="J35" s="71">
        <v>6.5481928546652775</v>
      </c>
      <c r="K35" s="7">
        <f t="shared" si="2"/>
        <v>6.5481928546652775</v>
      </c>
      <c r="L35" s="7">
        <f t="shared" si="3"/>
        <v>0</v>
      </c>
      <c r="M35" s="64"/>
      <c r="N35" s="71">
        <v>0.052671281137315173</v>
      </c>
      <c r="O35" s="7">
        <f t="shared" si="4"/>
        <v>0.052671281137315173</v>
      </c>
      <c r="P35" s="7">
        <f t="shared" si="5"/>
        <v>0</v>
      </c>
      <c r="Q35" s="64"/>
      <c r="R35" s="71">
        <v>-0.14536515673586</v>
      </c>
      <c r="S35" s="7">
        <f t="shared" si="6"/>
        <v>-0.14536515673586</v>
      </c>
      <c r="T35" s="7">
        <f t="shared" si="7"/>
        <v>0</v>
      </c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</row>
    <row r="36" spans="1:40" s="66" customFormat="1" ht="12.75">
      <c r="A36" s="66" t="s">
        <v>181</v>
      </c>
      <c r="B36" s="66">
        <v>32</v>
      </c>
      <c r="C36" s="66" t="s">
        <v>240</v>
      </c>
      <c r="D36" s="5">
        <v>0</v>
      </c>
      <c r="E36" s="64"/>
      <c r="F36" s="71">
        <v>0.322473869662708</v>
      </c>
      <c r="G36" s="7">
        <f t="shared" si="0"/>
        <v>0.322473869662708</v>
      </c>
      <c r="H36" s="7">
        <f t="shared" si="1"/>
        <v>0</v>
      </c>
      <c r="I36" s="64"/>
      <c r="J36" s="71">
        <v>14.193465140478665</v>
      </c>
      <c r="K36" s="7">
        <f t="shared" si="2"/>
        <v>14.193465140478665</v>
      </c>
      <c r="L36" s="7">
        <f t="shared" si="3"/>
        <v>0</v>
      </c>
      <c r="M36" s="64"/>
      <c r="N36" s="71">
        <v>0.49745098851908653</v>
      </c>
      <c r="O36" s="7">
        <f t="shared" si="4"/>
        <v>0.49745098851908653</v>
      </c>
      <c r="P36" s="7">
        <f t="shared" si="5"/>
        <v>0</v>
      </c>
      <c r="Q36" s="64"/>
      <c r="R36" s="71">
        <v>0.15426506429111692</v>
      </c>
      <c r="S36" s="7">
        <f t="shared" si="6"/>
        <v>0.15426506429111692</v>
      </c>
      <c r="T36" s="7">
        <f t="shared" si="7"/>
        <v>0</v>
      </c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</row>
    <row r="37" spans="1:40" s="66" customFormat="1" ht="12.75">
      <c r="A37" s="66" t="s">
        <v>181</v>
      </c>
      <c r="B37" s="66">
        <v>33</v>
      </c>
      <c r="C37" s="66" t="s">
        <v>241</v>
      </c>
      <c r="D37" s="5">
        <v>0.001</v>
      </c>
      <c r="E37" s="64"/>
      <c r="F37" s="71">
        <v>0.061563193299244263</v>
      </c>
      <c r="G37" s="7">
        <f t="shared" si="0"/>
        <v>0.061563193299244263</v>
      </c>
      <c r="H37" s="7">
        <f t="shared" si="1"/>
        <v>6.156319329924427E-05</v>
      </c>
      <c r="I37" s="64"/>
      <c r="J37" s="71">
        <v>3.531224419007978</v>
      </c>
      <c r="K37" s="7">
        <f t="shared" si="2"/>
        <v>3.531224419007978</v>
      </c>
      <c r="L37" s="7">
        <f t="shared" si="3"/>
        <v>0.003531224419007978</v>
      </c>
      <c r="M37" s="64"/>
      <c r="N37" s="71">
        <v>0.1258258382724748</v>
      </c>
      <c r="O37" s="7">
        <f t="shared" si="4"/>
        <v>0.1258258382724748</v>
      </c>
      <c r="P37" s="7">
        <f t="shared" si="5"/>
        <v>0.0001258258382724748</v>
      </c>
      <c r="Q37" s="64">
        <v>1</v>
      </c>
      <c r="R37" s="71">
        <v>0.41532901924531473</v>
      </c>
      <c r="S37" s="7">
        <f t="shared" si="6"/>
        <v>0.20766450962265737</v>
      </c>
      <c r="T37" s="7">
        <f t="shared" si="7"/>
        <v>0.00020766450962265737</v>
      </c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</row>
    <row r="38" spans="1:40" s="66" customFormat="1" ht="12.75">
      <c r="A38" s="66" t="s">
        <v>181</v>
      </c>
      <c r="B38" s="66">
        <v>34</v>
      </c>
      <c r="C38" s="66" t="s">
        <v>242</v>
      </c>
      <c r="D38" s="64"/>
      <c r="E38" s="64"/>
      <c r="F38" s="71">
        <v>72.26639419141286</v>
      </c>
      <c r="G38" s="71">
        <f>G37+G36+G32+G26+G22+G19+G18+G15+G10+G7</f>
        <v>72.26639419141286</v>
      </c>
      <c r="H38" s="71"/>
      <c r="I38" s="64"/>
      <c r="J38" s="71">
        <v>873.7551994450224</v>
      </c>
      <c r="K38" s="71">
        <f>K37+K36+K32+K26+K22+K19+K18+K15+K10+K7</f>
        <v>873.7551994450224</v>
      </c>
      <c r="L38" s="71"/>
      <c r="M38" s="64"/>
      <c r="N38" s="71">
        <v>264.74048990757234</v>
      </c>
      <c r="O38" s="71">
        <f>O37+O36+O32+O26+O22+O19+O18+O15+O10+O7</f>
        <v>264.74048990757245</v>
      </c>
      <c r="P38" s="71"/>
      <c r="Q38" s="64"/>
      <c r="R38" s="71">
        <v>97.31158920917723</v>
      </c>
      <c r="S38" s="71">
        <f>S37+S36+S32+S26+S22+S19+S18+S15+S10+S7</f>
        <v>97.10392469955458</v>
      </c>
      <c r="T38" s="71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1:40" s="66" customFormat="1" ht="12.75">
      <c r="A39" s="66" t="s">
        <v>181</v>
      </c>
      <c r="B39" s="66">
        <v>35</v>
      </c>
      <c r="C39" s="66" t="s">
        <v>33</v>
      </c>
      <c r="D39" s="64"/>
      <c r="E39" s="68">
        <f>(F39-H39)*2/F39*100</f>
        <v>4.136540803188185</v>
      </c>
      <c r="F39" s="71">
        <v>0.50317943147979</v>
      </c>
      <c r="G39" s="71"/>
      <c r="H39" s="71">
        <f>SUM(H5:H37)</f>
        <v>0.4927723202315841</v>
      </c>
      <c r="I39" s="68">
        <f>(J39-L39)*2/J39*100</f>
        <v>0.6511600144339192</v>
      </c>
      <c r="J39" s="71">
        <v>12.636058036767256</v>
      </c>
      <c r="K39" s="71"/>
      <c r="L39" s="71">
        <f>SUM(L5:L37)</f>
        <v>12.59491755809921</v>
      </c>
      <c r="M39" s="68">
        <f>(N39-P39)*2/N39*100</f>
        <v>1.9519317292353153</v>
      </c>
      <c r="N39" s="71">
        <v>1.4991212251834</v>
      </c>
      <c r="O39" s="71"/>
      <c r="P39" s="71">
        <f>SUM(P5:P37)</f>
        <v>1.484490313756372</v>
      </c>
      <c r="Q39" s="68">
        <f>(R39-T39)*2/R39*100</f>
        <v>21.337936182123443</v>
      </c>
      <c r="R39" s="71">
        <v>0.6359280611816118</v>
      </c>
      <c r="S39" s="71"/>
      <c r="T39" s="71">
        <f>SUM(T5:T37)</f>
        <v>0.5680810992520382</v>
      </c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</row>
  </sheetData>
  <printOptions headings="1" horizontalCentered="1"/>
  <pageMargins left="0.25" right="0.25" top="1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N39"/>
  <sheetViews>
    <sheetView workbookViewId="0" topLeftCell="C1">
      <selection activeCell="I5" sqref="I5"/>
    </sheetView>
  </sheetViews>
  <sheetFormatPr defaultColWidth="9.140625" defaultRowHeight="12.75"/>
  <cols>
    <col min="1" max="1" width="9.140625" style="0" hidden="1" customWidth="1"/>
    <col min="2" max="2" width="3.00390625" style="0" hidden="1" customWidth="1"/>
    <col min="3" max="3" width="14.140625" style="0" customWidth="1"/>
    <col min="5" max="5" width="4.140625" style="0" customWidth="1"/>
    <col min="6" max="8" width="9.140625" style="84" customWidth="1"/>
    <col min="9" max="9" width="6.7109375" style="0" customWidth="1"/>
    <col min="10" max="12" width="9.140625" style="84" customWidth="1"/>
    <col min="13" max="13" width="6.140625" style="0" customWidth="1"/>
    <col min="14" max="16" width="9.140625" style="84" customWidth="1"/>
    <col min="17" max="17" width="4.00390625" style="0" customWidth="1"/>
    <col min="18" max="20" width="9.140625" style="84" customWidth="1"/>
  </cols>
  <sheetData>
    <row r="1" spans="3:20" ht="12.75">
      <c r="C1" s="2" t="s">
        <v>187</v>
      </c>
      <c r="D1" s="5" t="s">
        <v>26</v>
      </c>
      <c r="F1" s="82" t="s">
        <v>147</v>
      </c>
      <c r="G1" s="82"/>
      <c r="H1" s="82"/>
      <c r="J1" s="82" t="s">
        <v>148</v>
      </c>
      <c r="K1" s="82"/>
      <c r="L1" s="82"/>
      <c r="N1" s="82" t="s">
        <v>149</v>
      </c>
      <c r="O1" s="82"/>
      <c r="P1" s="82"/>
      <c r="R1" s="82" t="s">
        <v>150</v>
      </c>
      <c r="S1" s="82"/>
      <c r="T1" s="82"/>
    </row>
    <row r="2" spans="4:20" ht="12.75">
      <c r="D2" s="5" t="s">
        <v>30</v>
      </c>
      <c r="F2" s="83" t="s">
        <v>31</v>
      </c>
      <c r="G2" s="11" t="s">
        <v>31</v>
      </c>
      <c r="H2" s="11" t="s">
        <v>32</v>
      </c>
      <c r="I2" s="3"/>
      <c r="J2" s="83" t="s">
        <v>31</v>
      </c>
      <c r="K2" s="11" t="s">
        <v>31</v>
      </c>
      <c r="L2" s="11" t="s">
        <v>32</v>
      </c>
      <c r="M2" s="3"/>
      <c r="N2" s="83" t="s">
        <v>31</v>
      </c>
      <c r="O2" s="11" t="s">
        <v>31</v>
      </c>
      <c r="P2" s="11" t="s">
        <v>32</v>
      </c>
      <c r="Q2" s="3"/>
      <c r="R2" s="83" t="s">
        <v>31</v>
      </c>
      <c r="S2" s="11" t="s">
        <v>31</v>
      </c>
      <c r="T2" s="11" t="s">
        <v>32</v>
      </c>
    </row>
    <row r="3" spans="3:20" ht="12.75">
      <c r="C3" t="s">
        <v>79</v>
      </c>
      <c r="D3" s="5"/>
      <c r="F3" s="83" t="s">
        <v>208</v>
      </c>
      <c r="G3" s="11" t="s">
        <v>73</v>
      </c>
      <c r="H3" s="11" t="s">
        <v>73</v>
      </c>
      <c r="I3" s="3"/>
      <c r="J3" s="83" t="s">
        <v>208</v>
      </c>
      <c r="K3" s="11" t="s">
        <v>73</v>
      </c>
      <c r="L3" s="11" t="s">
        <v>73</v>
      </c>
      <c r="M3" s="3"/>
      <c r="N3" s="83" t="s">
        <v>208</v>
      </c>
      <c r="O3" s="11" t="s">
        <v>73</v>
      </c>
      <c r="P3" s="11" t="s">
        <v>73</v>
      </c>
      <c r="Q3" s="3"/>
      <c r="R3" s="83" t="s">
        <v>208</v>
      </c>
      <c r="S3" s="11" t="s">
        <v>73</v>
      </c>
      <c r="T3" s="11" t="s">
        <v>73</v>
      </c>
    </row>
    <row r="4" spans="4:20" ht="12.75">
      <c r="D4" s="4"/>
      <c r="G4" s="7"/>
      <c r="H4" s="7"/>
      <c r="K4" s="7"/>
      <c r="L4" s="7"/>
      <c r="O4" s="7"/>
      <c r="P4" s="7"/>
      <c r="S4" s="7"/>
      <c r="T4" s="7"/>
    </row>
    <row r="5" spans="1:40" s="66" customFormat="1" ht="12.75">
      <c r="A5" s="66" t="s">
        <v>187</v>
      </c>
      <c r="B5" s="66">
        <v>1</v>
      </c>
      <c r="C5" s="66" t="s">
        <v>209</v>
      </c>
      <c r="D5" s="5">
        <v>1</v>
      </c>
      <c r="E5" s="64"/>
      <c r="F5" s="71">
        <v>0.011980685271748354</v>
      </c>
      <c r="G5" s="7">
        <f>IF(F5=0,"",IF(E5=1,F5/2,F5))</f>
        <v>0.011980685271748354</v>
      </c>
      <c r="H5" s="7">
        <f>IF(G5="","",G5*$D5)</f>
        <v>0.011980685271748354</v>
      </c>
      <c r="I5" s="64"/>
      <c r="J5" s="71">
        <v>0.0112276136260956</v>
      </c>
      <c r="K5" s="7">
        <f>IF(J5=0,"",IF(I5=1,J5/2,J5))</f>
        <v>0.0112276136260956</v>
      </c>
      <c r="L5" s="7">
        <f>IF(K5="","",K5*$D5)</f>
        <v>0.0112276136260956</v>
      </c>
      <c r="M5" s="64"/>
      <c r="N5" s="71">
        <v>0.015107454626501657</v>
      </c>
      <c r="O5" s="7">
        <f>IF(N5=0,"",IF(M5=1,N5/2,N5))</f>
        <v>0.015107454626501657</v>
      </c>
      <c r="P5" s="7">
        <f>IF(O5="","",O5*$D5)</f>
        <v>0.015107454626501657</v>
      </c>
      <c r="Q5" s="64"/>
      <c r="R5" s="71">
        <v>0.014196765784441692</v>
      </c>
      <c r="S5" s="7">
        <f>IF(R5=0,"",IF(Q5=1,R5/2,R5))</f>
        <v>0.014196765784441692</v>
      </c>
      <c r="T5" s="7">
        <f>IF(S5="","",S5*$D5)</f>
        <v>0.014196765784441692</v>
      </c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</row>
    <row r="6" spans="1:40" s="66" customFormat="1" ht="12.75">
      <c r="A6" s="66" t="s">
        <v>187</v>
      </c>
      <c r="B6" s="66">
        <v>2</v>
      </c>
      <c r="C6" s="66" t="s">
        <v>210</v>
      </c>
      <c r="D6" s="5">
        <v>0</v>
      </c>
      <c r="E6" s="64"/>
      <c r="F6" s="71">
        <v>0.6769087178537818</v>
      </c>
      <c r="G6" s="7">
        <f aca="true" t="shared" si="0" ref="G6:G37">IF(F6=0,"",IF(E6=1,F6/2,F6))</f>
        <v>0.6769087178537818</v>
      </c>
      <c r="H6" s="7">
        <f aca="true" t="shared" si="1" ref="H6:H37">IF(G6="","",G6*$D6)</f>
        <v>0</v>
      </c>
      <c r="I6" s="64"/>
      <c r="J6" s="71">
        <v>0.4940149995482065</v>
      </c>
      <c r="K6" s="7">
        <f aca="true" t="shared" si="2" ref="K6:K37">IF(J6=0,"",IF(I6=1,J6/2,J6))</f>
        <v>0.4940149995482065</v>
      </c>
      <c r="L6" s="7">
        <f aca="true" t="shared" si="3" ref="L6:L37">IF(K6="","",K6*$D6)</f>
        <v>0</v>
      </c>
      <c r="M6" s="64"/>
      <c r="N6" s="71">
        <v>1.404993280264654</v>
      </c>
      <c r="O6" s="7">
        <f aca="true" t="shared" si="4" ref="O6:O37">IF(N6=0,"",IF(M6=1,N6/2,N6))</f>
        <v>1.404993280264654</v>
      </c>
      <c r="P6" s="7">
        <f aca="true" t="shared" si="5" ref="P6:P37">IF(O6="","",O6*$D6)</f>
        <v>0</v>
      </c>
      <c r="Q6" s="64"/>
      <c r="R6" s="71">
        <v>1.093150965402</v>
      </c>
      <c r="S6" s="7">
        <f aca="true" t="shared" si="6" ref="S6:S37">IF(R6=0,"",IF(Q6=1,R6/2,R6))</f>
        <v>1.093150965402</v>
      </c>
      <c r="T6" s="7">
        <f aca="true" t="shared" si="7" ref="T6:T37">IF(S6="","",S6*$D6)</f>
        <v>0</v>
      </c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s="66" customFormat="1" ht="12.75">
      <c r="A7" s="66" t="s">
        <v>187</v>
      </c>
      <c r="B7" s="66">
        <v>3</v>
      </c>
      <c r="C7" s="66" t="s">
        <v>211</v>
      </c>
      <c r="D7" s="5">
        <v>0</v>
      </c>
      <c r="E7" s="64"/>
      <c r="F7" s="71">
        <v>0.68888940312553</v>
      </c>
      <c r="G7" s="7">
        <f t="shared" si="0"/>
        <v>0.68888940312553</v>
      </c>
      <c r="H7" s="7">
        <f t="shared" si="1"/>
        <v>0</v>
      </c>
      <c r="I7" s="64"/>
      <c r="J7" s="71">
        <v>0.5052426131743021</v>
      </c>
      <c r="K7" s="7">
        <f t="shared" si="2"/>
        <v>0.5052426131743021</v>
      </c>
      <c r="L7" s="7">
        <f t="shared" si="3"/>
        <v>0</v>
      </c>
      <c r="M7" s="64"/>
      <c r="N7" s="71">
        <v>1.4201007348911558</v>
      </c>
      <c r="O7" s="7">
        <f t="shared" si="4"/>
        <v>1.4201007348911558</v>
      </c>
      <c r="P7" s="7">
        <f t="shared" si="5"/>
        <v>0</v>
      </c>
      <c r="Q7" s="64"/>
      <c r="R7" s="71">
        <v>1.107347731186452</v>
      </c>
      <c r="S7" s="7">
        <f t="shared" si="6"/>
        <v>1.107347731186452</v>
      </c>
      <c r="T7" s="7">
        <f t="shared" si="7"/>
        <v>0</v>
      </c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</row>
    <row r="8" spans="1:40" s="66" customFormat="1" ht="12.75">
      <c r="A8" s="66" t="s">
        <v>187</v>
      </c>
      <c r="B8" s="66">
        <v>4</v>
      </c>
      <c r="C8" s="66" t="s">
        <v>212</v>
      </c>
      <c r="D8" s="5">
        <v>0.5</v>
      </c>
      <c r="E8" s="64"/>
      <c r="F8" s="71">
        <v>0.02096619922555962</v>
      </c>
      <c r="G8" s="7">
        <f t="shared" si="0"/>
        <v>0.02096619922555962</v>
      </c>
      <c r="H8" s="7">
        <f t="shared" si="1"/>
        <v>0.01048309961277981</v>
      </c>
      <c r="I8" s="64"/>
      <c r="J8" s="71">
        <v>0.0112276136260956</v>
      </c>
      <c r="K8" s="7">
        <f t="shared" si="2"/>
        <v>0.0112276136260956</v>
      </c>
      <c r="L8" s="7">
        <f t="shared" si="3"/>
        <v>0.0056138068130478</v>
      </c>
      <c r="M8" s="64"/>
      <c r="N8" s="71">
        <v>0.054386836655406</v>
      </c>
      <c r="O8" s="7">
        <f t="shared" si="4"/>
        <v>0.054386836655406</v>
      </c>
      <c r="P8" s="7">
        <f t="shared" si="5"/>
        <v>0.027193418327703</v>
      </c>
      <c r="Q8" s="64"/>
      <c r="R8" s="71">
        <v>0.03407223788266</v>
      </c>
      <c r="S8" s="7">
        <f t="shared" si="6"/>
        <v>0.03407223788266</v>
      </c>
      <c r="T8" s="7">
        <f t="shared" si="7"/>
        <v>0.01703611894133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66" customFormat="1" ht="12.75">
      <c r="A9" s="66" t="s">
        <v>187</v>
      </c>
      <c r="B9" s="66">
        <v>5</v>
      </c>
      <c r="C9" s="66" t="s">
        <v>213</v>
      </c>
      <c r="D9" s="5">
        <v>0</v>
      </c>
      <c r="E9" s="64"/>
      <c r="F9" s="71">
        <v>0.66792320389997</v>
      </c>
      <c r="G9" s="7">
        <f t="shared" si="0"/>
        <v>0.66792320389997</v>
      </c>
      <c r="H9" s="7">
        <f t="shared" si="1"/>
        <v>0</v>
      </c>
      <c r="I9" s="64"/>
      <c r="J9" s="71">
        <v>0.40980789735249</v>
      </c>
      <c r="K9" s="7">
        <f t="shared" si="2"/>
        <v>0.40980789735249</v>
      </c>
      <c r="L9" s="7">
        <f t="shared" si="3"/>
        <v>0</v>
      </c>
      <c r="M9" s="64"/>
      <c r="N9" s="71">
        <v>3.631832092211</v>
      </c>
      <c r="O9" s="7">
        <f t="shared" si="4"/>
        <v>3.631832092211</v>
      </c>
      <c r="P9" s="7">
        <f t="shared" si="5"/>
        <v>0</v>
      </c>
      <c r="Q9" s="64"/>
      <c r="R9" s="71">
        <v>2.2658038191969</v>
      </c>
      <c r="S9" s="7">
        <f t="shared" si="6"/>
        <v>2.2658038191969</v>
      </c>
      <c r="T9" s="7">
        <f t="shared" si="7"/>
        <v>0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</row>
    <row r="10" spans="1:40" s="66" customFormat="1" ht="12.75">
      <c r="A10" s="66" t="s">
        <v>187</v>
      </c>
      <c r="B10" s="66">
        <v>5</v>
      </c>
      <c r="C10" s="66" t="s">
        <v>214</v>
      </c>
      <c r="D10" s="5">
        <v>0</v>
      </c>
      <c r="E10" s="64"/>
      <c r="F10" s="71">
        <v>0.68888940312553</v>
      </c>
      <c r="G10" s="7">
        <f t="shared" si="0"/>
        <v>0.68888940312553</v>
      </c>
      <c r="H10" s="7">
        <f t="shared" si="1"/>
        <v>0</v>
      </c>
      <c r="I10" s="64"/>
      <c r="J10" s="71">
        <v>0.42103551097858494</v>
      </c>
      <c r="K10" s="7">
        <f t="shared" si="2"/>
        <v>0.42103551097858494</v>
      </c>
      <c r="L10" s="7">
        <f t="shared" si="3"/>
        <v>0</v>
      </c>
      <c r="M10" s="64"/>
      <c r="N10" s="71">
        <v>3.6862189288664</v>
      </c>
      <c r="O10" s="7">
        <f t="shared" si="4"/>
        <v>3.6862189288664</v>
      </c>
      <c r="P10" s="7">
        <f t="shared" si="5"/>
        <v>0</v>
      </c>
      <c r="Q10" s="64"/>
      <c r="R10" s="71">
        <v>2.299876057079554</v>
      </c>
      <c r="S10" s="7">
        <f t="shared" si="6"/>
        <v>2.299876057079554</v>
      </c>
      <c r="T10" s="7">
        <f t="shared" si="7"/>
        <v>0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</row>
    <row r="11" spans="1:40" s="66" customFormat="1" ht="12.75">
      <c r="A11" s="66" t="s">
        <v>187</v>
      </c>
      <c r="B11" s="66">
        <v>7</v>
      </c>
      <c r="C11" s="66" t="s">
        <v>215</v>
      </c>
      <c r="D11" s="5">
        <v>0.1</v>
      </c>
      <c r="E11" s="64"/>
      <c r="F11" s="71">
        <v>0.02096619922555962</v>
      </c>
      <c r="G11" s="7">
        <f t="shared" si="0"/>
        <v>0.02096619922555962</v>
      </c>
      <c r="H11" s="7">
        <f t="shared" si="1"/>
        <v>0.0020966199225559623</v>
      </c>
      <c r="I11" s="64"/>
      <c r="J11" s="71">
        <v>0.0056138068130478</v>
      </c>
      <c r="K11" s="7">
        <f t="shared" si="2"/>
        <v>0.0056138068130478</v>
      </c>
      <c r="L11" s="7">
        <f t="shared" si="3"/>
        <v>0.0005613806813047801</v>
      </c>
      <c r="M11" s="64"/>
      <c r="N11" s="71">
        <v>0.06949429128190762</v>
      </c>
      <c r="O11" s="7">
        <f t="shared" si="4"/>
        <v>0.06949429128190762</v>
      </c>
      <c r="P11" s="7">
        <f t="shared" si="5"/>
        <v>0.006949429128190763</v>
      </c>
      <c r="Q11" s="64"/>
      <c r="R11" s="71">
        <v>0.03975094419643674</v>
      </c>
      <c r="S11" s="7">
        <f t="shared" si="6"/>
        <v>0.03975094419643674</v>
      </c>
      <c r="T11" s="7">
        <f t="shared" si="7"/>
        <v>0.003975094419643674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1:40" s="66" customFormat="1" ht="12.75">
      <c r="A12" s="66" t="s">
        <v>187</v>
      </c>
      <c r="B12" s="66">
        <v>8</v>
      </c>
      <c r="C12" s="66" t="s">
        <v>216</v>
      </c>
      <c r="D12" s="5">
        <v>0.1</v>
      </c>
      <c r="E12" s="64"/>
      <c r="F12" s="71">
        <v>0.0509179124049305</v>
      </c>
      <c r="G12" s="7">
        <f t="shared" si="0"/>
        <v>0.0509179124049305</v>
      </c>
      <c r="H12" s="7">
        <f t="shared" si="1"/>
        <v>0.005091791240493051</v>
      </c>
      <c r="I12" s="64"/>
      <c r="J12" s="71">
        <v>0.019648323845667302</v>
      </c>
      <c r="K12" s="7">
        <f t="shared" si="2"/>
        <v>0.019648323845667302</v>
      </c>
      <c r="L12" s="7">
        <f t="shared" si="3"/>
        <v>0.00196483238456673</v>
      </c>
      <c r="M12" s="64"/>
      <c r="N12" s="71">
        <v>0.24171927402402651</v>
      </c>
      <c r="O12" s="7">
        <f t="shared" si="4"/>
        <v>0.24171927402402651</v>
      </c>
      <c r="P12" s="7">
        <f t="shared" si="5"/>
        <v>0.024171927402402652</v>
      </c>
      <c r="Q12" s="64"/>
      <c r="R12" s="71">
        <v>0.11641347943242185</v>
      </c>
      <c r="S12" s="7">
        <f t="shared" si="6"/>
        <v>0.11641347943242185</v>
      </c>
      <c r="T12" s="7">
        <f t="shared" si="7"/>
        <v>0.011641347943242186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</row>
    <row r="13" spans="1:40" s="66" customFormat="1" ht="12.75">
      <c r="A13" s="66" t="s">
        <v>187</v>
      </c>
      <c r="B13" s="66">
        <v>9</v>
      </c>
      <c r="C13" s="66" t="s">
        <v>217</v>
      </c>
      <c r="D13" s="5">
        <v>0.1</v>
      </c>
      <c r="E13" s="64"/>
      <c r="F13" s="71">
        <v>0.0509179124049305</v>
      </c>
      <c r="G13" s="7">
        <f t="shared" si="0"/>
        <v>0.0509179124049305</v>
      </c>
      <c r="H13" s="7">
        <f t="shared" si="1"/>
        <v>0.005091791240493051</v>
      </c>
      <c r="I13" s="64"/>
      <c r="J13" s="71">
        <v>0.0224552272521912</v>
      </c>
      <c r="K13" s="7">
        <f t="shared" si="2"/>
        <v>0.0224552272521912</v>
      </c>
      <c r="L13" s="7">
        <f t="shared" si="3"/>
        <v>0.0022455227252191202</v>
      </c>
      <c r="M13" s="64"/>
      <c r="N13" s="71">
        <v>0.17826796459272</v>
      </c>
      <c r="O13" s="7">
        <f t="shared" si="4"/>
        <v>0.17826796459272</v>
      </c>
      <c r="P13" s="7">
        <f t="shared" si="5"/>
        <v>0.017826796459272</v>
      </c>
      <c r="Q13" s="64"/>
      <c r="R13" s="71">
        <v>0.09937736049109183</v>
      </c>
      <c r="S13" s="7">
        <f t="shared" si="6"/>
        <v>0.09937736049109183</v>
      </c>
      <c r="T13" s="7">
        <f t="shared" si="7"/>
        <v>0.009937736049109185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40" s="66" customFormat="1" ht="12.75">
      <c r="A14" s="66" t="s">
        <v>187</v>
      </c>
      <c r="B14" s="66">
        <v>10</v>
      </c>
      <c r="C14" s="66" t="s">
        <v>218</v>
      </c>
      <c r="D14" s="5">
        <v>0</v>
      </c>
      <c r="E14" s="64"/>
      <c r="F14" s="71">
        <v>1.6443490535474612</v>
      </c>
      <c r="G14" s="7">
        <f t="shared" si="0"/>
        <v>1.6443490535474612</v>
      </c>
      <c r="H14" s="7">
        <f t="shared" si="1"/>
        <v>0</v>
      </c>
      <c r="I14" s="64"/>
      <c r="J14" s="71">
        <v>0.42945622119815674</v>
      </c>
      <c r="K14" s="7">
        <f t="shared" si="2"/>
        <v>0.42945622119815674</v>
      </c>
      <c r="L14" s="7">
        <f t="shared" si="3"/>
        <v>0</v>
      </c>
      <c r="M14" s="64"/>
      <c r="N14" s="71">
        <v>13.6813109097599</v>
      </c>
      <c r="O14" s="7">
        <f t="shared" si="4"/>
        <v>13.6813109097599</v>
      </c>
      <c r="P14" s="7">
        <f t="shared" si="5"/>
        <v>0</v>
      </c>
      <c r="Q14" s="64"/>
      <c r="R14" s="71">
        <v>4.94047449298571</v>
      </c>
      <c r="S14" s="7">
        <f t="shared" si="6"/>
        <v>4.94047449298571</v>
      </c>
      <c r="T14" s="7">
        <f t="shared" si="7"/>
        <v>0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40" s="66" customFormat="1" ht="12.75">
      <c r="A15" s="66" t="s">
        <v>187</v>
      </c>
      <c r="B15" s="66">
        <v>11</v>
      </c>
      <c r="C15" s="66" t="s">
        <v>219</v>
      </c>
      <c r="D15" s="5">
        <v>0</v>
      </c>
      <c r="E15" s="64"/>
      <c r="F15" s="71">
        <v>1.767151077582882</v>
      </c>
      <c r="G15" s="7">
        <f t="shared" si="0"/>
        <v>1.767151077582882</v>
      </c>
      <c r="H15" s="7">
        <f t="shared" si="1"/>
        <v>0</v>
      </c>
      <c r="I15" s="64"/>
      <c r="J15" s="71">
        <v>0.477173579109063</v>
      </c>
      <c r="K15" s="7">
        <f t="shared" si="2"/>
        <v>0.477173579109063</v>
      </c>
      <c r="L15" s="7">
        <f t="shared" si="3"/>
        <v>0</v>
      </c>
      <c r="M15" s="64"/>
      <c r="N15" s="71">
        <v>14.170792439658555</v>
      </c>
      <c r="O15" s="7">
        <f t="shared" si="4"/>
        <v>14.170792439658555</v>
      </c>
      <c r="P15" s="7">
        <f t="shared" si="5"/>
        <v>0</v>
      </c>
      <c r="Q15" s="64"/>
      <c r="R15" s="71">
        <v>5.196016277105659</v>
      </c>
      <c r="S15" s="7">
        <f t="shared" si="6"/>
        <v>5.196016277105659</v>
      </c>
      <c r="T15" s="7">
        <f t="shared" si="7"/>
        <v>0</v>
      </c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40" s="66" customFormat="1" ht="12.75">
      <c r="A16" s="66" t="s">
        <v>187</v>
      </c>
      <c r="B16" s="66">
        <v>12</v>
      </c>
      <c r="C16" s="66" t="s">
        <v>220</v>
      </c>
      <c r="D16" s="5">
        <v>0.01</v>
      </c>
      <c r="E16" s="64"/>
      <c r="F16" s="71">
        <v>0.38937227133182145</v>
      </c>
      <c r="G16" s="7">
        <f t="shared" si="0"/>
        <v>0.38937227133182145</v>
      </c>
      <c r="H16" s="7">
        <f t="shared" si="1"/>
        <v>0.0038937227133182145</v>
      </c>
      <c r="I16" s="64"/>
      <c r="J16" s="71">
        <v>0.21051775548929247</v>
      </c>
      <c r="K16" s="7">
        <f t="shared" si="2"/>
        <v>0.21051775548929247</v>
      </c>
      <c r="L16" s="7">
        <f t="shared" si="3"/>
        <v>0.0021051775548929248</v>
      </c>
      <c r="M16" s="64"/>
      <c r="N16" s="71">
        <v>1.3898858256381525</v>
      </c>
      <c r="O16" s="7">
        <f t="shared" si="4"/>
        <v>1.3898858256381525</v>
      </c>
      <c r="P16" s="7">
        <f t="shared" si="5"/>
        <v>0.013898858256381525</v>
      </c>
      <c r="Q16" s="64"/>
      <c r="R16" s="71">
        <v>0.681444757653201</v>
      </c>
      <c r="S16" s="7">
        <f t="shared" si="6"/>
        <v>0.681444757653201</v>
      </c>
      <c r="T16" s="7">
        <f t="shared" si="7"/>
        <v>0.00681444757653201</v>
      </c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</row>
    <row r="17" spans="1:40" s="66" customFormat="1" ht="12.75">
      <c r="A17" s="66" t="s">
        <v>187</v>
      </c>
      <c r="B17" s="66">
        <v>13</v>
      </c>
      <c r="C17" s="66" t="s">
        <v>221</v>
      </c>
      <c r="D17" s="5">
        <v>0</v>
      </c>
      <c r="E17" s="64"/>
      <c r="F17" s="71">
        <v>0.509179124049305</v>
      </c>
      <c r="G17" s="7">
        <f t="shared" si="0"/>
        <v>0.509179124049305</v>
      </c>
      <c r="H17" s="7">
        <f t="shared" si="1"/>
        <v>0</v>
      </c>
      <c r="I17" s="64"/>
      <c r="J17" s="71">
        <v>0.15437968735881452</v>
      </c>
      <c r="K17" s="7">
        <f t="shared" si="2"/>
        <v>0.15437968735881452</v>
      </c>
      <c r="L17" s="7">
        <f t="shared" si="3"/>
        <v>0</v>
      </c>
      <c r="M17" s="64"/>
      <c r="N17" s="71">
        <v>2.266118193975249</v>
      </c>
      <c r="O17" s="7">
        <f t="shared" si="4"/>
        <v>2.266118193975249</v>
      </c>
      <c r="P17" s="7">
        <f t="shared" si="5"/>
        <v>0</v>
      </c>
      <c r="Q17" s="64"/>
      <c r="R17" s="71">
        <v>0.8518059470665016</v>
      </c>
      <c r="S17" s="7">
        <f t="shared" si="6"/>
        <v>0.8518059470665016</v>
      </c>
      <c r="T17" s="7">
        <f t="shared" si="7"/>
        <v>0</v>
      </c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</row>
    <row r="18" spans="1:40" s="66" customFormat="1" ht="12.75">
      <c r="A18" s="66" t="s">
        <v>187</v>
      </c>
      <c r="B18" s="66">
        <v>14</v>
      </c>
      <c r="C18" s="66" t="s">
        <v>222</v>
      </c>
      <c r="D18" s="5">
        <v>0</v>
      </c>
      <c r="E18" s="64"/>
      <c r="F18" s="71">
        <v>0.8985513953811266</v>
      </c>
      <c r="G18" s="7">
        <f t="shared" si="0"/>
        <v>0.8985513953811266</v>
      </c>
      <c r="H18" s="7">
        <f t="shared" si="1"/>
        <v>0</v>
      </c>
      <c r="I18" s="64"/>
      <c r="J18" s="71">
        <v>0.364897442848107</v>
      </c>
      <c r="K18" s="7">
        <f t="shared" si="2"/>
        <v>0.364897442848107</v>
      </c>
      <c r="L18" s="7">
        <f t="shared" si="3"/>
        <v>0</v>
      </c>
      <c r="M18" s="64"/>
      <c r="N18" s="71">
        <v>3.6560040196134</v>
      </c>
      <c r="O18" s="7">
        <f t="shared" si="4"/>
        <v>3.6560040196134</v>
      </c>
      <c r="P18" s="7">
        <f t="shared" si="5"/>
        <v>0</v>
      </c>
      <c r="Q18" s="64"/>
      <c r="R18" s="71">
        <v>1.5332507047197</v>
      </c>
      <c r="S18" s="7">
        <f t="shared" si="6"/>
        <v>1.5332507047197</v>
      </c>
      <c r="T18" s="7">
        <f t="shared" si="7"/>
        <v>0</v>
      </c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1:40" s="66" customFormat="1" ht="12.75">
      <c r="A19" s="66" t="s">
        <v>187</v>
      </c>
      <c r="B19" s="66">
        <v>15</v>
      </c>
      <c r="C19" s="66" t="s">
        <v>223</v>
      </c>
      <c r="D19" s="5">
        <v>0.001</v>
      </c>
      <c r="E19" s="64"/>
      <c r="F19" s="71">
        <v>0.7188411163049011</v>
      </c>
      <c r="G19" s="7">
        <f t="shared" si="0"/>
        <v>0.7188411163049011</v>
      </c>
      <c r="H19" s="7">
        <f t="shared" si="1"/>
        <v>0.0007188411163049012</v>
      </c>
      <c r="I19" s="64"/>
      <c r="J19" s="71">
        <v>0.729794885696214</v>
      </c>
      <c r="K19" s="7">
        <f t="shared" si="2"/>
        <v>0.729794885696214</v>
      </c>
      <c r="L19" s="7">
        <f t="shared" si="3"/>
        <v>0.000729794885696214</v>
      </c>
      <c r="M19" s="64"/>
      <c r="N19" s="71">
        <v>0.99709200534911</v>
      </c>
      <c r="O19" s="7">
        <f t="shared" si="4"/>
        <v>0.99709200534911</v>
      </c>
      <c r="P19" s="7">
        <f t="shared" si="5"/>
        <v>0.00099709200534911</v>
      </c>
      <c r="Q19" s="64"/>
      <c r="R19" s="71">
        <v>0.7950188839287347</v>
      </c>
      <c r="S19" s="7">
        <f t="shared" si="6"/>
        <v>0.7950188839287347</v>
      </c>
      <c r="T19" s="7">
        <f t="shared" si="7"/>
        <v>0.0007950188839287347</v>
      </c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0" s="66" customFormat="1" ht="12.75">
      <c r="A20" s="66" t="s">
        <v>187</v>
      </c>
      <c r="B20" s="66">
        <v>16</v>
      </c>
      <c r="C20" s="66" t="s">
        <v>224</v>
      </c>
      <c r="D20" s="5">
        <v>0.1</v>
      </c>
      <c r="E20" s="64"/>
      <c r="F20" s="71">
        <v>0.28154610388608625</v>
      </c>
      <c r="G20" s="7">
        <f t="shared" si="0"/>
        <v>0.28154610388608625</v>
      </c>
      <c r="H20" s="7">
        <f t="shared" si="1"/>
        <v>0.028154610388608628</v>
      </c>
      <c r="I20" s="64"/>
      <c r="J20" s="71">
        <v>0.21613156230234</v>
      </c>
      <c r="K20" s="7">
        <f t="shared" si="2"/>
        <v>0.21613156230234</v>
      </c>
      <c r="L20" s="7">
        <f t="shared" si="3"/>
        <v>0.021613156230234003</v>
      </c>
      <c r="M20" s="64"/>
      <c r="N20" s="71">
        <v>0.9366621868431029</v>
      </c>
      <c r="O20" s="7">
        <f t="shared" si="4"/>
        <v>0.9366621868431029</v>
      </c>
      <c r="P20" s="7">
        <f t="shared" si="5"/>
        <v>0.0936662186843103</v>
      </c>
      <c r="Q20" s="64"/>
      <c r="R20" s="71">
        <v>0.42590297353325</v>
      </c>
      <c r="S20" s="7">
        <f t="shared" si="6"/>
        <v>0.42590297353325</v>
      </c>
      <c r="T20" s="7">
        <f t="shared" si="7"/>
        <v>0.04259029735332501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2.75">
      <c r="A21" s="66" t="s">
        <v>187</v>
      </c>
      <c r="B21" s="66">
        <v>17</v>
      </c>
      <c r="C21" s="66" t="s">
        <v>225</v>
      </c>
      <c r="D21" s="5">
        <v>0</v>
      </c>
      <c r="E21" s="64"/>
      <c r="F21" s="71">
        <v>1.515556686876167</v>
      </c>
      <c r="G21" s="7">
        <f t="shared" si="0"/>
        <v>1.515556686876167</v>
      </c>
      <c r="H21" s="7">
        <f t="shared" si="1"/>
        <v>0</v>
      </c>
      <c r="I21" s="64"/>
      <c r="J21" s="71">
        <v>0.9908369025029367</v>
      </c>
      <c r="K21" s="7">
        <f t="shared" si="2"/>
        <v>0.9908369025029367</v>
      </c>
      <c r="L21" s="7">
        <f t="shared" si="3"/>
        <v>0</v>
      </c>
      <c r="M21" s="64"/>
      <c r="N21" s="71">
        <v>4.683310934215514</v>
      </c>
      <c r="O21" s="7">
        <f t="shared" si="4"/>
        <v>4.683310934215514</v>
      </c>
      <c r="P21" s="7">
        <f t="shared" si="5"/>
        <v>0</v>
      </c>
      <c r="Q21" s="64"/>
      <c r="R21" s="71">
        <v>2.3282695886484372</v>
      </c>
      <c r="S21" s="7">
        <f t="shared" si="6"/>
        <v>2.3282695886484372</v>
      </c>
      <c r="T21" s="7">
        <f t="shared" si="7"/>
        <v>0</v>
      </c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2.75">
      <c r="A22" s="66" t="s">
        <v>187</v>
      </c>
      <c r="B22" s="66">
        <v>18</v>
      </c>
      <c r="C22" s="66" t="s">
        <v>226</v>
      </c>
      <c r="D22" s="5">
        <v>0</v>
      </c>
      <c r="E22" s="64"/>
      <c r="F22" s="71">
        <v>1.7971027907622532</v>
      </c>
      <c r="G22" s="7">
        <f t="shared" si="0"/>
        <v>1.7971027907622532</v>
      </c>
      <c r="H22" s="7">
        <f t="shared" si="1"/>
        <v>0</v>
      </c>
      <c r="I22" s="64"/>
      <c r="J22" s="71">
        <v>1.206968464805277</v>
      </c>
      <c r="K22" s="7">
        <f t="shared" si="2"/>
        <v>1.206968464805277</v>
      </c>
      <c r="L22" s="7">
        <f t="shared" si="3"/>
        <v>0</v>
      </c>
      <c r="M22" s="64"/>
      <c r="N22" s="71">
        <v>5.619973121058617</v>
      </c>
      <c r="O22" s="7">
        <f t="shared" si="4"/>
        <v>5.619973121058617</v>
      </c>
      <c r="P22" s="7">
        <f t="shared" si="5"/>
        <v>0</v>
      </c>
      <c r="Q22" s="64"/>
      <c r="R22" s="71">
        <v>2.754172562181688</v>
      </c>
      <c r="S22" s="7">
        <f t="shared" si="6"/>
        <v>2.754172562181688</v>
      </c>
      <c r="T22" s="7">
        <f t="shared" si="7"/>
        <v>0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2.75">
      <c r="A23" s="66" t="s">
        <v>187</v>
      </c>
      <c r="B23" s="66">
        <v>19</v>
      </c>
      <c r="C23" s="66" t="s">
        <v>227</v>
      </c>
      <c r="D23" s="5">
        <v>0.05</v>
      </c>
      <c r="E23" s="64"/>
      <c r="F23" s="71">
        <v>0.02396137054349671</v>
      </c>
      <c r="G23" s="7">
        <f t="shared" si="0"/>
        <v>0.02396137054349671</v>
      </c>
      <c r="H23" s="7">
        <f t="shared" si="1"/>
        <v>0.0011980685271748355</v>
      </c>
      <c r="I23" s="64"/>
      <c r="J23" s="71">
        <v>0.0168414204391434</v>
      </c>
      <c r="K23" s="7">
        <f t="shared" si="2"/>
        <v>0.0168414204391434</v>
      </c>
      <c r="L23" s="7">
        <f t="shared" si="3"/>
        <v>0.0008420710219571701</v>
      </c>
      <c r="M23" s="64"/>
      <c r="N23" s="71">
        <v>0.081580254983109</v>
      </c>
      <c r="O23" s="7">
        <f t="shared" si="4"/>
        <v>0.081580254983109</v>
      </c>
      <c r="P23" s="7">
        <f t="shared" si="5"/>
        <v>0.00407901274915545</v>
      </c>
      <c r="Q23" s="64"/>
      <c r="R23" s="71">
        <v>0.04826900366710175</v>
      </c>
      <c r="S23" s="7">
        <f t="shared" si="6"/>
        <v>0.04826900366710175</v>
      </c>
      <c r="T23" s="7">
        <f t="shared" si="7"/>
        <v>0.0024134501833550873</v>
      </c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2.75">
      <c r="A24" s="66" t="s">
        <v>187</v>
      </c>
      <c r="B24" s="66">
        <v>20</v>
      </c>
      <c r="C24" s="66" t="s">
        <v>228</v>
      </c>
      <c r="D24" s="5">
        <v>0.5</v>
      </c>
      <c r="E24" s="64"/>
      <c r="F24" s="71">
        <v>0.0509179124049305</v>
      </c>
      <c r="G24" s="7">
        <f t="shared" si="0"/>
        <v>0.0509179124049305</v>
      </c>
      <c r="H24" s="7">
        <f t="shared" si="1"/>
        <v>0.02545895620246525</v>
      </c>
      <c r="I24" s="64"/>
      <c r="J24" s="71">
        <v>0.025262130658715</v>
      </c>
      <c r="K24" s="7">
        <f t="shared" si="2"/>
        <v>0.025262130658715</v>
      </c>
      <c r="L24" s="7">
        <f t="shared" si="3"/>
        <v>0.0126310653293575</v>
      </c>
      <c r="M24" s="64"/>
      <c r="N24" s="71">
        <v>0.19035392829392</v>
      </c>
      <c r="O24" s="7">
        <f t="shared" si="4"/>
        <v>0.19035392829392</v>
      </c>
      <c r="P24" s="7">
        <f t="shared" si="5"/>
        <v>0.09517696414696</v>
      </c>
      <c r="Q24" s="64"/>
      <c r="R24" s="71">
        <v>0.0965380073342035</v>
      </c>
      <c r="S24" s="7">
        <f t="shared" si="6"/>
        <v>0.0965380073342035</v>
      </c>
      <c r="T24" s="7">
        <f t="shared" si="7"/>
        <v>0.04826900366710175</v>
      </c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2.75">
      <c r="A25" s="66" t="s">
        <v>187</v>
      </c>
      <c r="B25" s="66">
        <v>21</v>
      </c>
      <c r="C25" s="66" t="s">
        <v>229</v>
      </c>
      <c r="D25" s="5">
        <v>0</v>
      </c>
      <c r="E25" s="64"/>
      <c r="F25" s="71">
        <v>0.5541066938183615</v>
      </c>
      <c r="G25" s="7">
        <f t="shared" si="0"/>
        <v>0.5541066938183615</v>
      </c>
      <c r="H25" s="7">
        <f t="shared" si="1"/>
        <v>0</v>
      </c>
      <c r="I25" s="64"/>
      <c r="J25" s="71">
        <v>0.29472485768501</v>
      </c>
      <c r="K25" s="7">
        <f t="shared" si="2"/>
        <v>0.29472485768501</v>
      </c>
      <c r="L25" s="7">
        <f t="shared" si="3"/>
        <v>0</v>
      </c>
      <c r="M25" s="64"/>
      <c r="N25" s="71">
        <v>2.0243989199512225</v>
      </c>
      <c r="O25" s="7">
        <f t="shared" si="4"/>
        <v>2.0243989199512225</v>
      </c>
      <c r="P25" s="7">
        <f t="shared" si="5"/>
        <v>0</v>
      </c>
      <c r="Q25" s="64"/>
      <c r="R25" s="71">
        <v>0.99093425175403</v>
      </c>
      <c r="S25" s="7">
        <f t="shared" si="6"/>
        <v>0.99093425175403</v>
      </c>
      <c r="T25" s="7">
        <f t="shared" si="7"/>
        <v>0</v>
      </c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12.75">
      <c r="A26" s="66" t="s">
        <v>187</v>
      </c>
      <c r="B26" s="66">
        <v>22</v>
      </c>
      <c r="C26" s="66" t="s">
        <v>230</v>
      </c>
      <c r="D26" s="5">
        <v>0</v>
      </c>
      <c r="E26" s="64"/>
      <c r="F26" s="71">
        <v>0.6289859767667887</v>
      </c>
      <c r="G26" s="7">
        <f t="shared" si="0"/>
        <v>0.6289859767667887</v>
      </c>
      <c r="H26" s="7">
        <f t="shared" si="1"/>
        <v>0</v>
      </c>
      <c r="I26" s="64"/>
      <c r="J26" s="71">
        <v>0.33682840878286796</v>
      </c>
      <c r="K26" s="7">
        <f t="shared" si="2"/>
        <v>0.33682840878286796</v>
      </c>
      <c r="L26" s="7">
        <f t="shared" si="3"/>
        <v>0</v>
      </c>
      <c r="M26" s="64"/>
      <c r="N26" s="71">
        <v>2.2963331032282523</v>
      </c>
      <c r="O26" s="7">
        <f t="shared" si="4"/>
        <v>2.2963331032282523</v>
      </c>
      <c r="P26" s="7">
        <f t="shared" si="5"/>
        <v>0</v>
      </c>
      <c r="Q26" s="64"/>
      <c r="R26" s="71">
        <v>1.1357412627553352</v>
      </c>
      <c r="S26" s="7">
        <f t="shared" si="6"/>
        <v>1.1357412627553352</v>
      </c>
      <c r="T26" s="7">
        <f t="shared" si="7"/>
        <v>0</v>
      </c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2.75">
      <c r="A27" s="66" t="s">
        <v>187</v>
      </c>
      <c r="B27" s="66">
        <v>23</v>
      </c>
      <c r="C27" s="66" t="s">
        <v>231</v>
      </c>
      <c r="D27" s="5">
        <v>0.1</v>
      </c>
      <c r="E27" s="64"/>
      <c r="F27" s="71">
        <v>0.029951713179370884</v>
      </c>
      <c r="G27" s="7">
        <f t="shared" si="0"/>
        <v>0.029951713179370884</v>
      </c>
      <c r="H27" s="7">
        <f t="shared" si="1"/>
        <v>0.0029951713179370886</v>
      </c>
      <c r="I27" s="64"/>
      <c r="J27" s="71">
        <v>0.0224552272521912</v>
      </c>
      <c r="K27" s="7">
        <f t="shared" si="2"/>
        <v>0.0224552272521912</v>
      </c>
      <c r="L27" s="7">
        <f t="shared" si="3"/>
        <v>0.0022455227252191202</v>
      </c>
      <c r="M27" s="64"/>
      <c r="N27" s="71">
        <v>0.14503156441441592</v>
      </c>
      <c r="O27" s="7">
        <f t="shared" si="4"/>
        <v>0.14503156441441592</v>
      </c>
      <c r="P27" s="7">
        <f t="shared" si="5"/>
        <v>0.014503156441441593</v>
      </c>
      <c r="Q27" s="64"/>
      <c r="R27" s="71">
        <v>0.07382318207909679</v>
      </c>
      <c r="S27" s="7">
        <f t="shared" si="6"/>
        <v>0.07382318207909679</v>
      </c>
      <c r="T27" s="7">
        <f t="shared" si="7"/>
        <v>0.007382318207909679</v>
      </c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2.75">
      <c r="A28" s="66" t="s">
        <v>187</v>
      </c>
      <c r="B28" s="66">
        <v>24</v>
      </c>
      <c r="C28" s="66" t="s">
        <v>232</v>
      </c>
      <c r="D28" s="5">
        <v>0.1</v>
      </c>
      <c r="E28" s="64"/>
      <c r="F28" s="71">
        <v>0.01797102790762253</v>
      </c>
      <c r="G28" s="7">
        <f t="shared" si="0"/>
        <v>0.01797102790762253</v>
      </c>
      <c r="H28" s="7">
        <f t="shared" si="1"/>
        <v>0.001797102790762253</v>
      </c>
      <c r="I28" s="64"/>
      <c r="J28" s="71">
        <v>0.0084207102195717</v>
      </c>
      <c r="K28" s="7">
        <f t="shared" si="2"/>
        <v>0.0084207102195717</v>
      </c>
      <c r="L28" s="7">
        <f t="shared" si="3"/>
        <v>0.0008420710219571701</v>
      </c>
      <c r="M28" s="64"/>
      <c r="N28" s="71">
        <v>0.06042981850600663</v>
      </c>
      <c r="O28" s="7">
        <f t="shared" si="4"/>
        <v>0.06042981850600663</v>
      </c>
      <c r="P28" s="7">
        <f t="shared" si="5"/>
        <v>0.006042981850600663</v>
      </c>
      <c r="Q28" s="64"/>
      <c r="R28" s="71">
        <v>0.031232884725771723</v>
      </c>
      <c r="S28" s="7">
        <f t="shared" si="6"/>
        <v>0.031232884725771723</v>
      </c>
      <c r="T28" s="7">
        <f t="shared" si="7"/>
        <v>0.0031232884725771724</v>
      </c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2.75">
      <c r="A29" s="66" t="s">
        <v>187</v>
      </c>
      <c r="B29" s="66">
        <v>25</v>
      </c>
      <c r="C29" s="66" t="s">
        <v>233</v>
      </c>
      <c r="D29" s="5">
        <v>0.1</v>
      </c>
      <c r="E29" s="64"/>
      <c r="F29" s="71">
        <v>0.008985513953811265</v>
      </c>
      <c r="G29" s="7">
        <f t="shared" si="0"/>
        <v>0.008985513953811265</v>
      </c>
      <c r="H29" s="7">
        <f t="shared" si="1"/>
        <v>0.0008985513953811265</v>
      </c>
      <c r="I29" s="64"/>
      <c r="J29" s="71">
        <v>0.00224552272521912</v>
      </c>
      <c r="K29" s="7">
        <f t="shared" si="2"/>
        <v>0.00224552272521912</v>
      </c>
      <c r="L29" s="7">
        <f t="shared" si="3"/>
        <v>0.00022455227252191198</v>
      </c>
      <c r="M29" s="64"/>
      <c r="N29" s="71">
        <v>0.015107454626501657</v>
      </c>
      <c r="O29" s="7">
        <f t="shared" si="4"/>
        <v>0.015107454626501657</v>
      </c>
      <c r="P29" s="7">
        <f t="shared" si="5"/>
        <v>0.0015107454626501658</v>
      </c>
      <c r="Q29" s="64"/>
      <c r="R29" s="71">
        <v>0.008518059470665014</v>
      </c>
      <c r="S29" s="7">
        <f t="shared" si="6"/>
        <v>0.008518059470665014</v>
      </c>
      <c r="T29" s="7">
        <f t="shared" si="7"/>
        <v>0.0008518059470665014</v>
      </c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2.75">
      <c r="A30" s="66" t="s">
        <v>187</v>
      </c>
      <c r="B30" s="66">
        <v>26</v>
      </c>
      <c r="C30" s="66" t="s">
        <v>234</v>
      </c>
      <c r="D30" s="5">
        <v>0.1</v>
      </c>
      <c r="E30" s="64"/>
      <c r="F30" s="71">
        <v>0.03893722713318215</v>
      </c>
      <c r="G30" s="7">
        <f t="shared" si="0"/>
        <v>0.03893722713318215</v>
      </c>
      <c r="H30" s="7">
        <f t="shared" si="1"/>
        <v>0.0038937227133182153</v>
      </c>
      <c r="I30" s="64"/>
      <c r="J30" s="71">
        <v>0.0168414204391434</v>
      </c>
      <c r="K30" s="7">
        <f t="shared" si="2"/>
        <v>0.0168414204391434</v>
      </c>
      <c r="L30" s="7">
        <f t="shared" si="3"/>
        <v>0.0016841420439143403</v>
      </c>
      <c r="M30" s="64"/>
      <c r="N30" s="71">
        <v>0.11783814608671293</v>
      </c>
      <c r="O30" s="7">
        <f t="shared" si="4"/>
        <v>0.11783814608671293</v>
      </c>
      <c r="P30" s="7">
        <f t="shared" si="5"/>
        <v>0.011783814608671294</v>
      </c>
      <c r="Q30" s="64"/>
      <c r="R30" s="71">
        <v>0.062465769451543446</v>
      </c>
      <c r="S30" s="7">
        <f t="shared" si="6"/>
        <v>0.062465769451543446</v>
      </c>
      <c r="T30" s="7">
        <f t="shared" si="7"/>
        <v>0.006246576945154345</v>
      </c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2.75">
      <c r="A31" s="66" t="s">
        <v>187</v>
      </c>
      <c r="B31" s="66">
        <v>27</v>
      </c>
      <c r="C31" s="66" t="s">
        <v>235</v>
      </c>
      <c r="D31" s="5">
        <v>0</v>
      </c>
      <c r="E31" s="64"/>
      <c r="F31" s="71">
        <v>0.065893768994616</v>
      </c>
      <c r="G31" s="7">
        <f t="shared" si="0"/>
        <v>0.065893768994616</v>
      </c>
      <c r="H31" s="7">
        <f t="shared" si="1"/>
        <v>0</v>
      </c>
      <c r="I31" s="64"/>
      <c r="J31" s="71">
        <v>0.06792706243787835</v>
      </c>
      <c r="K31" s="7">
        <f t="shared" si="2"/>
        <v>0.06792706243787835</v>
      </c>
      <c r="L31" s="7">
        <f t="shared" si="3"/>
        <v>0</v>
      </c>
      <c r="M31" s="64"/>
      <c r="N31" s="71">
        <v>0.5076104754504557</v>
      </c>
      <c r="O31" s="7">
        <f t="shared" si="4"/>
        <v>0.5076104754504557</v>
      </c>
      <c r="P31" s="7">
        <f t="shared" si="5"/>
        <v>0</v>
      </c>
      <c r="Q31" s="64"/>
      <c r="R31" s="71">
        <v>0.1646824830995235</v>
      </c>
      <c r="S31" s="7">
        <f t="shared" si="6"/>
        <v>0.1646824830995235</v>
      </c>
      <c r="T31" s="7">
        <f t="shared" si="7"/>
        <v>0</v>
      </c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2.75">
      <c r="A32" s="66" t="s">
        <v>187</v>
      </c>
      <c r="B32" s="66">
        <v>28</v>
      </c>
      <c r="C32" s="66" t="s">
        <v>236</v>
      </c>
      <c r="D32" s="5">
        <v>0</v>
      </c>
      <c r="E32" s="64"/>
      <c r="F32" s="71">
        <v>0.16173925116860277</v>
      </c>
      <c r="G32" s="7">
        <f t="shared" si="0"/>
        <v>0.16173925116860277</v>
      </c>
      <c r="H32" s="7">
        <f t="shared" si="1"/>
        <v>0</v>
      </c>
      <c r="I32" s="64"/>
      <c r="J32" s="71">
        <v>0.11788994307400379</v>
      </c>
      <c r="K32" s="7">
        <f t="shared" si="2"/>
        <v>0.11788994307400379</v>
      </c>
      <c r="L32" s="7">
        <f t="shared" si="3"/>
        <v>0</v>
      </c>
      <c r="M32" s="64"/>
      <c r="N32" s="71">
        <v>0.8460174590840928</v>
      </c>
      <c r="O32" s="7">
        <f t="shared" si="4"/>
        <v>0.8460174590840928</v>
      </c>
      <c r="P32" s="7">
        <f t="shared" si="5"/>
        <v>0</v>
      </c>
      <c r="Q32" s="64"/>
      <c r="R32" s="71">
        <v>0.3407223788266</v>
      </c>
      <c r="S32" s="7">
        <f t="shared" si="6"/>
        <v>0.3407223788266</v>
      </c>
      <c r="T32" s="7">
        <f t="shared" si="7"/>
        <v>0</v>
      </c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12.75">
      <c r="A33" s="66" t="s">
        <v>187</v>
      </c>
      <c r="B33" s="66">
        <v>29</v>
      </c>
      <c r="C33" s="66" t="s">
        <v>237</v>
      </c>
      <c r="D33" s="5">
        <v>0.01</v>
      </c>
      <c r="E33" s="64"/>
      <c r="F33" s="71">
        <v>0.02396137054349671</v>
      </c>
      <c r="G33" s="7">
        <f t="shared" si="0"/>
        <v>0.02396137054349671</v>
      </c>
      <c r="H33" s="7">
        <f t="shared" si="1"/>
        <v>0.0002396137054349671</v>
      </c>
      <c r="I33" s="64"/>
      <c r="J33" s="71">
        <v>0.0168414204391434</v>
      </c>
      <c r="K33" s="7">
        <f t="shared" si="2"/>
        <v>0.0168414204391434</v>
      </c>
      <c r="L33" s="7">
        <f t="shared" si="3"/>
        <v>0.000168414204391434</v>
      </c>
      <c r="M33" s="64"/>
      <c r="N33" s="71">
        <v>0.06949429128190762</v>
      </c>
      <c r="O33" s="7">
        <f t="shared" si="4"/>
        <v>0.06949429128190762</v>
      </c>
      <c r="P33" s="7">
        <f t="shared" si="5"/>
        <v>0.0006949429128190762</v>
      </c>
      <c r="Q33" s="64"/>
      <c r="R33" s="71">
        <v>0.04542965051021341</v>
      </c>
      <c r="S33" s="7">
        <f t="shared" si="6"/>
        <v>0.04542965051021341</v>
      </c>
      <c r="T33" s="7">
        <f t="shared" si="7"/>
        <v>0.0004542965051021341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2.75">
      <c r="A34" s="66" t="s">
        <v>187</v>
      </c>
      <c r="B34" s="66">
        <v>30</v>
      </c>
      <c r="C34" s="66" t="s">
        <v>238</v>
      </c>
      <c r="D34" s="5">
        <v>0.01</v>
      </c>
      <c r="E34" s="64"/>
      <c r="F34" s="71">
        <v>0.008985513953811265</v>
      </c>
      <c r="G34" s="7">
        <f t="shared" si="0"/>
        <v>0.008985513953811265</v>
      </c>
      <c r="H34" s="7">
        <f t="shared" si="1"/>
        <v>8.985513953811264E-05</v>
      </c>
      <c r="I34" s="64"/>
      <c r="J34" s="71">
        <v>0.0056138068130478</v>
      </c>
      <c r="K34" s="7">
        <f t="shared" si="2"/>
        <v>0.0056138068130478</v>
      </c>
      <c r="L34" s="7">
        <f t="shared" si="3"/>
        <v>5.6138068130478E-05</v>
      </c>
      <c r="M34" s="64"/>
      <c r="N34" s="71">
        <v>0.027193418327703</v>
      </c>
      <c r="O34" s="7">
        <f t="shared" si="4"/>
        <v>0.027193418327703</v>
      </c>
      <c r="P34" s="7">
        <f t="shared" si="5"/>
        <v>0.00027193418327703</v>
      </c>
      <c r="Q34" s="64"/>
      <c r="R34" s="71">
        <v>0.01703611894133</v>
      </c>
      <c r="S34" s="7">
        <f t="shared" si="6"/>
        <v>0.01703611894133</v>
      </c>
      <c r="T34" s="7">
        <f t="shared" si="7"/>
        <v>0.0001703611894133</v>
      </c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s="66" customFormat="1" ht="12.75">
      <c r="A35" s="66" t="s">
        <v>187</v>
      </c>
      <c r="B35" s="66">
        <v>31</v>
      </c>
      <c r="C35" s="66" t="s">
        <v>239</v>
      </c>
      <c r="D35" s="5">
        <v>0</v>
      </c>
      <c r="E35" s="64"/>
      <c r="F35" s="71">
        <v>0.0029951713179370842</v>
      </c>
      <c r="G35" s="7">
        <f t="shared" si="0"/>
        <v>0.0029951713179370842</v>
      </c>
      <c r="H35" s="7">
        <f t="shared" si="1"/>
        <v>0</v>
      </c>
      <c r="I35" s="64"/>
      <c r="J35" s="71">
        <v>0.0224552272521912</v>
      </c>
      <c r="K35" s="7">
        <f t="shared" si="2"/>
        <v>0.0224552272521912</v>
      </c>
      <c r="L35" s="7">
        <f t="shared" si="3"/>
        <v>0</v>
      </c>
      <c r="M35" s="64"/>
      <c r="N35" s="71">
        <v>0.07553727313250827</v>
      </c>
      <c r="O35" s="7">
        <f t="shared" si="4"/>
        <v>0.07553727313250827</v>
      </c>
      <c r="P35" s="7">
        <f t="shared" si="5"/>
        <v>0</v>
      </c>
      <c r="Q35" s="64"/>
      <c r="R35" s="71">
        <v>0.042590297353325</v>
      </c>
      <c r="S35" s="7">
        <f t="shared" si="6"/>
        <v>0.042590297353325</v>
      </c>
      <c r="T35" s="7">
        <f t="shared" si="7"/>
        <v>0</v>
      </c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</row>
    <row r="36" spans="1:40" s="66" customFormat="1" ht="12.75">
      <c r="A36" s="66" t="s">
        <v>187</v>
      </c>
      <c r="B36" s="66">
        <v>32</v>
      </c>
      <c r="C36" s="66" t="s">
        <v>240</v>
      </c>
      <c r="D36" s="5">
        <v>0</v>
      </c>
      <c r="E36" s="64"/>
      <c r="F36" s="71">
        <v>0.035942055815245</v>
      </c>
      <c r="G36" s="7">
        <f t="shared" si="0"/>
        <v>0.035942055815245</v>
      </c>
      <c r="H36" s="7">
        <f t="shared" si="1"/>
        <v>0</v>
      </c>
      <c r="I36" s="64"/>
      <c r="J36" s="71">
        <v>0.0449104545043824</v>
      </c>
      <c r="K36" s="7">
        <f t="shared" si="2"/>
        <v>0.0449104545043824</v>
      </c>
      <c r="L36" s="7">
        <f t="shared" si="3"/>
        <v>0</v>
      </c>
      <c r="M36" s="64"/>
      <c r="N36" s="71">
        <v>0.1722249827421189</v>
      </c>
      <c r="O36" s="7">
        <f t="shared" si="4"/>
        <v>0.1722249827421189</v>
      </c>
      <c r="P36" s="7">
        <f t="shared" si="5"/>
        <v>0</v>
      </c>
      <c r="Q36" s="64"/>
      <c r="R36" s="71">
        <v>0.10505606680486851</v>
      </c>
      <c r="S36" s="7">
        <f t="shared" si="6"/>
        <v>0.10505606680486851</v>
      </c>
      <c r="T36" s="7">
        <f t="shared" si="7"/>
        <v>0</v>
      </c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</row>
    <row r="37" spans="1:40" s="66" customFormat="1" ht="12.75">
      <c r="A37" s="66" t="s">
        <v>187</v>
      </c>
      <c r="B37" s="66">
        <v>33</v>
      </c>
      <c r="C37" s="66" t="s">
        <v>241</v>
      </c>
      <c r="D37" s="5">
        <v>0.001</v>
      </c>
      <c r="E37" s="64"/>
      <c r="F37" s="71">
        <v>0.029951713179370884</v>
      </c>
      <c r="G37" s="7">
        <f t="shared" si="0"/>
        <v>0.029951713179370884</v>
      </c>
      <c r="H37" s="7">
        <f t="shared" si="1"/>
        <v>2.9951713179370884E-05</v>
      </c>
      <c r="I37" s="64"/>
      <c r="J37" s="71">
        <v>0.042103551097858495</v>
      </c>
      <c r="K37" s="7">
        <f t="shared" si="2"/>
        <v>0.042103551097858495</v>
      </c>
      <c r="L37" s="7">
        <f t="shared" si="3"/>
        <v>4.2103551097858496E-05</v>
      </c>
      <c r="M37" s="64"/>
      <c r="N37" s="71">
        <v>0.05136534573010564</v>
      </c>
      <c r="O37" s="7">
        <f t="shared" si="4"/>
        <v>0.05136534573010564</v>
      </c>
      <c r="P37" s="7">
        <f t="shared" si="5"/>
        <v>5.1365345730105643E-05</v>
      </c>
      <c r="Q37" s="64"/>
      <c r="R37" s="71">
        <v>0.04542965051021341</v>
      </c>
      <c r="S37" s="7">
        <f t="shared" si="6"/>
        <v>0.04542965051021341</v>
      </c>
      <c r="T37" s="7">
        <f t="shared" si="7"/>
        <v>4.542965051021341E-05</v>
      </c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</row>
    <row r="38" spans="1:40" s="66" customFormat="1" ht="12.75">
      <c r="A38" s="66" t="s">
        <v>187</v>
      </c>
      <c r="B38" s="66">
        <v>34</v>
      </c>
      <c r="C38" s="66" t="s">
        <v>242</v>
      </c>
      <c r="D38" s="64"/>
      <c r="E38" s="64"/>
      <c r="F38" s="71">
        <v>7.41604418321223</v>
      </c>
      <c r="G38" s="71">
        <f>G37+G36+G32+G26+G22+G19+G18+G15+G10+G7</f>
        <v>7.416044183212231</v>
      </c>
      <c r="H38" s="71"/>
      <c r="I38" s="64"/>
      <c r="J38" s="71">
        <v>4.24684485407066</v>
      </c>
      <c r="K38" s="71">
        <f>K37+K36+K32+K26+K22+K19+K18+K15+K10+K7</f>
        <v>4.246844854070661</v>
      </c>
      <c r="L38" s="71"/>
      <c r="M38" s="64"/>
      <c r="N38" s="71">
        <v>32.916122140221816</v>
      </c>
      <c r="O38" s="71">
        <f>O37+O36+O32+O26+O22+O19+O18+O15+O10+O7</f>
        <v>32.91612214022181</v>
      </c>
      <c r="P38" s="71"/>
      <c r="Q38" s="64"/>
      <c r="R38" s="71">
        <v>15.3126315750988</v>
      </c>
      <c r="S38" s="71">
        <f>S37+S36+S32+S26+S22+S19+S18+S15+S10+S7</f>
        <v>15.312631575098804</v>
      </c>
      <c r="T38" s="71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1:40" s="66" customFormat="1" ht="12.75">
      <c r="A39" s="66" t="s">
        <v>187</v>
      </c>
      <c r="B39" s="66">
        <v>35</v>
      </c>
      <c r="C39" s="66" t="s">
        <v>33</v>
      </c>
      <c r="D39" s="64"/>
      <c r="E39" s="68">
        <f>(F39-H39)*2/F39*100</f>
        <v>-2.6659303721611475E-14</v>
      </c>
      <c r="F39" s="71">
        <v>0.1041121550114932</v>
      </c>
      <c r="G39" s="71"/>
      <c r="H39" s="71">
        <f>SUM(H5:H37)</f>
        <v>0.10411215501149321</v>
      </c>
      <c r="I39" s="68">
        <f>(J39-L39)*2/J39*100</f>
        <v>2.570065207666723E-13</v>
      </c>
      <c r="J39" s="71">
        <v>0.06479736513960425</v>
      </c>
      <c r="K39" s="71"/>
      <c r="L39" s="71">
        <f>SUM(L5:L37)</f>
        <v>0.06479736513960417</v>
      </c>
      <c r="M39" s="68">
        <f>(N39-P39)*2/N39*100</f>
        <v>2.659805226993066E-13</v>
      </c>
      <c r="N39" s="71">
        <v>0.33392611259141675</v>
      </c>
      <c r="O39" s="71"/>
      <c r="P39" s="71">
        <f>SUM(P5:P37)</f>
        <v>0.3339261125914163</v>
      </c>
      <c r="Q39" s="68">
        <f>(R39-T39)*2/R39*100</f>
        <v>9.4651742385775E-14</v>
      </c>
      <c r="R39" s="71">
        <v>0.17594335771974276</v>
      </c>
      <c r="S39" s="71"/>
      <c r="T39" s="71">
        <f>SUM(T5:T37)</f>
        <v>0.17594335771974268</v>
      </c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N39"/>
  <sheetViews>
    <sheetView workbookViewId="0" topLeftCell="C1">
      <selection activeCell="C2" sqref="C2"/>
    </sheetView>
  </sheetViews>
  <sheetFormatPr defaultColWidth="9.140625" defaultRowHeight="12.75"/>
  <cols>
    <col min="1" max="1" width="9.140625" style="0" hidden="1" customWidth="1"/>
    <col min="2" max="2" width="3.00390625" style="0" hidden="1" customWidth="1"/>
    <col min="3" max="3" width="15.7109375" style="0" customWidth="1"/>
    <col min="5" max="5" width="4.8515625" style="0" customWidth="1"/>
    <col min="6" max="8" width="9.140625" style="84" customWidth="1"/>
    <col min="9" max="9" width="3.28125" style="0" customWidth="1"/>
    <col min="10" max="12" width="9.140625" style="84" customWidth="1"/>
    <col min="13" max="13" width="5.28125" style="0" customWidth="1"/>
    <col min="14" max="16" width="9.140625" style="84" customWidth="1"/>
    <col min="17" max="17" width="6.00390625" style="0" customWidth="1"/>
    <col min="18" max="20" width="9.140625" style="84" customWidth="1"/>
  </cols>
  <sheetData>
    <row r="1" spans="3:20" ht="12.75">
      <c r="C1" s="2" t="s">
        <v>189</v>
      </c>
      <c r="D1" s="5" t="s">
        <v>26</v>
      </c>
      <c r="F1" s="85" t="s">
        <v>147</v>
      </c>
      <c r="G1" s="85"/>
      <c r="H1" s="85"/>
      <c r="J1" s="85" t="s">
        <v>148</v>
      </c>
      <c r="K1" s="85"/>
      <c r="L1" s="85"/>
      <c r="N1" s="85" t="s">
        <v>149</v>
      </c>
      <c r="O1" s="85"/>
      <c r="P1" s="85"/>
      <c r="R1" s="85" t="s">
        <v>150</v>
      </c>
      <c r="S1" s="85"/>
      <c r="T1" s="85"/>
    </row>
    <row r="2" spans="4:20" ht="12.75">
      <c r="D2" s="5" t="s">
        <v>30</v>
      </c>
      <c r="F2" s="83" t="s">
        <v>31</v>
      </c>
      <c r="G2" s="11" t="s">
        <v>31</v>
      </c>
      <c r="H2" s="11" t="s">
        <v>32</v>
      </c>
      <c r="I2" s="3"/>
      <c r="J2" s="83" t="s">
        <v>31</v>
      </c>
      <c r="K2" s="11" t="s">
        <v>31</v>
      </c>
      <c r="L2" s="11" t="s">
        <v>32</v>
      </c>
      <c r="M2" s="3"/>
      <c r="N2" s="83" t="s">
        <v>31</v>
      </c>
      <c r="O2" s="11" t="s">
        <v>31</v>
      </c>
      <c r="P2" s="11" t="s">
        <v>32</v>
      </c>
      <c r="Q2" s="3"/>
      <c r="R2" s="83" t="s">
        <v>31</v>
      </c>
      <c r="S2" s="11" t="s">
        <v>31</v>
      </c>
      <c r="T2" s="11" t="s">
        <v>32</v>
      </c>
    </row>
    <row r="3" spans="3:20" ht="12.75">
      <c r="C3" t="s">
        <v>79</v>
      </c>
      <c r="D3" s="5"/>
      <c r="F3" s="83" t="s">
        <v>208</v>
      </c>
      <c r="G3" s="11" t="s">
        <v>73</v>
      </c>
      <c r="H3" s="11" t="s">
        <v>73</v>
      </c>
      <c r="I3" s="3"/>
      <c r="J3" s="83" t="s">
        <v>208</v>
      </c>
      <c r="K3" s="11" t="s">
        <v>73</v>
      </c>
      <c r="L3" s="11" t="s">
        <v>73</v>
      </c>
      <c r="M3" s="3"/>
      <c r="N3" s="83" t="s">
        <v>208</v>
      </c>
      <c r="O3" s="11" t="s">
        <v>73</v>
      </c>
      <c r="P3" s="11" t="s">
        <v>73</v>
      </c>
      <c r="Q3" s="3"/>
      <c r="R3" s="83" t="s">
        <v>208</v>
      </c>
      <c r="S3" s="11" t="s">
        <v>73</v>
      </c>
      <c r="T3" s="11" t="s">
        <v>73</v>
      </c>
    </row>
    <row r="4" spans="4:20" ht="12.75">
      <c r="D4" s="4"/>
      <c r="G4" s="7"/>
      <c r="H4" s="7"/>
      <c r="K4" s="7"/>
      <c r="L4" s="7"/>
      <c r="O4" s="7"/>
      <c r="P4" s="7"/>
      <c r="S4" s="7"/>
      <c r="T4" s="7"/>
    </row>
    <row r="5" spans="1:40" s="66" customFormat="1" ht="12.75">
      <c r="A5" s="66" t="s">
        <v>189</v>
      </c>
      <c r="B5" s="66">
        <v>1</v>
      </c>
      <c r="C5" s="66" t="s">
        <v>209</v>
      </c>
      <c r="D5" s="5">
        <v>1</v>
      </c>
      <c r="E5" s="64"/>
      <c r="F5" s="71">
        <v>0.011856747148247507</v>
      </c>
      <c r="G5" s="7">
        <f>IF(F5=0,"",IF(E5=1,F5/2,F5))</f>
        <v>0.011856747148247507</v>
      </c>
      <c r="H5" s="7">
        <f>IF(G5="","",G5*$D5)</f>
        <v>0.011856747148247507</v>
      </c>
      <c r="I5" s="64"/>
      <c r="J5" s="71">
        <v>0.00852509918923581</v>
      </c>
      <c r="K5" s="7">
        <f>IF(J5=0,"",IF(I5=1,J5/2,J5))</f>
        <v>0.00852509918923581</v>
      </c>
      <c r="L5" s="7">
        <f>IF(K5="","",K5*$D5)</f>
        <v>0.00852509918923581</v>
      </c>
      <c r="M5" s="64"/>
      <c r="N5" s="71">
        <v>0.006475436295653065</v>
      </c>
      <c r="O5" s="7">
        <f>IF(N5=0,"",IF(M5=1,N5/2,N5))</f>
        <v>0.006475436295653065</v>
      </c>
      <c r="P5" s="7">
        <f>IF(O5="","",O5*$D5)</f>
        <v>0.006475436295653065</v>
      </c>
      <c r="Q5" s="64"/>
      <c r="R5" s="71">
        <v>0.005948886977494425</v>
      </c>
      <c r="S5" s="7">
        <f>IF(R5=0,"",IF(Q5=1,R5/2,R5))</f>
        <v>0.005948886977494425</v>
      </c>
      <c r="T5" s="7">
        <f>IF(S5="","",S5*$D5)</f>
        <v>0.005948886977494425</v>
      </c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</row>
    <row r="6" spans="1:40" s="66" customFormat="1" ht="12.75">
      <c r="A6" s="66" t="s">
        <v>189</v>
      </c>
      <c r="B6" s="66">
        <v>2</v>
      </c>
      <c r="C6" s="66" t="s">
        <v>210</v>
      </c>
      <c r="D6" s="5">
        <v>0</v>
      </c>
      <c r="E6" s="64"/>
      <c r="F6" s="71">
        <v>0.37348753516979644</v>
      </c>
      <c r="G6" s="7">
        <f aca="true" t="shared" si="0" ref="G6:G37">IF(F6=0,"",IF(E6=1,F6/2,F6))</f>
        <v>0.37348753516979644</v>
      </c>
      <c r="H6" s="7">
        <f aca="true" t="shared" si="1" ref="H6:H37">IF(G6="","",G6*$D6)</f>
        <v>0</v>
      </c>
      <c r="I6" s="64"/>
      <c r="J6" s="71">
        <v>0.2756448737852912</v>
      </c>
      <c r="K6" s="7">
        <f aca="true" t="shared" si="2" ref="K6:K37">IF(J6=0,"",IF(I6=1,J6/2,J6))</f>
        <v>0.2756448737852912</v>
      </c>
      <c r="L6" s="7">
        <f aca="true" t="shared" si="3" ref="L6:L37">IF(K6="","",K6*$D6)</f>
        <v>0</v>
      </c>
      <c r="M6" s="64"/>
      <c r="N6" s="71">
        <v>0.1845499344261123</v>
      </c>
      <c r="O6" s="7">
        <f aca="true" t="shared" si="4" ref="O6:O37">IF(N6=0,"",IF(M6=1,N6/2,N6))</f>
        <v>0.1845499344261123</v>
      </c>
      <c r="P6" s="7">
        <f aca="true" t="shared" si="5" ref="P6:P37">IF(O6="","",O6*$D6)</f>
        <v>0</v>
      </c>
      <c r="Q6" s="64"/>
      <c r="R6" s="71">
        <v>0.24687880956601857</v>
      </c>
      <c r="S6" s="7">
        <f aca="true" t="shared" si="6" ref="S6:S37">IF(R6=0,"",IF(Q6=1,R6/2,R6))</f>
        <v>0.24687880956601857</v>
      </c>
      <c r="T6" s="7">
        <f aca="true" t="shared" si="7" ref="T6:T37">IF(S6="","",S6*$D6)</f>
        <v>0</v>
      </c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s="66" customFormat="1" ht="12.75">
      <c r="A7" s="66" t="s">
        <v>189</v>
      </c>
      <c r="B7" s="66">
        <v>3</v>
      </c>
      <c r="C7" s="66" t="s">
        <v>211</v>
      </c>
      <c r="D7" s="5">
        <v>0</v>
      </c>
      <c r="E7" s="64"/>
      <c r="F7" s="71">
        <v>0.38534428231804396</v>
      </c>
      <c r="G7" s="7">
        <f t="shared" si="0"/>
        <v>0.38534428231804396</v>
      </c>
      <c r="H7" s="7">
        <f t="shared" si="1"/>
        <v>0</v>
      </c>
      <c r="I7" s="64"/>
      <c r="J7" s="71">
        <v>0.284169972974527</v>
      </c>
      <c r="K7" s="7">
        <f t="shared" si="2"/>
        <v>0.284169972974527</v>
      </c>
      <c r="L7" s="7">
        <f t="shared" si="3"/>
        <v>0</v>
      </c>
      <c r="M7" s="64"/>
      <c r="N7" s="71">
        <v>0.19102537072176537</v>
      </c>
      <c r="O7" s="7">
        <f t="shared" si="4"/>
        <v>0.19102537072176537</v>
      </c>
      <c r="P7" s="7">
        <f t="shared" si="5"/>
        <v>0</v>
      </c>
      <c r="Q7" s="64"/>
      <c r="R7" s="71">
        <v>0.252827696543513</v>
      </c>
      <c r="S7" s="7">
        <f t="shared" si="6"/>
        <v>0.252827696543513</v>
      </c>
      <c r="T7" s="7">
        <f t="shared" si="7"/>
        <v>0</v>
      </c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</row>
    <row r="8" spans="1:40" s="66" customFormat="1" ht="12.75">
      <c r="A8" s="66" t="s">
        <v>189</v>
      </c>
      <c r="B8" s="66">
        <v>4</v>
      </c>
      <c r="C8" s="66" t="s">
        <v>212</v>
      </c>
      <c r="D8" s="5">
        <v>0.5</v>
      </c>
      <c r="E8" s="64"/>
      <c r="F8" s="71">
        <v>0.0059283735741237535</v>
      </c>
      <c r="G8" s="7">
        <f t="shared" si="0"/>
        <v>0.0059283735741237535</v>
      </c>
      <c r="H8" s="7">
        <f t="shared" si="1"/>
        <v>0.0029641867870618768</v>
      </c>
      <c r="I8" s="64"/>
      <c r="J8" s="71">
        <v>0.0056833994594905415</v>
      </c>
      <c r="K8" s="7">
        <f t="shared" si="2"/>
        <v>0.0056833994594905415</v>
      </c>
      <c r="L8" s="7">
        <f t="shared" si="3"/>
        <v>0.0028416997297452708</v>
      </c>
      <c r="M8" s="64"/>
      <c r="N8" s="71">
        <v>0.0032377181478265324</v>
      </c>
      <c r="O8" s="7">
        <f t="shared" si="4"/>
        <v>0.0032377181478265324</v>
      </c>
      <c r="P8" s="7">
        <f t="shared" si="5"/>
        <v>0.0016188590739132662</v>
      </c>
      <c r="Q8" s="64"/>
      <c r="R8" s="71">
        <v>0.0029744434887472126</v>
      </c>
      <c r="S8" s="7">
        <f t="shared" si="6"/>
        <v>0.0029744434887472126</v>
      </c>
      <c r="T8" s="7">
        <f t="shared" si="7"/>
        <v>0.0014872217443736063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s="66" customFormat="1" ht="12.75">
      <c r="A9" s="66" t="s">
        <v>189</v>
      </c>
      <c r="B9" s="66">
        <v>5</v>
      </c>
      <c r="C9" s="66" t="s">
        <v>213</v>
      </c>
      <c r="D9" s="5">
        <v>0</v>
      </c>
      <c r="E9" s="64"/>
      <c r="F9" s="71">
        <v>0.19860051473314574</v>
      </c>
      <c r="G9" s="7">
        <f t="shared" si="0"/>
        <v>0.19860051473314574</v>
      </c>
      <c r="H9" s="7">
        <f t="shared" si="1"/>
        <v>0</v>
      </c>
      <c r="I9" s="64"/>
      <c r="J9" s="71">
        <v>0.12787648783853717</v>
      </c>
      <c r="K9" s="7">
        <f t="shared" si="2"/>
        <v>0.12787648783853717</v>
      </c>
      <c r="L9" s="7">
        <f t="shared" si="3"/>
        <v>0</v>
      </c>
      <c r="M9" s="64"/>
      <c r="N9" s="71">
        <v>0.08418067184349</v>
      </c>
      <c r="O9" s="7">
        <f t="shared" si="4"/>
        <v>0.08418067184349</v>
      </c>
      <c r="P9" s="7">
        <f t="shared" si="5"/>
        <v>0</v>
      </c>
      <c r="Q9" s="64"/>
      <c r="R9" s="71">
        <v>0.13682440048237177</v>
      </c>
      <c r="S9" s="7">
        <f t="shared" si="6"/>
        <v>0.13682440048237177</v>
      </c>
      <c r="T9" s="7">
        <f t="shared" si="7"/>
        <v>0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</row>
    <row r="10" spans="1:40" s="66" customFormat="1" ht="12.75">
      <c r="A10" s="66" t="s">
        <v>189</v>
      </c>
      <c r="B10" s="66">
        <v>5</v>
      </c>
      <c r="C10" s="66" t="s">
        <v>214</v>
      </c>
      <c r="D10" s="5">
        <v>0</v>
      </c>
      <c r="E10" s="64"/>
      <c r="F10" s="71">
        <v>0.20452888830727</v>
      </c>
      <c r="G10" s="7">
        <f t="shared" si="0"/>
        <v>0.20452888830727</v>
      </c>
      <c r="H10" s="7">
        <f t="shared" si="1"/>
        <v>0</v>
      </c>
      <c r="I10" s="64"/>
      <c r="J10" s="71">
        <v>0.1335598872980277</v>
      </c>
      <c r="K10" s="7">
        <f t="shared" si="2"/>
        <v>0.1335598872980277</v>
      </c>
      <c r="L10" s="7">
        <f t="shared" si="3"/>
        <v>0</v>
      </c>
      <c r="M10" s="64"/>
      <c r="N10" s="71">
        <v>0.08741838999131638</v>
      </c>
      <c r="O10" s="7">
        <f t="shared" si="4"/>
        <v>0.08741838999131638</v>
      </c>
      <c r="P10" s="7">
        <f t="shared" si="5"/>
        <v>0</v>
      </c>
      <c r="Q10" s="64"/>
      <c r="R10" s="71">
        <v>0.13979884397111897</v>
      </c>
      <c r="S10" s="7">
        <f t="shared" si="6"/>
        <v>0.13979884397111897</v>
      </c>
      <c r="T10" s="7">
        <f t="shared" si="7"/>
        <v>0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</row>
    <row r="11" spans="1:40" s="66" customFormat="1" ht="12.75">
      <c r="A11" s="66" t="s">
        <v>189</v>
      </c>
      <c r="B11" s="66">
        <v>7</v>
      </c>
      <c r="C11" s="66" t="s">
        <v>215</v>
      </c>
      <c r="D11" s="5">
        <v>0.1</v>
      </c>
      <c r="E11" s="64"/>
      <c r="F11" s="71">
        <v>0.0029641867870618768</v>
      </c>
      <c r="G11" s="7">
        <f t="shared" si="0"/>
        <v>0.0029641867870618768</v>
      </c>
      <c r="H11" s="7">
        <f t="shared" si="1"/>
        <v>0.0002964186787061877</v>
      </c>
      <c r="I11" s="64"/>
      <c r="J11" s="71">
        <v>0.0028416997297452708</v>
      </c>
      <c r="K11" s="7">
        <f t="shared" si="2"/>
        <v>0.0028416997297452708</v>
      </c>
      <c r="L11" s="7">
        <f t="shared" si="3"/>
        <v>0.0002841699729745271</v>
      </c>
      <c r="M11" s="64"/>
      <c r="N11" s="71">
        <v>0.006475436295653065</v>
      </c>
      <c r="O11" s="7">
        <f t="shared" si="4"/>
        <v>0.006475436295653065</v>
      </c>
      <c r="P11" s="7">
        <f t="shared" si="5"/>
        <v>0.0006475436295653066</v>
      </c>
      <c r="Q11" s="64"/>
      <c r="R11" s="71">
        <v>0.0029744434887472126</v>
      </c>
      <c r="S11" s="7">
        <f t="shared" si="6"/>
        <v>0.0029744434887472126</v>
      </c>
      <c r="T11" s="7">
        <f t="shared" si="7"/>
        <v>0.0002974443488747213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1:40" s="66" customFormat="1" ht="12.75">
      <c r="A12" s="66" t="s">
        <v>189</v>
      </c>
      <c r="B12" s="66">
        <v>8</v>
      </c>
      <c r="C12" s="66" t="s">
        <v>216</v>
      </c>
      <c r="D12" s="5">
        <v>0.1</v>
      </c>
      <c r="E12" s="64"/>
      <c r="F12" s="71">
        <v>0.0059283735741237535</v>
      </c>
      <c r="G12" s="7">
        <f t="shared" si="0"/>
        <v>0.0059283735741237535</v>
      </c>
      <c r="H12" s="7">
        <f t="shared" si="1"/>
        <v>0.0005928373574123754</v>
      </c>
      <c r="I12" s="64"/>
      <c r="J12" s="71">
        <v>0.011366798918981</v>
      </c>
      <c r="K12" s="7">
        <f t="shared" si="2"/>
        <v>0.011366798918981</v>
      </c>
      <c r="L12" s="7">
        <f t="shared" si="3"/>
        <v>0.0011366798918981001</v>
      </c>
      <c r="M12" s="64"/>
      <c r="N12" s="71">
        <v>0.0097131544434796</v>
      </c>
      <c r="O12" s="7">
        <f t="shared" si="4"/>
        <v>0.0097131544434796</v>
      </c>
      <c r="P12" s="7">
        <f t="shared" si="5"/>
        <v>0.0009713154443479601</v>
      </c>
      <c r="Q12" s="64"/>
      <c r="R12" s="71">
        <v>0.008923330466241637</v>
      </c>
      <c r="S12" s="7">
        <f t="shared" si="6"/>
        <v>0.008923330466241637</v>
      </c>
      <c r="T12" s="7">
        <f t="shared" si="7"/>
        <v>0.0008923330466241638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</row>
    <row r="13" spans="1:40" s="66" customFormat="1" ht="12.75">
      <c r="A13" s="66" t="s">
        <v>189</v>
      </c>
      <c r="B13" s="66">
        <v>9</v>
      </c>
      <c r="C13" s="66" t="s">
        <v>217</v>
      </c>
      <c r="D13" s="5">
        <v>0.1</v>
      </c>
      <c r="E13" s="64"/>
      <c r="F13" s="71">
        <v>0.011856747148247507</v>
      </c>
      <c r="G13" s="7">
        <f t="shared" si="0"/>
        <v>0.011856747148247507</v>
      </c>
      <c r="H13" s="7">
        <f t="shared" si="1"/>
        <v>0.0011856747148247509</v>
      </c>
      <c r="I13" s="64"/>
      <c r="J13" s="71">
        <v>0.014208498648726356</v>
      </c>
      <c r="K13" s="7">
        <f t="shared" si="2"/>
        <v>0.014208498648726356</v>
      </c>
      <c r="L13" s="7">
        <f t="shared" si="3"/>
        <v>0.0014208498648726356</v>
      </c>
      <c r="M13" s="64"/>
      <c r="N13" s="71">
        <v>0.006475436295653065</v>
      </c>
      <c r="O13" s="7">
        <f t="shared" si="4"/>
        <v>0.006475436295653065</v>
      </c>
      <c r="P13" s="7">
        <f t="shared" si="5"/>
        <v>0.0006475436295653066</v>
      </c>
      <c r="Q13" s="64"/>
      <c r="R13" s="71">
        <v>0.008923330466241637</v>
      </c>
      <c r="S13" s="7">
        <f t="shared" si="6"/>
        <v>0.008923330466241637</v>
      </c>
      <c r="T13" s="7">
        <f t="shared" si="7"/>
        <v>0.0008923330466241638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1:40" s="66" customFormat="1" ht="12.75">
      <c r="A14" s="66" t="s">
        <v>189</v>
      </c>
      <c r="B14" s="66">
        <v>10</v>
      </c>
      <c r="C14" s="66" t="s">
        <v>218</v>
      </c>
      <c r="D14" s="5">
        <v>0</v>
      </c>
      <c r="E14" s="64"/>
      <c r="F14" s="71">
        <v>0.19860051473314574</v>
      </c>
      <c r="G14" s="7">
        <f t="shared" si="0"/>
        <v>0.19860051473314574</v>
      </c>
      <c r="H14" s="7">
        <f t="shared" si="1"/>
        <v>0</v>
      </c>
      <c r="I14" s="64"/>
      <c r="J14" s="71">
        <v>0.24722787648783853</v>
      </c>
      <c r="K14" s="7">
        <f t="shared" si="2"/>
        <v>0.24722787648783853</v>
      </c>
      <c r="L14" s="7">
        <f t="shared" si="3"/>
        <v>0</v>
      </c>
      <c r="M14" s="64"/>
      <c r="N14" s="71">
        <v>0.145697316652194</v>
      </c>
      <c r="O14" s="7">
        <f t="shared" si="4"/>
        <v>0.145697316652194</v>
      </c>
      <c r="P14" s="7">
        <f t="shared" si="5"/>
        <v>0</v>
      </c>
      <c r="Q14" s="64"/>
      <c r="R14" s="71">
        <v>0.1338499569936246</v>
      </c>
      <c r="S14" s="7">
        <f t="shared" si="6"/>
        <v>0.1338499569936246</v>
      </c>
      <c r="T14" s="7">
        <f t="shared" si="7"/>
        <v>0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1:40" s="66" customFormat="1" ht="12.75">
      <c r="A15" s="66" t="s">
        <v>189</v>
      </c>
      <c r="B15" s="66">
        <v>11</v>
      </c>
      <c r="C15" s="66" t="s">
        <v>219</v>
      </c>
      <c r="D15" s="5">
        <v>0</v>
      </c>
      <c r="E15" s="64"/>
      <c r="F15" s="71">
        <v>0.21934982224257887</v>
      </c>
      <c r="G15" s="7">
        <f t="shared" si="0"/>
        <v>0.21934982224257887</v>
      </c>
      <c r="H15" s="7">
        <f t="shared" si="1"/>
        <v>0</v>
      </c>
      <c r="I15" s="64"/>
      <c r="J15" s="71">
        <v>0.27564487378529123</v>
      </c>
      <c r="K15" s="7">
        <f t="shared" si="2"/>
        <v>0.27564487378529123</v>
      </c>
      <c r="L15" s="7">
        <f t="shared" si="3"/>
        <v>0</v>
      </c>
      <c r="M15" s="64"/>
      <c r="N15" s="71">
        <v>0.16836134368698</v>
      </c>
      <c r="O15" s="7">
        <f t="shared" si="4"/>
        <v>0.16836134368698</v>
      </c>
      <c r="P15" s="7">
        <f t="shared" si="5"/>
        <v>0</v>
      </c>
      <c r="Q15" s="64"/>
      <c r="R15" s="71">
        <v>0.15467106141485507</v>
      </c>
      <c r="S15" s="7">
        <f t="shared" si="6"/>
        <v>0.15467106141485507</v>
      </c>
      <c r="T15" s="7">
        <f t="shared" si="7"/>
        <v>0</v>
      </c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40" s="66" customFormat="1" ht="12.75">
      <c r="A16" s="66" t="s">
        <v>189</v>
      </c>
      <c r="B16" s="66">
        <v>12</v>
      </c>
      <c r="C16" s="66" t="s">
        <v>220</v>
      </c>
      <c r="D16" s="5">
        <v>0.01</v>
      </c>
      <c r="E16" s="64"/>
      <c r="F16" s="71">
        <v>0.06817629610242318</v>
      </c>
      <c r="G16" s="7">
        <f t="shared" si="0"/>
        <v>0.06817629610242318</v>
      </c>
      <c r="H16" s="7">
        <f t="shared" si="1"/>
        <v>0.0006817629610242318</v>
      </c>
      <c r="I16" s="64"/>
      <c r="J16" s="71">
        <v>0.12219308837904662</v>
      </c>
      <c r="K16" s="7">
        <f t="shared" si="2"/>
        <v>0.12219308837904662</v>
      </c>
      <c r="L16" s="7">
        <f t="shared" si="3"/>
        <v>0.0012219308837904661</v>
      </c>
      <c r="M16" s="64"/>
      <c r="N16" s="71">
        <v>0.1327464440608878</v>
      </c>
      <c r="O16" s="7">
        <f t="shared" si="4"/>
        <v>0.1327464440608878</v>
      </c>
      <c r="P16" s="7">
        <f t="shared" si="5"/>
        <v>0.0013274644406088781</v>
      </c>
      <c r="Q16" s="64"/>
      <c r="R16" s="71">
        <v>0.11897773954988851</v>
      </c>
      <c r="S16" s="7">
        <f t="shared" si="6"/>
        <v>0.11897773954988851</v>
      </c>
      <c r="T16" s="7">
        <f t="shared" si="7"/>
        <v>0.001189777395498885</v>
      </c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</row>
    <row r="17" spans="1:40" s="66" customFormat="1" ht="12.75">
      <c r="A17" s="66" t="s">
        <v>189</v>
      </c>
      <c r="B17" s="66">
        <v>13</v>
      </c>
      <c r="C17" s="66" t="s">
        <v>221</v>
      </c>
      <c r="D17" s="5">
        <v>0</v>
      </c>
      <c r="E17" s="64"/>
      <c r="F17" s="71">
        <v>0.074104669676547</v>
      </c>
      <c r="G17" s="7">
        <f t="shared" si="0"/>
        <v>0.074104669676547</v>
      </c>
      <c r="H17" s="7">
        <f t="shared" si="1"/>
        <v>0</v>
      </c>
      <c r="I17" s="64"/>
      <c r="J17" s="71">
        <v>0.10230119027083</v>
      </c>
      <c r="K17" s="7">
        <f t="shared" si="2"/>
        <v>0.10230119027083</v>
      </c>
      <c r="L17" s="7">
        <f t="shared" si="3"/>
        <v>0</v>
      </c>
      <c r="M17" s="64"/>
      <c r="N17" s="71">
        <v>0.097131544434796</v>
      </c>
      <c r="O17" s="7">
        <f t="shared" si="4"/>
        <v>0.097131544434796</v>
      </c>
      <c r="P17" s="7">
        <f t="shared" si="5"/>
        <v>0</v>
      </c>
      <c r="Q17" s="64"/>
      <c r="R17" s="71">
        <v>0.083284417684922</v>
      </c>
      <c r="S17" s="7">
        <f t="shared" si="6"/>
        <v>0.083284417684922</v>
      </c>
      <c r="T17" s="7">
        <f t="shared" si="7"/>
        <v>0</v>
      </c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</row>
    <row r="18" spans="1:40" s="66" customFormat="1" ht="12.75">
      <c r="A18" s="66" t="s">
        <v>189</v>
      </c>
      <c r="B18" s="66">
        <v>14</v>
      </c>
      <c r="C18" s="66" t="s">
        <v>222</v>
      </c>
      <c r="D18" s="5">
        <v>0</v>
      </c>
      <c r="E18" s="64"/>
      <c r="F18" s="71">
        <v>0.14228096577897</v>
      </c>
      <c r="G18" s="7">
        <f t="shared" si="0"/>
        <v>0.14228096577897</v>
      </c>
      <c r="H18" s="7">
        <f t="shared" si="1"/>
        <v>0</v>
      </c>
      <c r="I18" s="64"/>
      <c r="J18" s="71">
        <v>0.22449427864987637</v>
      </c>
      <c r="K18" s="7">
        <f t="shared" si="2"/>
        <v>0.22449427864987637</v>
      </c>
      <c r="L18" s="7">
        <f t="shared" si="3"/>
        <v>0</v>
      </c>
      <c r="M18" s="64"/>
      <c r="N18" s="71">
        <v>0.22987798849568375</v>
      </c>
      <c r="O18" s="7">
        <f t="shared" si="4"/>
        <v>0.22987798849568375</v>
      </c>
      <c r="P18" s="7">
        <f t="shared" si="5"/>
        <v>0</v>
      </c>
      <c r="Q18" s="64"/>
      <c r="R18" s="71">
        <v>0.20226215723481</v>
      </c>
      <c r="S18" s="7">
        <f t="shared" si="6"/>
        <v>0.20226215723481</v>
      </c>
      <c r="T18" s="7">
        <f t="shared" si="7"/>
        <v>0</v>
      </c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1:40" s="66" customFormat="1" ht="12.75">
      <c r="A19" s="66" t="s">
        <v>189</v>
      </c>
      <c r="B19" s="66">
        <v>15</v>
      </c>
      <c r="C19" s="66" t="s">
        <v>223</v>
      </c>
      <c r="D19" s="5">
        <v>0.001</v>
      </c>
      <c r="E19" s="64"/>
      <c r="F19" s="71">
        <v>0.27566937119675455</v>
      </c>
      <c r="G19" s="7">
        <f t="shared" si="0"/>
        <v>0.27566937119675455</v>
      </c>
      <c r="H19" s="7">
        <f t="shared" si="1"/>
        <v>0.0002756693711967546</v>
      </c>
      <c r="I19" s="64"/>
      <c r="J19" s="71">
        <v>0.42625495946179</v>
      </c>
      <c r="K19" s="7">
        <f t="shared" si="2"/>
        <v>0.42625495946179</v>
      </c>
      <c r="L19" s="7">
        <f t="shared" si="3"/>
        <v>0.00042625495946179</v>
      </c>
      <c r="M19" s="64"/>
      <c r="N19" s="71">
        <v>0.48565772217398</v>
      </c>
      <c r="O19" s="7">
        <f t="shared" si="4"/>
        <v>0.48565772217398</v>
      </c>
      <c r="P19" s="7">
        <f t="shared" si="5"/>
        <v>0.00048565772217398003</v>
      </c>
      <c r="Q19" s="64"/>
      <c r="R19" s="71">
        <v>0.505655393087026</v>
      </c>
      <c r="S19" s="7">
        <f t="shared" si="6"/>
        <v>0.505655393087026</v>
      </c>
      <c r="T19" s="7">
        <f t="shared" si="7"/>
        <v>0.000505655393087026</v>
      </c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0" s="66" customFormat="1" ht="12.75">
      <c r="A20" s="66" t="s">
        <v>189</v>
      </c>
      <c r="B20" s="66">
        <v>16</v>
      </c>
      <c r="C20" s="66" t="s">
        <v>224</v>
      </c>
      <c r="D20" s="5">
        <v>0.1</v>
      </c>
      <c r="E20" s="64"/>
      <c r="F20" s="71">
        <v>1.3931677899190824</v>
      </c>
      <c r="G20" s="7">
        <f t="shared" si="0"/>
        <v>1.3931677899190824</v>
      </c>
      <c r="H20" s="7">
        <f t="shared" si="1"/>
        <v>0.13931677899190825</v>
      </c>
      <c r="I20" s="64"/>
      <c r="J20" s="71">
        <v>1.0514289000057502</v>
      </c>
      <c r="K20" s="7">
        <f t="shared" si="2"/>
        <v>1.0514289000057502</v>
      </c>
      <c r="L20" s="7">
        <f t="shared" si="3"/>
        <v>0.10514289000057503</v>
      </c>
      <c r="M20" s="64"/>
      <c r="N20" s="71">
        <v>0.6799208110435718</v>
      </c>
      <c r="O20" s="7">
        <f t="shared" si="4"/>
        <v>0.6799208110435718</v>
      </c>
      <c r="P20" s="7">
        <f t="shared" si="5"/>
        <v>0.06799208110435719</v>
      </c>
      <c r="Q20" s="64"/>
      <c r="R20" s="71">
        <v>0.083284417684922</v>
      </c>
      <c r="S20" s="7">
        <f t="shared" si="6"/>
        <v>0.083284417684922</v>
      </c>
      <c r="T20" s="7">
        <f t="shared" si="7"/>
        <v>0.0083284417684922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2.75">
      <c r="A21" s="66" t="s">
        <v>189</v>
      </c>
      <c r="B21" s="66">
        <v>17</v>
      </c>
      <c r="C21" s="66" t="s">
        <v>225</v>
      </c>
      <c r="D21" s="5">
        <v>0</v>
      </c>
      <c r="E21" s="64"/>
      <c r="F21" s="71">
        <v>14.90985953892124</v>
      </c>
      <c r="G21" s="7">
        <f t="shared" si="0"/>
        <v>14.90985953892124</v>
      </c>
      <c r="H21" s="7">
        <f t="shared" si="1"/>
        <v>0</v>
      </c>
      <c r="I21" s="64"/>
      <c r="J21" s="71">
        <v>12.560312805474</v>
      </c>
      <c r="K21" s="7">
        <f t="shared" si="2"/>
        <v>12.560312805474</v>
      </c>
      <c r="L21" s="7">
        <f t="shared" si="3"/>
        <v>0</v>
      </c>
      <c r="M21" s="64"/>
      <c r="N21" s="71">
        <v>7.8352779177402</v>
      </c>
      <c r="O21" s="7">
        <f t="shared" si="4"/>
        <v>7.8352779177402</v>
      </c>
      <c r="P21" s="7">
        <f t="shared" si="5"/>
        <v>0</v>
      </c>
      <c r="Q21" s="64"/>
      <c r="R21" s="71">
        <v>0.6603264545018812</v>
      </c>
      <c r="S21" s="7">
        <f t="shared" si="6"/>
        <v>0.6603264545018812</v>
      </c>
      <c r="T21" s="7">
        <f t="shared" si="7"/>
        <v>0</v>
      </c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2.75">
      <c r="A22" s="66" t="s">
        <v>189</v>
      </c>
      <c r="B22" s="66">
        <v>18</v>
      </c>
      <c r="C22" s="66" t="s">
        <v>226</v>
      </c>
      <c r="D22" s="5">
        <v>0</v>
      </c>
      <c r="E22" s="64"/>
      <c r="F22" s="71">
        <v>16.303027328840322</v>
      </c>
      <c r="G22" s="7">
        <f t="shared" si="0"/>
        <v>16.303027328840322</v>
      </c>
      <c r="H22" s="7">
        <f t="shared" si="1"/>
        <v>0</v>
      </c>
      <c r="I22" s="64"/>
      <c r="J22" s="71">
        <v>13.611741705479846</v>
      </c>
      <c r="K22" s="7">
        <f t="shared" si="2"/>
        <v>13.611741705479846</v>
      </c>
      <c r="L22" s="7">
        <f t="shared" si="3"/>
        <v>0</v>
      </c>
      <c r="M22" s="64"/>
      <c r="N22" s="71">
        <v>8.51519872878378</v>
      </c>
      <c r="O22" s="7">
        <f t="shared" si="4"/>
        <v>8.51519872878378</v>
      </c>
      <c r="P22" s="7">
        <f t="shared" si="5"/>
        <v>0</v>
      </c>
      <c r="Q22" s="64"/>
      <c r="R22" s="71">
        <v>0.7436108721868031</v>
      </c>
      <c r="S22" s="7">
        <f t="shared" si="6"/>
        <v>0.7436108721868031</v>
      </c>
      <c r="T22" s="7">
        <f t="shared" si="7"/>
        <v>0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2.75">
      <c r="A23" s="66" t="s">
        <v>189</v>
      </c>
      <c r="B23" s="66">
        <v>19</v>
      </c>
      <c r="C23" s="66" t="s">
        <v>227</v>
      </c>
      <c r="D23" s="5">
        <v>0.05</v>
      </c>
      <c r="E23" s="64"/>
      <c r="F23" s="71">
        <v>0.05335536216711378</v>
      </c>
      <c r="G23" s="7">
        <f t="shared" si="0"/>
        <v>0.05335536216711378</v>
      </c>
      <c r="H23" s="7">
        <f t="shared" si="1"/>
        <v>0.002667768108355689</v>
      </c>
      <c r="I23" s="64"/>
      <c r="J23" s="71">
        <v>0.031258697027198</v>
      </c>
      <c r="K23" s="7">
        <f t="shared" si="2"/>
        <v>0.031258697027198</v>
      </c>
      <c r="L23" s="7">
        <f t="shared" si="3"/>
        <v>0.0015629348513599003</v>
      </c>
      <c r="M23" s="64"/>
      <c r="N23" s="71">
        <v>0.03885261777391838</v>
      </c>
      <c r="O23" s="7">
        <f t="shared" si="4"/>
        <v>0.03885261777391838</v>
      </c>
      <c r="P23" s="7">
        <f t="shared" si="5"/>
        <v>0.001942630888695919</v>
      </c>
      <c r="Q23" s="64"/>
      <c r="R23" s="71">
        <v>0.005948886977494425</v>
      </c>
      <c r="S23" s="7">
        <f t="shared" si="6"/>
        <v>0.005948886977494425</v>
      </c>
      <c r="T23" s="7">
        <f t="shared" si="7"/>
        <v>0.0002974443488747213</v>
      </c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2.75">
      <c r="A24" s="66" t="s">
        <v>189</v>
      </c>
      <c r="B24" s="66">
        <v>20</v>
      </c>
      <c r="C24" s="66" t="s">
        <v>228</v>
      </c>
      <c r="D24" s="5">
        <v>0.5</v>
      </c>
      <c r="E24" s="64"/>
      <c r="F24" s="71">
        <v>0.09485397718598</v>
      </c>
      <c r="G24" s="7">
        <f t="shared" si="0"/>
        <v>0.09485397718598</v>
      </c>
      <c r="H24" s="7">
        <f t="shared" si="1"/>
        <v>0.04742698859299</v>
      </c>
      <c r="I24" s="64"/>
      <c r="J24" s="71">
        <v>0.053992294865160134</v>
      </c>
      <c r="K24" s="7">
        <f t="shared" si="2"/>
        <v>0.053992294865160134</v>
      </c>
      <c r="L24" s="7">
        <f t="shared" si="3"/>
        <v>0.026996147432580067</v>
      </c>
      <c r="M24" s="64"/>
      <c r="N24" s="71">
        <v>0.061516644808704</v>
      </c>
      <c r="O24" s="7">
        <f t="shared" si="4"/>
        <v>0.061516644808704</v>
      </c>
      <c r="P24" s="7">
        <f t="shared" si="5"/>
        <v>0.030758322404352</v>
      </c>
      <c r="Q24" s="64"/>
      <c r="R24" s="71">
        <v>0.008923330466241637</v>
      </c>
      <c r="S24" s="7">
        <f t="shared" si="6"/>
        <v>0.008923330466241637</v>
      </c>
      <c r="T24" s="7">
        <f t="shared" si="7"/>
        <v>0.004461665233120819</v>
      </c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2.75">
      <c r="A25" s="66" t="s">
        <v>189</v>
      </c>
      <c r="B25" s="66">
        <v>21</v>
      </c>
      <c r="C25" s="66" t="s">
        <v>229</v>
      </c>
      <c r="D25" s="5">
        <v>0</v>
      </c>
      <c r="E25" s="64"/>
      <c r="F25" s="71">
        <v>1.2449584505659888</v>
      </c>
      <c r="G25" s="7">
        <f t="shared" si="0"/>
        <v>1.2449584505659888</v>
      </c>
      <c r="H25" s="7">
        <f t="shared" si="1"/>
        <v>0</v>
      </c>
      <c r="I25" s="64"/>
      <c r="J25" s="71">
        <v>0.73884192973377</v>
      </c>
      <c r="K25" s="7">
        <f t="shared" si="2"/>
        <v>0.73884192973377</v>
      </c>
      <c r="L25" s="7">
        <f t="shared" si="3"/>
        <v>0</v>
      </c>
      <c r="M25" s="64"/>
      <c r="N25" s="71">
        <v>0.8709461817653372</v>
      </c>
      <c r="O25" s="7">
        <f t="shared" si="4"/>
        <v>0.8709461817653372</v>
      </c>
      <c r="P25" s="7">
        <f t="shared" si="5"/>
        <v>0</v>
      </c>
      <c r="Q25" s="64"/>
      <c r="R25" s="71">
        <v>0.12790107001613</v>
      </c>
      <c r="S25" s="7">
        <f t="shared" si="6"/>
        <v>0.12790107001613</v>
      </c>
      <c r="T25" s="7">
        <f t="shared" si="7"/>
        <v>0</v>
      </c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12.75">
      <c r="A26" s="66" t="s">
        <v>189</v>
      </c>
      <c r="B26" s="66">
        <v>22</v>
      </c>
      <c r="C26" s="66" t="s">
        <v>230</v>
      </c>
      <c r="D26" s="5">
        <v>0</v>
      </c>
      <c r="E26" s="64"/>
      <c r="F26" s="71">
        <v>1.3931677899190824</v>
      </c>
      <c r="G26" s="7">
        <f t="shared" si="0"/>
        <v>1.3931677899190824</v>
      </c>
      <c r="H26" s="7">
        <f t="shared" si="1"/>
        <v>0</v>
      </c>
      <c r="I26" s="64"/>
      <c r="J26" s="71">
        <v>0.8240929216261285</v>
      </c>
      <c r="K26" s="7">
        <f t="shared" si="2"/>
        <v>0.8240929216261285</v>
      </c>
      <c r="L26" s="7">
        <f t="shared" si="3"/>
        <v>0</v>
      </c>
      <c r="M26" s="64"/>
      <c r="N26" s="71">
        <v>0.97131544434796</v>
      </c>
      <c r="O26" s="7">
        <f t="shared" si="4"/>
        <v>0.97131544434796</v>
      </c>
      <c r="P26" s="7">
        <f t="shared" si="5"/>
        <v>0</v>
      </c>
      <c r="Q26" s="64"/>
      <c r="R26" s="71">
        <v>0.1427732874598662</v>
      </c>
      <c r="S26" s="7">
        <f t="shared" si="6"/>
        <v>0.1427732874598662</v>
      </c>
      <c r="T26" s="7">
        <f t="shared" si="7"/>
        <v>0</v>
      </c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2.75">
      <c r="A27" s="66" t="s">
        <v>189</v>
      </c>
      <c r="B27" s="66">
        <v>23</v>
      </c>
      <c r="C27" s="66" t="s">
        <v>231</v>
      </c>
      <c r="D27" s="5">
        <v>0.1</v>
      </c>
      <c r="E27" s="64"/>
      <c r="F27" s="71">
        <v>0.011856747148247507</v>
      </c>
      <c r="G27" s="7">
        <f t="shared" si="0"/>
        <v>0.011856747148247507</v>
      </c>
      <c r="H27" s="7">
        <f t="shared" si="1"/>
        <v>0.0011856747148247509</v>
      </c>
      <c r="I27" s="64"/>
      <c r="J27" s="71">
        <v>0.01705019837847162</v>
      </c>
      <c r="K27" s="7">
        <f t="shared" si="2"/>
        <v>0.01705019837847162</v>
      </c>
      <c r="L27" s="7">
        <f t="shared" si="3"/>
        <v>0.0017050198378471622</v>
      </c>
      <c r="M27" s="64"/>
      <c r="N27" s="71">
        <v>0.04532805406957145</v>
      </c>
      <c r="O27" s="7">
        <f t="shared" si="4"/>
        <v>0.04532805406957145</v>
      </c>
      <c r="P27" s="7">
        <f t="shared" si="5"/>
        <v>0.004532805406957145</v>
      </c>
      <c r="Q27" s="64"/>
      <c r="R27" s="71">
        <v>0.005948886977494425</v>
      </c>
      <c r="S27" s="7">
        <f t="shared" si="6"/>
        <v>0.005948886977494425</v>
      </c>
      <c r="T27" s="7">
        <f t="shared" si="7"/>
        <v>0.0005948886977494425</v>
      </c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2.75">
      <c r="A28" s="66" t="s">
        <v>189</v>
      </c>
      <c r="B28" s="66">
        <v>24</v>
      </c>
      <c r="C28" s="66" t="s">
        <v>232</v>
      </c>
      <c r="D28" s="5">
        <v>0.1</v>
      </c>
      <c r="E28" s="64"/>
      <c r="F28" s="71">
        <v>0.0059283735741237535</v>
      </c>
      <c r="G28" s="7">
        <f t="shared" si="0"/>
        <v>0.0059283735741237535</v>
      </c>
      <c r="H28" s="7">
        <f t="shared" si="1"/>
        <v>0.0005928373574123754</v>
      </c>
      <c r="I28" s="64"/>
      <c r="J28" s="71">
        <v>0.00852509918923581</v>
      </c>
      <c r="K28" s="7">
        <f t="shared" si="2"/>
        <v>0.00852509918923581</v>
      </c>
      <c r="L28" s="7">
        <f t="shared" si="3"/>
        <v>0.0008525099189235811</v>
      </c>
      <c r="M28" s="64"/>
      <c r="N28" s="71">
        <v>0.02590174518261226</v>
      </c>
      <c r="O28" s="7">
        <f t="shared" si="4"/>
        <v>0.02590174518261226</v>
      </c>
      <c r="P28" s="7">
        <f t="shared" si="5"/>
        <v>0.0025901745182612262</v>
      </c>
      <c r="Q28" s="64"/>
      <c r="R28" s="71">
        <v>0.0029744434887472126</v>
      </c>
      <c r="S28" s="7">
        <f t="shared" si="6"/>
        <v>0.0029744434887472126</v>
      </c>
      <c r="T28" s="7">
        <f t="shared" si="7"/>
        <v>0.0002974443488747213</v>
      </c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2.75">
      <c r="A29" s="66" t="s">
        <v>189</v>
      </c>
      <c r="B29" s="66">
        <v>25</v>
      </c>
      <c r="C29" s="66" t="s">
        <v>233</v>
      </c>
      <c r="D29" s="5">
        <v>0.1</v>
      </c>
      <c r="E29" s="64"/>
      <c r="F29" s="71">
        <v>0.0014820933935309384</v>
      </c>
      <c r="G29" s="7">
        <f t="shared" si="0"/>
        <v>0.0014820933935309384</v>
      </c>
      <c r="H29" s="7">
        <f t="shared" si="1"/>
        <v>0.00014820933935309386</v>
      </c>
      <c r="I29" s="64"/>
      <c r="J29" s="71">
        <v>0.0014208498648726354</v>
      </c>
      <c r="K29" s="7">
        <f t="shared" si="2"/>
        <v>0.0014208498648726354</v>
      </c>
      <c r="L29" s="7">
        <f t="shared" si="3"/>
        <v>0.00014208498648726354</v>
      </c>
      <c r="M29" s="64"/>
      <c r="N29" s="71">
        <v>0.002266402703478573</v>
      </c>
      <c r="O29" s="7">
        <f t="shared" si="4"/>
        <v>0.002266402703478573</v>
      </c>
      <c r="P29" s="7">
        <f t="shared" si="5"/>
        <v>0.0002266402703478573</v>
      </c>
      <c r="Q29" s="64"/>
      <c r="R29" s="71">
        <v>0.0014872217443736</v>
      </c>
      <c r="S29" s="7">
        <f t="shared" si="6"/>
        <v>0.0014872217443736</v>
      </c>
      <c r="T29" s="7">
        <f t="shared" si="7"/>
        <v>0.00014872217443736001</v>
      </c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2.75">
      <c r="A30" s="66" t="s">
        <v>189</v>
      </c>
      <c r="B30" s="66">
        <v>26</v>
      </c>
      <c r="C30" s="66" t="s">
        <v>234</v>
      </c>
      <c r="D30" s="5">
        <v>0.1</v>
      </c>
      <c r="E30" s="64"/>
      <c r="F30" s="71">
        <v>0.00889256036118563</v>
      </c>
      <c r="G30" s="7">
        <f t="shared" si="0"/>
        <v>0.00889256036118563</v>
      </c>
      <c r="H30" s="7">
        <f t="shared" si="1"/>
        <v>0.0008892560361185632</v>
      </c>
      <c r="I30" s="64"/>
      <c r="J30" s="71">
        <v>0.011366798918981</v>
      </c>
      <c r="K30" s="7">
        <f t="shared" si="2"/>
        <v>0.011366798918981</v>
      </c>
      <c r="L30" s="7">
        <f t="shared" si="3"/>
        <v>0.0011366798918981001</v>
      </c>
      <c r="M30" s="64"/>
      <c r="N30" s="71">
        <v>0.02590174518261226</v>
      </c>
      <c r="O30" s="7">
        <f t="shared" si="4"/>
        <v>0.02590174518261226</v>
      </c>
      <c r="P30" s="7">
        <f t="shared" si="5"/>
        <v>0.0025901745182612262</v>
      </c>
      <c r="Q30" s="64"/>
      <c r="R30" s="71">
        <v>0.005948886977494425</v>
      </c>
      <c r="S30" s="7">
        <f t="shared" si="6"/>
        <v>0.005948886977494425</v>
      </c>
      <c r="T30" s="7">
        <f t="shared" si="7"/>
        <v>0.0005948886977494425</v>
      </c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2.75">
      <c r="A31" s="66" t="s">
        <v>189</v>
      </c>
      <c r="B31" s="66">
        <v>27</v>
      </c>
      <c r="C31" s="66" t="s">
        <v>235</v>
      </c>
      <c r="D31" s="5">
        <v>0</v>
      </c>
      <c r="E31" s="64"/>
      <c r="F31" s="71">
        <v>0.045944895199459115</v>
      </c>
      <c r="G31" s="7">
        <f t="shared" si="0"/>
        <v>0.045944895199459115</v>
      </c>
      <c r="H31" s="7">
        <f t="shared" si="1"/>
        <v>0</v>
      </c>
      <c r="I31" s="64"/>
      <c r="J31" s="71">
        <v>0.038362946351561164</v>
      </c>
      <c r="K31" s="7">
        <f t="shared" si="2"/>
        <v>0.038362946351561164</v>
      </c>
      <c r="L31" s="7">
        <f t="shared" si="3"/>
        <v>0</v>
      </c>
      <c r="M31" s="64"/>
      <c r="N31" s="71">
        <v>0.14343091394871538</v>
      </c>
      <c r="O31" s="7">
        <f t="shared" si="4"/>
        <v>0.14343091394871538</v>
      </c>
      <c r="P31" s="7">
        <f t="shared" si="5"/>
        <v>0</v>
      </c>
      <c r="Q31" s="64"/>
      <c r="R31" s="71">
        <v>0.016359439188109663</v>
      </c>
      <c r="S31" s="7">
        <f t="shared" si="6"/>
        <v>0.016359439188109663</v>
      </c>
      <c r="T31" s="7">
        <f t="shared" si="7"/>
        <v>0</v>
      </c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2.75">
      <c r="A32" s="66" t="s">
        <v>189</v>
      </c>
      <c r="B32" s="66">
        <v>28</v>
      </c>
      <c r="C32" s="66" t="s">
        <v>236</v>
      </c>
      <c r="D32" s="5">
        <v>0</v>
      </c>
      <c r="E32" s="64"/>
      <c r="F32" s="71">
        <v>0.074104669676547</v>
      </c>
      <c r="G32" s="7">
        <f t="shared" si="0"/>
        <v>0.074104669676547</v>
      </c>
      <c r="H32" s="7">
        <f t="shared" si="1"/>
        <v>0</v>
      </c>
      <c r="I32" s="64"/>
      <c r="J32" s="71">
        <v>0.07672589270312231</v>
      </c>
      <c r="K32" s="7">
        <f t="shared" si="2"/>
        <v>0.07672589270312231</v>
      </c>
      <c r="L32" s="7">
        <f t="shared" si="3"/>
        <v>0</v>
      </c>
      <c r="M32" s="64"/>
      <c r="N32" s="71">
        <v>0.24282886108699</v>
      </c>
      <c r="O32" s="7">
        <f t="shared" si="4"/>
        <v>0.24282886108699</v>
      </c>
      <c r="P32" s="7">
        <f t="shared" si="5"/>
        <v>0</v>
      </c>
      <c r="Q32" s="64"/>
      <c r="R32" s="71">
        <v>0.03271887837621933</v>
      </c>
      <c r="S32" s="7">
        <f t="shared" si="6"/>
        <v>0.03271887837621933</v>
      </c>
      <c r="T32" s="7">
        <f t="shared" si="7"/>
        <v>0</v>
      </c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12.75">
      <c r="A33" s="66" t="s">
        <v>189</v>
      </c>
      <c r="B33" s="66">
        <v>29</v>
      </c>
      <c r="C33" s="66" t="s">
        <v>237</v>
      </c>
      <c r="D33" s="5">
        <v>0.01</v>
      </c>
      <c r="E33" s="64"/>
      <c r="F33" s="71">
        <v>0.011856747148247507</v>
      </c>
      <c r="G33" s="7">
        <f t="shared" si="0"/>
        <v>0.011856747148247507</v>
      </c>
      <c r="H33" s="7">
        <f t="shared" si="1"/>
        <v>0.00011856747148247507</v>
      </c>
      <c r="I33" s="64"/>
      <c r="J33" s="71">
        <v>0.019891898108216895</v>
      </c>
      <c r="K33" s="7">
        <f t="shared" si="2"/>
        <v>0.019891898108216895</v>
      </c>
      <c r="L33" s="7">
        <f t="shared" si="3"/>
        <v>0.00019891898108216895</v>
      </c>
      <c r="M33" s="64"/>
      <c r="N33" s="71">
        <v>0.0032377181478265324</v>
      </c>
      <c r="O33" s="7">
        <f t="shared" si="4"/>
        <v>0.0032377181478265324</v>
      </c>
      <c r="P33" s="7">
        <f t="shared" si="5"/>
        <v>3.237718147826532E-05</v>
      </c>
      <c r="Q33" s="64"/>
      <c r="R33" s="71">
        <v>0.005948886977494425</v>
      </c>
      <c r="S33" s="7">
        <f t="shared" si="6"/>
        <v>0.005948886977494425</v>
      </c>
      <c r="T33" s="7">
        <f t="shared" si="7"/>
        <v>5.948886977494425E-05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2.75">
      <c r="A34" s="66" t="s">
        <v>189</v>
      </c>
      <c r="B34" s="66">
        <v>30</v>
      </c>
      <c r="C34" s="66" t="s">
        <v>238</v>
      </c>
      <c r="D34" s="5">
        <v>0.01</v>
      </c>
      <c r="E34" s="64"/>
      <c r="F34" s="71">
        <v>0.002074930750943314</v>
      </c>
      <c r="G34" s="7">
        <f t="shared" si="0"/>
        <v>0.002074930750943314</v>
      </c>
      <c r="H34" s="7">
        <f t="shared" si="1"/>
        <v>2.074930750943314E-05</v>
      </c>
      <c r="I34" s="64"/>
      <c r="J34" s="71">
        <v>0.0056833994594905415</v>
      </c>
      <c r="K34" s="7">
        <f t="shared" si="2"/>
        <v>0.0056833994594905415</v>
      </c>
      <c r="L34" s="7">
        <f t="shared" si="3"/>
        <v>5.6833994594905413E-05</v>
      </c>
      <c r="M34" s="64"/>
      <c r="N34" s="71">
        <v>0.0032377181478265324</v>
      </c>
      <c r="O34" s="7">
        <f t="shared" si="4"/>
        <v>0.0032377181478265324</v>
      </c>
      <c r="P34" s="7">
        <f t="shared" si="5"/>
        <v>3.237718147826532E-05</v>
      </c>
      <c r="Q34" s="64"/>
      <c r="R34" s="71">
        <v>0.00237955479099777</v>
      </c>
      <c r="S34" s="7">
        <f t="shared" si="6"/>
        <v>0.00237955479099777</v>
      </c>
      <c r="T34" s="7">
        <f t="shared" si="7"/>
        <v>2.37955479099777E-05</v>
      </c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s="66" customFormat="1" ht="12.75">
      <c r="A35" s="66" t="s">
        <v>189</v>
      </c>
      <c r="B35" s="66">
        <v>31</v>
      </c>
      <c r="C35" s="66" t="s">
        <v>239</v>
      </c>
      <c r="D35" s="5">
        <v>0</v>
      </c>
      <c r="E35" s="64"/>
      <c r="F35" s="71">
        <v>0.0097818163973042</v>
      </c>
      <c r="G35" s="7">
        <f t="shared" si="0"/>
        <v>0.0097818163973042</v>
      </c>
      <c r="H35" s="7">
        <f t="shared" si="1"/>
        <v>0</v>
      </c>
      <c r="I35" s="64"/>
      <c r="J35" s="71">
        <v>0.014208498648726354</v>
      </c>
      <c r="K35" s="7">
        <f t="shared" si="2"/>
        <v>0.014208498648726354</v>
      </c>
      <c r="L35" s="7">
        <f t="shared" si="3"/>
        <v>0</v>
      </c>
      <c r="M35" s="64"/>
      <c r="N35" s="71">
        <v>0.048565772217398</v>
      </c>
      <c r="O35" s="7">
        <f t="shared" si="4"/>
        <v>0.048565772217398</v>
      </c>
      <c r="P35" s="7">
        <f t="shared" si="5"/>
        <v>0</v>
      </c>
      <c r="Q35" s="64"/>
      <c r="R35" s="71">
        <v>0.006543775675243869</v>
      </c>
      <c r="S35" s="7">
        <f t="shared" si="6"/>
        <v>0.006543775675243869</v>
      </c>
      <c r="T35" s="7">
        <f t="shared" si="7"/>
        <v>0</v>
      </c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</row>
    <row r="36" spans="1:40" s="66" customFormat="1" ht="12.75">
      <c r="A36" s="66" t="s">
        <v>189</v>
      </c>
      <c r="B36" s="66">
        <v>32</v>
      </c>
      <c r="C36" s="66" t="s">
        <v>240</v>
      </c>
      <c r="D36" s="5">
        <v>0</v>
      </c>
      <c r="E36" s="64"/>
      <c r="F36" s="71">
        <v>0.023713494296495</v>
      </c>
      <c r="G36" s="7">
        <f t="shared" si="0"/>
        <v>0.023713494296495</v>
      </c>
      <c r="H36" s="7">
        <f t="shared" si="1"/>
        <v>0</v>
      </c>
      <c r="I36" s="64"/>
      <c r="J36" s="71">
        <v>0.03978379621643379</v>
      </c>
      <c r="K36" s="7">
        <f t="shared" si="2"/>
        <v>0.03978379621643379</v>
      </c>
      <c r="L36" s="7">
        <f t="shared" si="3"/>
        <v>0</v>
      </c>
      <c r="M36" s="64"/>
      <c r="N36" s="71">
        <v>0.055041208513051</v>
      </c>
      <c r="O36" s="7">
        <f t="shared" si="4"/>
        <v>0.055041208513051</v>
      </c>
      <c r="P36" s="7">
        <f t="shared" si="5"/>
        <v>0</v>
      </c>
      <c r="Q36" s="64"/>
      <c r="R36" s="71">
        <v>0.014872217443736</v>
      </c>
      <c r="S36" s="7">
        <f t="shared" si="6"/>
        <v>0.014872217443736</v>
      </c>
      <c r="T36" s="7">
        <f t="shared" si="7"/>
        <v>0</v>
      </c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</row>
    <row r="37" spans="1:40" s="66" customFormat="1" ht="12.75">
      <c r="A37" s="66" t="s">
        <v>189</v>
      </c>
      <c r="B37" s="66">
        <v>33</v>
      </c>
      <c r="C37" s="66" t="s">
        <v>241</v>
      </c>
      <c r="D37" s="5">
        <v>0.001</v>
      </c>
      <c r="E37" s="64"/>
      <c r="F37" s="71">
        <v>0.023713494296495</v>
      </c>
      <c r="G37" s="7">
        <f t="shared" si="0"/>
        <v>0.023713494296495</v>
      </c>
      <c r="H37" s="7">
        <f t="shared" si="1"/>
        <v>2.3713494296495002E-05</v>
      </c>
      <c r="I37" s="64"/>
      <c r="J37" s="71">
        <v>0.03410039675694324</v>
      </c>
      <c r="K37" s="7">
        <f t="shared" si="2"/>
        <v>0.03410039675694324</v>
      </c>
      <c r="L37" s="7">
        <f t="shared" si="3"/>
        <v>3.410039675694324E-05</v>
      </c>
      <c r="M37" s="64"/>
      <c r="N37" s="71">
        <v>0.022664027034785726</v>
      </c>
      <c r="O37" s="7">
        <f t="shared" si="4"/>
        <v>0.022664027034785726</v>
      </c>
      <c r="P37" s="7">
        <f t="shared" si="5"/>
        <v>2.2664027034785728E-05</v>
      </c>
      <c r="Q37" s="64"/>
      <c r="R37" s="71">
        <v>0.03569332186496655</v>
      </c>
      <c r="S37" s="7">
        <f t="shared" si="6"/>
        <v>0.03569332186496655</v>
      </c>
      <c r="T37" s="7">
        <f t="shared" si="7"/>
        <v>3.569332186496655E-05</v>
      </c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</row>
    <row r="38" spans="1:40" s="66" customFormat="1" ht="12.75">
      <c r="A38" s="66" t="s">
        <v>189</v>
      </c>
      <c r="B38" s="66">
        <v>34</v>
      </c>
      <c r="C38" s="66" t="s">
        <v>242</v>
      </c>
      <c r="D38" s="64"/>
      <c r="E38" s="64"/>
      <c r="F38" s="71">
        <v>19.04490010687256</v>
      </c>
      <c r="G38" s="71">
        <f>G37+G36+G32+G26+G22+G19+G18+G15+G10+G7</f>
        <v>19.044900106872557</v>
      </c>
      <c r="H38" s="71"/>
      <c r="I38" s="64"/>
      <c r="J38" s="71">
        <v>15.930568684952</v>
      </c>
      <c r="K38" s="71">
        <f>K37+K36+K32+K26+K22+K19+K18+K15+K10+K7</f>
        <v>15.930568684951984</v>
      </c>
      <c r="L38" s="71"/>
      <c r="M38" s="64"/>
      <c r="N38" s="71">
        <v>10.9693890848363</v>
      </c>
      <c r="O38" s="71">
        <f>O37+O36+O32+O26+O22+O19+O18+O15+O10+O7</f>
        <v>10.969389084836294</v>
      </c>
      <c r="P38" s="71"/>
      <c r="Q38" s="64"/>
      <c r="R38" s="71">
        <v>2.2248837295829147</v>
      </c>
      <c r="S38" s="71">
        <f>S37+S36+S32+S26+S22+S19+S18+S15+S10+S7</f>
        <v>2.2248837295829142</v>
      </c>
      <c r="T38" s="71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1:40" s="66" customFormat="1" ht="12.75">
      <c r="A39" s="66" t="s">
        <v>189</v>
      </c>
      <c r="B39" s="66">
        <v>35</v>
      </c>
      <c r="C39" s="66" t="s">
        <v>33</v>
      </c>
      <c r="D39" s="64"/>
      <c r="E39" s="68">
        <f>(F39-H39)*2/F39*100</f>
        <v>2.6403223569834208E-14</v>
      </c>
      <c r="F39" s="71">
        <v>0.21024384043272482</v>
      </c>
      <c r="G39" s="71"/>
      <c r="H39" s="71">
        <f>SUM(H5:H37)</f>
        <v>0.2102438404327248</v>
      </c>
      <c r="I39" s="68">
        <f>(J39-L39)*2/J39*100</f>
        <v>0</v>
      </c>
      <c r="J39" s="71">
        <v>0.15368480478408375</v>
      </c>
      <c r="K39" s="71"/>
      <c r="L39" s="71">
        <f>SUM(L5:L37)</f>
        <v>0.15368480478408375</v>
      </c>
      <c r="M39" s="68">
        <f>(N39-P39)*2/N39*100</f>
        <v>9.033983861618343E-14</v>
      </c>
      <c r="N39" s="71">
        <v>0.1228940677370517</v>
      </c>
      <c r="O39" s="71"/>
      <c r="P39" s="71">
        <f>SUM(P5:P37)</f>
        <v>0.12289406773705164</v>
      </c>
      <c r="Q39" s="68">
        <f>(R39-T39)*2/R39*100</f>
        <v>-2.6630567339463617E-14</v>
      </c>
      <c r="R39" s="71">
        <v>0.02605612496142558</v>
      </c>
      <c r="S39" s="71"/>
      <c r="T39" s="71">
        <f>SUM(T5:T37)</f>
        <v>0.026056124961425585</v>
      </c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</row>
  </sheetData>
  <mergeCells count="4">
    <mergeCell ref="F1:H1"/>
    <mergeCell ref="J1:L1"/>
    <mergeCell ref="N1:P1"/>
    <mergeCell ref="R1:T1"/>
  </mergeCells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30"/>
  <sheetViews>
    <sheetView workbookViewId="0" topLeftCell="B1">
      <selection activeCell="C1" sqref="C1"/>
    </sheetView>
  </sheetViews>
  <sheetFormatPr defaultColWidth="9.140625" defaultRowHeight="12.75"/>
  <cols>
    <col min="1" max="1" width="2.7109375" style="16" hidden="1" customWidth="1"/>
    <col min="2" max="2" width="32.7109375" style="16" customWidth="1"/>
    <col min="3" max="3" width="58.7109375" style="16" customWidth="1"/>
    <col min="4" max="16384" width="8.8515625" style="16" customWidth="1"/>
  </cols>
  <sheetData>
    <row r="1" ht="12.75">
      <c r="B1" s="2" t="s">
        <v>89</v>
      </c>
    </row>
    <row r="3" spans="2:3" ht="12.75">
      <c r="B3" s="16" t="s">
        <v>114</v>
      </c>
      <c r="C3" s="25">
        <v>403</v>
      </c>
    </row>
    <row r="4" spans="2:3" ht="12.75">
      <c r="B4" s="16" t="s">
        <v>0</v>
      </c>
      <c r="C4" s="16" t="s">
        <v>116</v>
      </c>
    </row>
    <row r="5" spans="2:3" ht="12.75">
      <c r="B5" s="16" t="s">
        <v>1</v>
      </c>
      <c r="C5" s="16" t="s">
        <v>115</v>
      </c>
    </row>
    <row r="6" ht="12.75">
      <c r="B6" s="16" t="s">
        <v>2</v>
      </c>
    </row>
    <row r="7" spans="2:3" ht="12.75">
      <c r="B7" s="16" t="s">
        <v>3</v>
      </c>
      <c r="C7" s="16" t="s">
        <v>117</v>
      </c>
    </row>
    <row r="8" spans="2:3" ht="12.75">
      <c r="B8" s="16" t="s">
        <v>4</v>
      </c>
      <c r="C8" s="16" t="s">
        <v>118</v>
      </c>
    </row>
    <row r="9" spans="2:3" ht="12.75">
      <c r="B9" s="16" t="s">
        <v>5</v>
      </c>
      <c r="C9" s="16" t="s">
        <v>119</v>
      </c>
    </row>
    <row r="10" spans="2:3" ht="12.75">
      <c r="B10" s="16" t="s">
        <v>6</v>
      </c>
      <c r="C10" s="16" t="s">
        <v>120</v>
      </c>
    </row>
    <row r="11" spans="2:3" ht="12.75">
      <c r="B11" s="16" t="s">
        <v>281</v>
      </c>
      <c r="C11" s="25">
        <v>1</v>
      </c>
    </row>
    <row r="12" spans="2:3" ht="12.75">
      <c r="B12" s="16" t="s">
        <v>259</v>
      </c>
      <c r="C12" s="16" t="s">
        <v>297</v>
      </c>
    </row>
    <row r="13" spans="2:3" ht="12.75">
      <c r="B13" s="16" t="s">
        <v>260</v>
      </c>
      <c r="C13" s="16" t="s">
        <v>121</v>
      </c>
    </row>
    <row r="14" ht="12.75">
      <c r="B14" s="16" t="s">
        <v>65</v>
      </c>
    </row>
    <row r="15" spans="2:3" ht="12.75">
      <c r="B15" s="16" t="s">
        <v>82</v>
      </c>
      <c r="C15" s="25"/>
    </row>
    <row r="16" spans="2:3" ht="12.75">
      <c r="B16" s="16" t="s">
        <v>282</v>
      </c>
      <c r="C16" s="16" t="s">
        <v>122</v>
      </c>
    </row>
    <row r="17" spans="2:3" ht="12.75">
      <c r="B17" s="16" t="s">
        <v>283</v>
      </c>
      <c r="C17" s="16" t="s">
        <v>122</v>
      </c>
    </row>
    <row r="18" spans="2:3" ht="12.75">
      <c r="B18" s="16" t="s">
        <v>7</v>
      </c>
      <c r="C18" s="16" t="s">
        <v>270</v>
      </c>
    </row>
    <row r="19" spans="2:3" ht="12.75">
      <c r="B19" s="16" t="s">
        <v>90</v>
      </c>
      <c r="C19" s="16" t="s">
        <v>123</v>
      </c>
    </row>
    <row r="20" spans="2:3" s="52" customFormat="1" ht="12.75">
      <c r="B20" s="52" t="s">
        <v>85</v>
      </c>
      <c r="C20" s="52" t="s">
        <v>125</v>
      </c>
    </row>
    <row r="21" spans="2:3" ht="12.75">
      <c r="B21" s="16" t="s">
        <v>84</v>
      </c>
      <c r="C21" s="16" t="s">
        <v>124</v>
      </c>
    </row>
    <row r="22" ht="12.75" customHeight="1"/>
    <row r="23" ht="12.75">
      <c r="B23" s="16" t="s">
        <v>8</v>
      </c>
    </row>
    <row r="24" spans="2:3" ht="12.75">
      <c r="B24" s="16" t="s">
        <v>9</v>
      </c>
      <c r="C24" s="26">
        <v>8.499585220242782</v>
      </c>
    </row>
    <row r="25" spans="2:3" ht="12.75">
      <c r="B25" s="16" t="s">
        <v>10</v>
      </c>
      <c r="C25" s="26">
        <v>149.99268035728343</v>
      </c>
    </row>
    <row r="26" spans="2:3" ht="12.75">
      <c r="B26" s="16" t="s">
        <v>86</v>
      </c>
      <c r="C26" s="26">
        <v>21.724554299813907</v>
      </c>
    </row>
    <row r="27" spans="2:3" ht="12.75">
      <c r="B27" s="16" t="s">
        <v>87</v>
      </c>
      <c r="C27" s="26">
        <v>412.86607142857144</v>
      </c>
    </row>
    <row r="28" ht="12.75" customHeight="1"/>
    <row r="29" spans="2:3" ht="12.75">
      <c r="B29" s="16" t="s">
        <v>11</v>
      </c>
      <c r="C29" s="16" t="s">
        <v>133</v>
      </c>
    </row>
    <row r="30" spans="2:3" ht="12.75">
      <c r="B30" s="16" t="s">
        <v>113</v>
      </c>
      <c r="C30" s="16" t="s">
        <v>126</v>
      </c>
    </row>
    <row r="31" ht="12.75" customHeight="1"/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B1">
      <selection activeCell="C50" sqref="C50"/>
    </sheetView>
  </sheetViews>
  <sheetFormatPr defaultColWidth="9.140625" defaultRowHeight="12.75"/>
  <cols>
    <col min="1" max="1" width="4.28125" style="0" hidden="1" customWidth="1"/>
    <col min="2" max="2" width="19.28125" style="0" customWidth="1"/>
    <col min="3" max="3" width="67.7109375" style="23" customWidth="1"/>
  </cols>
  <sheetData>
    <row r="1" ht="12.75">
      <c r="B1" s="2" t="s">
        <v>246</v>
      </c>
    </row>
    <row r="3" spans="1:2" s="16" customFormat="1" ht="12.75">
      <c r="A3" s="16">
        <v>10</v>
      </c>
      <c r="B3" s="2" t="s">
        <v>152</v>
      </c>
    </row>
    <row r="4" s="16" customFormat="1" ht="12.75">
      <c r="B4" s="2"/>
    </row>
    <row r="5" spans="2:3" s="52" customFormat="1" ht="12.75">
      <c r="B5" s="52" t="s">
        <v>182</v>
      </c>
      <c r="C5" s="52" t="s">
        <v>127</v>
      </c>
    </row>
    <row r="6" spans="2:3" s="16" customFormat="1" ht="12.75">
      <c r="B6" s="16" t="s">
        <v>183</v>
      </c>
      <c r="C6" s="16" t="s">
        <v>128</v>
      </c>
    </row>
    <row r="7" spans="2:3" s="16" customFormat="1" ht="12.75">
      <c r="B7" s="16" t="s">
        <v>184</v>
      </c>
      <c r="C7" s="16" t="s">
        <v>129</v>
      </c>
    </row>
    <row r="8" spans="2:3" s="16" customFormat="1" ht="12.75">
      <c r="B8" s="16" t="s">
        <v>243</v>
      </c>
      <c r="C8" s="27" t="s">
        <v>278</v>
      </c>
    </row>
    <row r="9" spans="2:3" s="16" customFormat="1" ht="12.75">
      <c r="B9" s="16" t="s">
        <v>277</v>
      </c>
      <c r="C9" s="74">
        <v>35765</v>
      </c>
    </row>
    <row r="10" spans="2:3" s="16" customFormat="1" ht="12.75">
      <c r="B10" s="16" t="s">
        <v>244</v>
      </c>
      <c r="C10" s="16" t="s">
        <v>177</v>
      </c>
    </row>
    <row r="11" spans="2:3" s="16" customFormat="1" ht="12.75">
      <c r="B11" s="16" t="s">
        <v>245</v>
      </c>
      <c r="C11" s="16" t="s">
        <v>130</v>
      </c>
    </row>
    <row r="12" s="16" customFormat="1" ht="12.75"/>
    <row r="13" spans="1:2" s="16" customFormat="1" ht="12.75">
      <c r="A13" s="16">
        <v>11</v>
      </c>
      <c r="B13" s="2" t="s">
        <v>145</v>
      </c>
    </row>
    <row r="14" s="16" customFormat="1" ht="12.75">
      <c r="B14" s="2"/>
    </row>
    <row r="15" spans="2:3" s="52" customFormat="1" ht="12.75">
      <c r="B15" s="52" t="s">
        <v>182</v>
      </c>
      <c r="C15" s="52" t="s">
        <v>127</v>
      </c>
    </row>
    <row r="16" spans="2:3" s="16" customFormat="1" ht="12.75">
      <c r="B16" s="16" t="s">
        <v>183</v>
      </c>
      <c r="C16" s="16" t="s">
        <v>128</v>
      </c>
    </row>
    <row r="17" spans="2:3" s="16" customFormat="1" ht="12.75">
      <c r="B17" s="16" t="s">
        <v>184</v>
      </c>
      <c r="C17" s="16" t="s">
        <v>129</v>
      </c>
    </row>
    <row r="18" spans="2:3" s="16" customFormat="1" ht="12.75">
      <c r="B18" s="16" t="s">
        <v>243</v>
      </c>
      <c r="C18" s="27" t="s">
        <v>279</v>
      </c>
    </row>
    <row r="19" spans="2:3" s="16" customFormat="1" ht="12.75">
      <c r="B19" s="16" t="s">
        <v>277</v>
      </c>
      <c r="C19" s="74">
        <v>35765</v>
      </c>
    </row>
    <row r="20" spans="2:3" s="16" customFormat="1" ht="12.75">
      <c r="B20" s="16" t="s">
        <v>244</v>
      </c>
      <c r="C20" s="16" t="s">
        <v>178</v>
      </c>
    </row>
    <row r="21" spans="2:3" s="16" customFormat="1" ht="12.75">
      <c r="B21" s="16" t="s">
        <v>245</v>
      </c>
      <c r="C21" s="16" t="s">
        <v>174</v>
      </c>
    </row>
    <row r="22" s="16" customFormat="1" ht="12.75"/>
    <row r="23" spans="1:2" s="16" customFormat="1" ht="12.75">
      <c r="A23" s="16">
        <v>12</v>
      </c>
      <c r="B23" s="2" t="s">
        <v>159</v>
      </c>
    </row>
    <row r="24" s="16" customFormat="1" ht="12.75">
      <c r="B24" s="2"/>
    </row>
    <row r="25" spans="2:3" s="52" customFormat="1" ht="12.75">
      <c r="B25" s="52" t="s">
        <v>182</v>
      </c>
      <c r="C25" s="52" t="s">
        <v>127</v>
      </c>
    </row>
    <row r="26" spans="2:3" s="16" customFormat="1" ht="12.75">
      <c r="B26" s="16" t="s">
        <v>183</v>
      </c>
      <c r="C26" s="16" t="s">
        <v>128</v>
      </c>
    </row>
    <row r="27" spans="2:3" s="16" customFormat="1" ht="12.75">
      <c r="B27" s="16" t="s">
        <v>184</v>
      </c>
      <c r="C27" s="16" t="s">
        <v>129</v>
      </c>
    </row>
    <row r="28" spans="2:3" s="16" customFormat="1" ht="12.75">
      <c r="B28" s="16" t="s">
        <v>243</v>
      </c>
      <c r="C28" s="27">
        <v>35777</v>
      </c>
    </row>
    <row r="29" spans="2:3" s="16" customFormat="1" ht="12.75">
      <c r="B29" s="16" t="s">
        <v>277</v>
      </c>
      <c r="C29" s="74">
        <v>35765</v>
      </c>
    </row>
    <row r="30" spans="2:3" s="16" customFormat="1" ht="12.75">
      <c r="B30" s="16" t="s">
        <v>244</v>
      </c>
      <c r="C30" s="16" t="s">
        <v>179</v>
      </c>
    </row>
    <row r="31" spans="2:3" s="16" customFormat="1" ht="12.75">
      <c r="B31" s="16" t="s">
        <v>245</v>
      </c>
      <c r="C31" s="16" t="s">
        <v>175</v>
      </c>
    </row>
    <row r="32" s="16" customFormat="1" ht="12.75"/>
    <row r="33" spans="1:2" s="16" customFormat="1" ht="12.75">
      <c r="A33" s="16">
        <v>13</v>
      </c>
      <c r="B33" s="2" t="s">
        <v>176</v>
      </c>
    </row>
    <row r="34" s="16" customFormat="1" ht="12.75">
      <c r="B34" s="2"/>
    </row>
    <row r="35" spans="2:3" s="52" customFormat="1" ht="12.75">
      <c r="B35" s="52" t="s">
        <v>182</v>
      </c>
      <c r="C35" s="52" t="s">
        <v>127</v>
      </c>
    </row>
    <row r="36" spans="2:3" s="16" customFormat="1" ht="12.75">
      <c r="B36" s="16" t="s">
        <v>183</v>
      </c>
      <c r="C36" s="16" t="s">
        <v>128</v>
      </c>
    </row>
    <row r="37" spans="2:3" s="16" customFormat="1" ht="12.75">
      <c r="B37" s="16" t="s">
        <v>184</v>
      </c>
      <c r="C37" s="16" t="s">
        <v>129</v>
      </c>
    </row>
    <row r="38" spans="2:3" s="16" customFormat="1" ht="12.75">
      <c r="B38" s="16" t="s">
        <v>243</v>
      </c>
      <c r="C38" s="27" t="s">
        <v>280</v>
      </c>
    </row>
    <row r="39" spans="2:3" s="16" customFormat="1" ht="12.75">
      <c r="B39" s="16" t="s">
        <v>277</v>
      </c>
      <c r="C39" s="74">
        <v>35796</v>
      </c>
    </row>
    <row r="40" spans="2:3" s="16" customFormat="1" ht="12.75">
      <c r="B40" s="16" t="s">
        <v>244</v>
      </c>
      <c r="C40" s="16" t="s">
        <v>179</v>
      </c>
    </row>
    <row r="41" spans="2:3" s="16" customFormat="1" ht="12.75">
      <c r="B41" s="16" t="s">
        <v>245</v>
      </c>
      <c r="C41" s="16" t="s">
        <v>137</v>
      </c>
    </row>
    <row r="43" ht="12.75">
      <c r="B43" s="2" t="s">
        <v>181</v>
      </c>
    </row>
    <row r="45" spans="2:3" ht="38.25">
      <c r="B45" s="62" t="s">
        <v>182</v>
      </c>
      <c r="C45" s="72" t="s">
        <v>250</v>
      </c>
    </row>
    <row r="46" spans="2:3" ht="12.75">
      <c r="B46" s="62" t="s">
        <v>183</v>
      </c>
      <c r="C46" s="72" t="s">
        <v>251</v>
      </c>
    </row>
    <row r="47" spans="2:3" ht="12.75">
      <c r="B47" t="s">
        <v>184</v>
      </c>
      <c r="C47" s="23" t="s">
        <v>252</v>
      </c>
    </row>
    <row r="48" spans="1:3" ht="12.75">
      <c r="A48" t="s">
        <v>181</v>
      </c>
      <c r="B48" t="s">
        <v>185</v>
      </c>
      <c r="C48" s="23" t="s">
        <v>253</v>
      </c>
    </row>
    <row r="49" spans="1:3" ht="12.75">
      <c r="A49" t="s">
        <v>181</v>
      </c>
      <c r="B49" s="16" t="s">
        <v>243</v>
      </c>
      <c r="C49" s="75">
        <v>33808</v>
      </c>
    </row>
    <row r="50" spans="2:3" ht="12.75">
      <c r="B50" s="16" t="s">
        <v>277</v>
      </c>
      <c r="C50" s="76">
        <v>33725</v>
      </c>
    </row>
    <row r="52" ht="12.75">
      <c r="B52" s="2" t="s">
        <v>186</v>
      </c>
    </row>
    <row r="54" spans="2:3" ht="38.25">
      <c r="B54" s="62" t="s">
        <v>182</v>
      </c>
      <c r="C54" s="72" t="s">
        <v>250</v>
      </c>
    </row>
    <row r="55" spans="2:3" ht="12.75">
      <c r="B55" s="62" t="s">
        <v>183</v>
      </c>
      <c r="C55" s="72" t="s">
        <v>251</v>
      </c>
    </row>
    <row r="56" spans="2:3" ht="12.75">
      <c r="B56" t="s">
        <v>184</v>
      </c>
      <c r="C56" s="23" t="s">
        <v>252</v>
      </c>
    </row>
    <row r="57" spans="1:3" ht="12.75">
      <c r="A57" t="s">
        <v>186</v>
      </c>
      <c r="B57" t="s">
        <v>185</v>
      </c>
      <c r="C57" s="23" t="s">
        <v>254</v>
      </c>
    </row>
    <row r="58" spans="2:3" ht="12.75">
      <c r="B58" s="16" t="s">
        <v>243</v>
      </c>
      <c r="C58" s="23" t="s">
        <v>255</v>
      </c>
    </row>
    <row r="59" spans="2:3" ht="12.75">
      <c r="B59" s="16" t="s">
        <v>277</v>
      </c>
      <c r="C59" s="76">
        <v>33786</v>
      </c>
    </row>
    <row r="61" ht="12.75">
      <c r="B61" s="2" t="s">
        <v>187</v>
      </c>
    </row>
    <row r="63" spans="2:3" ht="25.5">
      <c r="B63" s="62" t="s">
        <v>182</v>
      </c>
      <c r="C63" s="72" t="s">
        <v>256</v>
      </c>
    </row>
    <row r="64" spans="2:3" ht="12.75">
      <c r="B64" t="s">
        <v>183</v>
      </c>
      <c r="C64" s="23" t="s">
        <v>251</v>
      </c>
    </row>
    <row r="65" spans="2:3" ht="12.75">
      <c r="B65" t="s">
        <v>184</v>
      </c>
      <c r="C65" s="23" t="s">
        <v>252</v>
      </c>
    </row>
    <row r="66" spans="1:3" ht="12.75">
      <c r="A66" t="s">
        <v>187</v>
      </c>
      <c r="B66" t="s">
        <v>185</v>
      </c>
      <c r="C66" s="23" t="s">
        <v>257</v>
      </c>
    </row>
    <row r="67" spans="1:3" ht="12.75">
      <c r="A67" t="s">
        <v>187</v>
      </c>
      <c r="B67" s="16" t="s">
        <v>243</v>
      </c>
      <c r="C67" s="23" t="s">
        <v>188</v>
      </c>
    </row>
    <row r="68" spans="1:3" ht="12.75">
      <c r="A68" t="s">
        <v>187</v>
      </c>
      <c r="B68" s="16" t="s">
        <v>277</v>
      </c>
      <c r="C68" s="76">
        <v>34639</v>
      </c>
    </row>
    <row r="70" ht="12.75">
      <c r="B70" s="2" t="s">
        <v>189</v>
      </c>
    </row>
    <row r="72" spans="2:3" ht="25.5">
      <c r="B72" s="62" t="s">
        <v>182</v>
      </c>
      <c r="C72" s="72" t="s">
        <v>256</v>
      </c>
    </row>
    <row r="73" spans="2:3" ht="12.75">
      <c r="B73" t="s">
        <v>183</v>
      </c>
      <c r="C73" s="23" t="s">
        <v>251</v>
      </c>
    </row>
    <row r="74" spans="2:3" ht="12.75">
      <c r="B74" t="s">
        <v>184</v>
      </c>
      <c r="C74" s="23" t="s">
        <v>252</v>
      </c>
    </row>
    <row r="75" spans="1:3" ht="12.75">
      <c r="A75" t="s">
        <v>189</v>
      </c>
      <c r="B75" t="s">
        <v>185</v>
      </c>
      <c r="C75" s="23" t="s">
        <v>258</v>
      </c>
    </row>
    <row r="76" spans="1:3" ht="12.75">
      <c r="A76" t="s">
        <v>189</v>
      </c>
      <c r="B76" s="16" t="s">
        <v>243</v>
      </c>
      <c r="C76" s="23" t="s">
        <v>190</v>
      </c>
    </row>
    <row r="77" spans="2:3" ht="12.75">
      <c r="B77" s="16" t="s">
        <v>277</v>
      </c>
      <c r="C77" s="76">
        <v>34639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33"/>
  <sheetViews>
    <sheetView workbookViewId="0" topLeftCell="B1">
      <selection activeCell="O18" sqref="O18"/>
    </sheetView>
  </sheetViews>
  <sheetFormatPr defaultColWidth="9.140625" defaultRowHeight="12.75"/>
  <cols>
    <col min="1" max="1" width="1.421875" style="31" hidden="1" customWidth="1"/>
    <col min="2" max="2" width="19.140625" style="31" customWidth="1"/>
    <col min="3" max="3" width="11.00390625" style="31" customWidth="1"/>
    <col min="4" max="4" width="8.140625" style="29" bestFit="1" customWidth="1"/>
    <col min="5" max="5" width="5.421875" style="29" customWidth="1"/>
    <col min="6" max="6" width="3.28125" style="30" customWidth="1"/>
    <col min="7" max="7" width="8.8515625" style="31" customWidth="1"/>
    <col min="8" max="8" width="3.00390625" style="30" customWidth="1"/>
    <col min="9" max="9" width="10.421875" style="31" customWidth="1"/>
    <col min="10" max="10" width="3.28125" style="30" customWidth="1"/>
    <col min="11" max="11" width="10.421875" style="31" customWidth="1"/>
    <col min="12" max="12" width="2.7109375" style="31" customWidth="1"/>
    <col min="13" max="13" width="10.00390625" style="31" customWidth="1"/>
    <col min="14" max="14" width="2.140625" style="31" customWidth="1"/>
    <col min="15" max="15" width="10.00390625" style="31" customWidth="1"/>
    <col min="16" max="16384" width="8.8515625" style="31" customWidth="1"/>
  </cols>
  <sheetData>
    <row r="1" spans="2:3" ht="12.75">
      <c r="B1" s="28" t="s">
        <v>261</v>
      </c>
      <c r="C1" s="28"/>
    </row>
    <row r="2" spans="2:14" ht="12.75">
      <c r="B2" s="16"/>
      <c r="C2" s="16"/>
      <c r="G2" s="30"/>
      <c r="I2" s="30"/>
      <c r="K2" s="30"/>
      <c r="L2" s="30"/>
      <c r="M2" s="30"/>
      <c r="N2" s="30"/>
    </row>
    <row r="3" spans="2:14" ht="12.75">
      <c r="B3" s="16"/>
      <c r="C3" s="16"/>
      <c r="G3" s="30"/>
      <c r="I3" s="30"/>
      <c r="K3" s="30"/>
      <c r="L3" s="30"/>
      <c r="M3" s="30"/>
      <c r="N3" s="30"/>
    </row>
    <row r="4" spans="1:15" ht="12.75">
      <c r="A4" s="31">
        <v>10</v>
      </c>
      <c r="B4" s="32" t="s">
        <v>152</v>
      </c>
      <c r="C4" s="29" t="s">
        <v>131</v>
      </c>
      <c r="G4" s="30" t="s">
        <v>147</v>
      </c>
      <c r="I4" s="30" t="s">
        <v>148</v>
      </c>
      <c r="K4" s="30" t="s">
        <v>149</v>
      </c>
      <c r="L4" s="30"/>
      <c r="M4" s="30" t="s">
        <v>150</v>
      </c>
      <c r="N4" s="30"/>
      <c r="O4" s="30" t="s">
        <v>70</v>
      </c>
    </row>
    <row r="5" spans="2:13" ht="12.75">
      <c r="B5" s="32"/>
      <c r="C5" s="29"/>
      <c r="G5" s="33"/>
      <c r="I5" s="33"/>
      <c r="K5" s="33"/>
      <c r="L5" s="33"/>
      <c r="M5" s="33"/>
    </row>
    <row r="6" spans="2:15" ht="12.75">
      <c r="B6" s="29" t="s">
        <v>19</v>
      </c>
      <c r="C6" s="29" t="s">
        <v>272</v>
      </c>
      <c r="D6" s="29" t="s">
        <v>20</v>
      </c>
      <c r="E6" s="29" t="s">
        <v>15</v>
      </c>
      <c r="G6" s="33">
        <v>0.0539</v>
      </c>
      <c r="I6" s="33">
        <v>0.0606</v>
      </c>
      <c r="K6" s="33">
        <v>0.0565</v>
      </c>
      <c r="L6" s="33"/>
      <c r="M6" s="33">
        <v>0.0501</v>
      </c>
      <c r="O6" s="38">
        <f>AVERAGE(M6,K6,I6,G6)</f>
        <v>0.055275000000000005</v>
      </c>
    </row>
    <row r="7" spans="2:13" ht="12.75">
      <c r="B7" s="29"/>
      <c r="C7" s="29"/>
      <c r="G7" s="33"/>
      <c r="I7" s="33"/>
      <c r="K7" s="33"/>
      <c r="L7" s="33"/>
      <c r="M7" s="33"/>
    </row>
    <row r="8" spans="2:15" ht="12.75">
      <c r="B8" s="29" t="s">
        <v>96</v>
      </c>
      <c r="C8" s="29" t="s">
        <v>272</v>
      </c>
      <c r="D8" s="29" t="s">
        <v>66</v>
      </c>
      <c r="E8" s="29" t="s">
        <v>15</v>
      </c>
      <c r="G8" s="33">
        <v>139</v>
      </c>
      <c r="I8" s="33">
        <v>128</v>
      </c>
      <c r="K8" s="33">
        <v>146</v>
      </c>
      <c r="L8" s="33"/>
      <c r="M8" s="33">
        <v>112</v>
      </c>
      <c r="O8" s="45">
        <f>AVERAGE(M8,K8,I8,G8)</f>
        <v>131.25</v>
      </c>
    </row>
    <row r="9" spans="2:15" ht="12.75">
      <c r="B9" s="29" t="s">
        <v>134</v>
      </c>
      <c r="C9" s="29" t="s">
        <v>272</v>
      </c>
      <c r="D9" s="29" t="s">
        <v>66</v>
      </c>
      <c r="E9" s="29" t="s">
        <v>15</v>
      </c>
      <c r="G9" s="33">
        <v>166</v>
      </c>
      <c r="I9" s="33">
        <v>148</v>
      </c>
      <c r="K9" s="33">
        <v>174</v>
      </c>
      <c r="L9" s="33"/>
      <c r="M9" s="33">
        <v>134</v>
      </c>
      <c r="O9" s="45">
        <f>AVERAGE(M9,K9,I9,G9)</f>
        <v>155.5</v>
      </c>
    </row>
    <row r="10" spans="2:15" ht="12.75">
      <c r="B10" s="29" t="s">
        <v>135</v>
      </c>
      <c r="C10" s="29" t="s">
        <v>272</v>
      </c>
      <c r="D10" s="29" t="s">
        <v>66</v>
      </c>
      <c r="E10" s="29" t="s">
        <v>15</v>
      </c>
      <c r="G10" s="33">
        <v>16</v>
      </c>
      <c r="I10" s="33">
        <v>12.4</v>
      </c>
      <c r="K10" s="33">
        <v>12.4</v>
      </c>
      <c r="L10" s="33"/>
      <c r="M10" s="33">
        <v>11.2</v>
      </c>
      <c r="O10" s="45">
        <f>AVERAGE(M10,K10,I10,G10)</f>
        <v>13</v>
      </c>
    </row>
    <row r="11" spans="2:15" ht="12.75">
      <c r="B11" s="29" t="s">
        <v>136</v>
      </c>
      <c r="C11" s="29" t="s">
        <v>272</v>
      </c>
      <c r="D11" s="29" t="s">
        <v>66</v>
      </c>
      <c r="E11" s="29" t="s">
        <v>15</v>
      </c>
      <c r="G11" s="33">
        <v>19.7</v>
      </c>
      <c r="I11" s="33">
        <v>13.7</v>
      </c>
      <c r="K11" s="33">
        <v>13.8</v>
      </c>
      <c r="L11" s="33"/>
      <c r="M11" s="33">
        <v>11.6</v>
      </c>
      <c r="O11" s="45">
        <f>AVERAGE(M11,K11,I11,G11)</f>
        <v>14.7</v>
      </c>
    </row>
    <row r="12" spans="2:13" ht="12.75">
      <c r="B12" s="29"/>
      <c r="C12" s="29"/>
      <c r="G12" s="33"/>
      <c r="I12" s="33"/>
      <c r="K12" s="33"/>
      <c r="L12" s="33"/>
      <c r="M12" s="33"/>
    </row>
    <row r="13" spans="2:13" ht="12.75">
      <c r="B13" s="29" t="s">
        <v>21</v>
      </c>
      <c r="C13" s="29"/>
      <c r="D13" s="29" t="s">
        <v>140</v>
      </c>
      <c r="G13" s="56">
        <v>4747</v>
      </c>
      <c r="H13" s="58"/>
      <c r="I13" s="56">
        <v>5917</v>
      </c>
      <c r="J13" s="58"/>
      <c r="K13" s="56">
        <v>3516</v>
      </c>
      <c r="L13" s="56"/>
      <c r="M13" s="56">
        <v>3091</v>
      </c>
    </row>
    <row r="14" spans="2:13" ht="12.75">
      <c r="B14" s="29" t="s">
        <v>68</v>
      </c>
      <c r="C14" s="29"/>
      <c r="D14" s="29" t="s">
        <v>140</v>
      </c>
      <c r="G14" s="47">
        <v>0.58</v>
      </c>
      <c r="H14" s="59"/>
      <c r="I14" s="47">
        <v>0.778</v>
      </c>
      <c r="J14" s="59"/>
      <c r="K14" s="47">
        <v>0.775</v>
      </c>
      <c r="L14" s="47"/>
      <c r="M14" s="47">
        <v>0.801</v>
      </c>
    </row>
    <row r="15" spans="2:14" ht="12.75">
      <c r="B15" s="29"/>
      <c r="C15" s="29"/>
      <c r="G15" s="47"/>
      <c r="H15" s="59"/>
      <c r="I15" s="47"/>
      <c r="J15" s="59"/>
      <c r="K15" s="47"/>
      <c r="L15" s="33"/>
      <c r="M15" s="33"/>
      <c r="N15" s="33"/>
    </row>
    <row r="16" spans="2:15" ht="12.75">
      <c r="B16" s="29" t="s">
        <v>21</v>
      </c>
      <c r="C16" s="29" t="s">
        <v>272</v>
      </c>
      <c r="D16" s="29" t="s">
        <v>66</v>
      </c>
      <c r="E16" s="29" t="s">
        <v>15</v>
      </c>
      <c r="G16" s="47">
        <f>G13*1000000/60/G$35/0.0283/1516*(21-7)/(21-G$36)</f>
        <v>26.23098893289868</v>
      </c>
      <c r="H16" s="59"/>
      <c r="I16" s="47">
        <f>I13*1000000/60/I$35/0.0283/1516*(21-7)/(21-I$36)</f>
        <v>30.799311997170356</v>
      </c>
      <c r="J16" s="59"/>
      <c r="K16" s="47">
        <f>K13*1000000/60/K$35/0.0283/1516*(21-7)/(21-K$36)</f>
        <v>18.294946348608004</v>
      </c>
      <c r="L16" s="33"/>
      <c r="M16" s="47">
        <f>M13*1000000/60/M$35/0.0283/1516*(21-7)/(21-M$36)</f>
        <v>17.305893293213263</v>
      </c>
      <c r="N16" s="33"/>
      <c r="O16" s="45">
        <f>AVERAGE(M16,K16,I16,G16)</f>
        <v>23.157785142972575</v>
      </c>
    </row>
    <row r="17" spans="2:15" ht="12.75">
      <c r="B17" s="29" t="s">
        <v>68</v>
      </c>
      <c r="C17" s="29" t="s">
        <v>272</v>
      </c>
      <c r="D17" s="29" t="s">
        <v>66</v>
      </c>
      <c r="E17" s="29" t="s">
        <v>15</v>
      </c>
      <c r="G17" s="79">
        <f>G14*1000000/60/G$35/0.0283/2948*(21-7)/(21-G$36)</f>
        <v>0.001648143978737921</v>
      </c>
      <c r="H17" s="59"/>
      <c r="I17" s="79">
        <f>I14*1000000/60/I$35/0.0283/2948*(21-7)/(21-I$36)</f>
        <v>0.0020825275960395704</v>
      </c>
      <c r="J17" s="59"/>
      <c r="K17" s="79">
        <f>K14*1000000/60/K$35/0.0283/2948*(21-7)/(21-K$36)</f>
        <v>0.002073746654659099</v>
      </c>
      <c r="L17" s="33"/>
      <c r="M17" s="79">
        <f>M14*1000000/60/M$35/0.0283/2948*(21-7)/(21-M$36)</f>
        <v>0.002306212143918677</v>
      </c>
      <c r="N17" s="33"/>
      <c r="O17" s="80">
        <f>AVERAGE(M17,K17,I17,G17)</f>
        <v>0.002027657593338817</v>
      </c>
    </row>
    <row r="18" spans="2:15" ht="12.75">
      <c r="B18" s="29" t="s">
        <v>271</v>
      </c>
      <c r="C18" s="29" t="s">
        <v>272</v>
      </c>
      <c r="D18" s="29" t="s">
        <v>66</v>
      </c>
      <c r="E18" s="29" t="s">
        <v>15</v>
      </c>
      <c r="G18" s="47">
        <f>G16+2*G17</f>
        <v>26.234285220856155</v>
      </c>
      <c r="H18" s="59"/>
      <c r="I18" s="47">
        <f>I16+2*I17</f>
        <v>30.803477052362435</v>
      </c>
      <c r="J18" s="59"/>
      <c r="K18" s="47">
        <f>K16+2*K17</f>
        <v>18.299093841917323</v>
      </c>
      <c r="L18" s="33"/>
      <c r="M18" s="47">
        <f>M16+2*M17</f>
        <v>17.3105057175011</v>
      </c>
      <c r="N18" s="33"/>
      <c r="O18" s="45">
        <f>AVERAGE(M18,K18,I18,G18)</f>
        <v>23.161840458159254</v>
      </c>
    </row>
    <row r="19" spans="2:13" ht="12.75">
      <c r="B19" s="29"/>
      <c r="C19" s="29"/>
      <c r="G19" s="33"/>
      <c r="I19" s="33"/>
      <c r="K19" s="33"/>
      <c r="L19" s="33"/>
      <c r="M19" s="33"/>
    </row>
    <row r="20" spans="2:13" ht="12.75">
      <c r="B20" s="29" t="s">
        <v>102</v>
      </c>
      <c r="C20" s="29"/>
      <c r="D20" s="29" t="s">
        <v>69</v>
      </c>
      <c r="E20" s="29" t="s">
        <v>12</v>
      </c>
      <c r="G20" s="56">
        <v>3</v>
      </c>
      <c r="I20" s="56">
        <v>2.57</v>
      </c>
      <c r="K20" s="56">
        <v>2.22</v>
      </c>
      <c r="L20" s="33"/>
      <c r="M20" s="56">
        <v>2.39</v>
      </c>
    </row>
    <row r="21" spans="2:14" ht="12.75">
      <c r="B21" s="31" t="s">
        <v>98</v>
      </c>
      <c r="C21" s="29"/>
      <c r="D21" s="29" t="s">
        <v>69</v>
      </c>
      <c r="E21" s="29" t="s">
        <v>12</v>
      </c>
      <c r="G21" s="57">
        <v>10.9</v>
      </c>
      <c r="I21" s="57">
        <v>9.81</v>
      </c>
      <c r="K21" s="57">
        <v>6.42</v>
      </c>
      <c r="L21" s="34"/>
      <c r="M21" s="57">
        <v>6.05</v>
      </c>
      <c r="N21" s="30"/>
    </row>
    <row r="22" spans="2:15" ht="12.75">
      <c r="B22" s="31" t="s">
        <v>99</v>
      </c>
      <c r="D22" s="29" t="s">
        <v>69</v>
      </c>
      <c r="E22" s="29" t="s">
        <v>12</v>
      </c>
      <c r="G22" s="57">
        <v>47.9</v>
      </c>
      <c r="H22" s="36"/>
      <c r="I22" s="57">
        <v>46.4</v>
      </c>
      <c r="J22" s="36"/>
      <c r="K22" s="57">
        <v>25.5</v>
      </c>
      <c r="L22" s="35"/>
      <c r="M22" s="57">
        <v>25.9</v>
      </c>
      <c r="N22" s="37"/>
      <c r="O22" s="38"/>
    </row>
    <row r="23" spans="2:15" ht="12.75">
      <c r="B23" s="31" t="s">
        <v>100</v>
      </c>
      <c r="D23" s="29" t="s">
        <v>69</v>
      </c>
      <c r="E23" s="29" t="s">
        <v>12</v>
      </c>
      <c r="G23" s="57">
        <v>1.19</v>
      </c>
      <c r="H23" s="36"/>
      <c r="I23" s="57">
        <v>1.47</v>
      </c>
      <c r="J23" s="36"/>
      <c r="K23" s="57">
        <v>0.5</v>
      </c>
      <c r="L23" s="35"/>
      <c r="M23" s="57">
        <v>0.463</v>
      </c>
      <c r="N23" s="37"/>
      <c r="O23" s="38"/>
    </row>
    <row r="24" spans="2:15" ht="12.75">
      <c r="B24" s="31" t="s">
        <v>105</v>
      </c>
      <c r="D24" s="29" t="s">
        <v>69</v>
      </c>
      <c r="E24" s="29" t="s">
        <v>12</v>
      </c>
      <c r="G24" s="57">
        <v>95.2</v>
      </c>
      <c r="I24" s="57">
        <v>121</v>
      </c>
      <c r="K24" s="57">
        <v>98.6</v>
      </c>
      <c r="L24" s="39"/>
      <c r="M24" s="57">
        <v>80.7</v>
      </c>
      <c r="N24" s="40"/>
      <c r="O24" s="41"/>
    </row>
    <row r="25" spans="2:15" ht="12.75">
      <c r="B25" s="31" t="s">
        <v>107</v>
      </c>
      <c r="D25" s="29" t="s">
        <v>69</v>
      </c>
      <c r="E25" s="29" t="s">
        <v>12</v>
      </c>
      <c r="G25" s="57">
        <v>21.4</v>
      </c>
      <c r="I25" s="57">
        <v>20.5</v>
      </c>
      <c r="K25" s="57">
        <v>16.8</v>
      </c>
      <c r="L25" s="39"/>
      <c r="M25" s="57">
        <v>16</v>
      </c>
      <c r="N25" s="40"/>
      <c r="O25" s="41"/>
    </row>
    <row r="26" spans="2:15" ht="12.75">
      <c r="B26" s="31" t="s">
        <v>103</v>
      </c>
      <c r="D26" s="29" t="s">
        <v>69</v>
      </c>
      <c r="E26" s="29" t="s">
        <v>12</v>
      </c>
      <c r="G26" s="57">
        <v>1517</v>
      </c>
      <c r="I26" s="57">
        <v>2985</v>
      </c>
      <c r="K26" s="57">
        <v>2474</v>
      </c>
      <c r="L26" s="39"/>
      <c r="M26" s="57">
        <v>2316</v>
      </c>
      <c r="N26" s="40"/>
      <c r="O26" s="41"/>
    </row>
    <row r="27" spans="2:15" ht="12.75">
      <c r="B27" s="31" t="s">
        <v>111</v>
      </c>
      <c r="D27" s="29" t="s">
        <v>69</v>
      </c>
      <c r="E27" s="29" t="s">
        <v>12</v>
      </c>
      <c r="G27" s="57">
        <v>39.7</v>
      </c>
      <c r="I27" s="57">
        <v>28.6</v>
      </c>
      <c r="K27" s="57">
        <v>34.7</v>
      </c>
      <c r="L27" s="39"/>
      <c r="M27" s="57">
        <v>28.6</v>
      </c>
      <c r="N27" s="40"/>
      <c r="O27" s="41"/>
    </row>
    <row r="28" spans="2:15" ht="12.75">
      <c r="B28" s="31" t="s">
        <v>104</v>
      </c>
      <c r="D28" s="29" t="s">
        <v>69</v>
      </c>
      <c r="E28" s="29" t="s">
        <v>12</v>
      </c>
      <c r="G28" s="57">
        <v>6.68</v>
      </c>
      <c r="I28" s="57">
        <v>4.69</v>
      </c>
      <c r="K28" s="57">
        <v>4.93</v>
      </c>
      <c r="L28" s="39"/>
      <c r="M28" s="57">
        <v>4.6</v>
      </c>
      <c r="N28" s="40"/>
      <c r="O28" s="41"/>
    </row>
    <row r="29" spans="2:15" ht="12.75">
      <c r="B29" s="31" t="s">
        <v>106</v>
      </c>
      <c r="D29" s="29" t="s">
        <v>69</v>
      </c>
      <c r="E29" s="29" t="s">
        <v>12</v>
      </c>
      <c r="G29" s="57">
        <v>1.36</v>
      </c>
      <c r="I29" s="57">
        <v>0.598</v>
      </c>
      <c r="K29" s="57">
        <v>0.635</v>
      </c>
      <c r="L29" s="39"/>
      <c r="M29" s="57">
        <v>0.567</v>
      </c>
      <c r="N29" s="40"/>
      <c r="O29" s="41"/>
    </row>
    <row r="30" spans="2:15" ht="12.75">
      <c r="B30" s="31" t="s">
        <v>276</v>
      </c>
      <c r="D30" s="29" t="s">
        <v>69</v>
      </c>
      <c r="E30" s="29" t="s">
        <v>12</v>
      </c>
      <c r="G30" s="57">
        <v>5.9</v>
      </c>
      <c r="I30" s="57">
        <v>5.86</v>
      </c>
      <c r="K30" s="57">
        <v>5.38</v>
      </c>
      <c r="L30" s="39"/>
      <c r="M30" s="57">
        <v>4.78</v>
      </c>
      <c r="N30" s="40"/>
      <c r="O30" s="41"/>
    </row>
    <row r="31" spans="2:14" ht="12.75">
      <c r="B31" s="31" t="s">
        <v>101</v>
      </c>
      <c r="D31" s="29" t="s">
        <v>69</v>
      </c>
      <c r="E31" s="29" t="s">
        <v>12</v>
      </c>
      <c r="F31" s="30" t="s">
        <v>13</v>
      </c>
      <c r="G31" s="57">
        <v>0.49</v>
      </c>
      <c r="I31" s="57">
        <v>0.52</v>
      </c>
      <c r="K31" s="57">
        <v>0.665</v>
      </c>
      <c r="L31" s="42"/>
      <c r="M31" s="57">
        <v>0.477</v>
      </c>
      <c r="N31" s="40"/>
    </row>
    <row r="32" spans="2:14" ht="12.75">
      <c r="B32" s="31" t="s">
        <v>146</v>
      </c>
      <c r="D32" s="29" t="s">
        <v>69</v>
      </c>
      <c r="E32" s="29" t="s">
        <v>12</v>
      </c>
      <c r="G32" s="57">
        <v>329</v>
      </c>
      <c r="I32" s="57">
        <v>339</v>
      </c>
      <c r="K32" s="57">
        <v>263</v>
      </c>
      <c r="L32" s="42"/>
      <c r="M32" s="57">
        <v>302</v>
      </c>
      <c r="N32" s="40"/>
    </row>
    <row r="33" spans="7:14" ht="12.75">
      <c r="G33" s="57"/>
      <c r="I33" s="57"/>
      <c r="K33" s="57"/>
      <c r="L33" s="42"/>
      <c r="M33" s="57"/>
      <c r="N33" s="40"/>
    </row>
    <row r="34" spans="2:14" ht="12.75">
      <c r="B34" s="29" t="s">
        <v>97</v>
      </c>
      <c r="C34" s="29" t="s">
        <v>93</v>
      </c>
      <c r="D34" s="29" t="s">
        <v>272</v>
      </c>
      <c r="G34" s="34"/>
      <c r="I34" s="34"/>
      <c r="K34" s="34"/>
      <c r="L34" s="34"/>
      <c r="M34" s="34"/>
      <c r="N34" s="33"/>
    </row>
    <row r="35" spans="2:15" ht="12.75">
      <c r="B35" s="29" t="s">
        <v>92</v>
      </c>
      <c r="C35" s="29"/>
      <c r="D35" s="29" t="s">
        <v>16</v>
      </c>
      <c r="G35" s="43">
        <v>82019</v>
      </c>
      <c r="H35" s="44"/>
      <c r="I35" s="34">
        <v>85643</v>
      </c>
      <c r="K35" s="34">
        <v>85674</v>
      </c>
      <c r="L35" s="34"/>
      <c r="M35" s="34">
        <v>83741</v>
      </c>
      <c r="N35" s="33"/>
      <c r="O35" s="55">
        <f>AVERAGE(G35,I35,K35,M35)</f>
        <v>84269.25</v>
      </c>
    </row>
    <row r="36" spans="2:15" ht="12.75">
      <c r="B36" s="29" t="s">
        <v>94</v>
      </c>
      <c r="C36" s="29"/>
      <c r="D36" s="29" t="s">
        <v>14</v>
      </c>
      <c r="F36" s="30" t="s">
        <v>17</v>
      </c>
      <c r="G36" s="31">
        <v>9</v>
      </c>
      <c r="I36" s="31">
        <v>8.8</v>
      </c>
      <c r="K36" s="31">
        <v>8.8</v>
      </c>
      <c r="M36" s="31">
        <v>9.4</v>
      </c>
      <c r="N36" s="33"/>
      <c r="O36" s="45">
        <f>AVERAGE(G36,I36,K36,M36)</f>
        <v>9</v>
      </c>
    </row>
    <row r="37" spans="2:15" ht="12.75">
      <c r="B37" s="29" t="s">
        <v>95</v>
      </c>
      <c r="C37" s="29"/>
      <c r="D37" s="29" t="s">
        <v>14</v>
      </c>
      <c r="G37" s="31">
        <v>32.3</v>
      </c>
      <c r="I37" s="31">
        <v>31.85</v>
      </c>
      <c r="K37" s="31">
        <v>32.21</v>
      </c>
      <c r="M37" s="31">
        <v>32.52</v>
      </c>
      <c r="N37" s="33"/>
      <c r="O37" s="55">
        <f>AVERAGE(G37,I37,K37,M37)</f>
        <v>32.220000000000006</v>
      </c>
    </row>
    <row r="38" spans="2:15" ht="12.75">
      <c r="B38" s="29" t="s">
        <v>91</v>
      </c>
      <c r="C38" s="29"/>
      <c r="D38" s="29" t="s">
        <v>18</v>
      </c>
      <c r="G38" s="31">
        <v>421</v>
      </c>
      <c r="I38" s="31">
        <v>419</v>
      </c>
      <c r="K38" s="31">
        <v>416</v>
      </c>
      <c r="M38" s="31">
        <v>422</v>
      </c>
      <c r="N38" s="33"/>
      <c r="O38" s="55">
        <f>AVERAGE(G38,I38,K38,M38)</f>
        <v>419.5</v>
      </c>
    </row>
    <row r="39" spans="7:14" ht="12.75">
      <c r="G39" s="57"/>
      <c r="I39" s="42"/>
      <c r="K39" s="42"/>
      <c r="L39" s="42"/>
      <c r="M39" s="42"/>
      <c r="N39" s="40"/>
    </row>
    <row r="40" spans="2:14" ht="12.75">
      <c r="B40" s="29" t="s">
        <v>97</v>
      </c>
      <c r="C40" s="29" t="s">
        <v>132</v>
      </c>
      <c r="D40" s="29" t="s">
        <v>273</v>
      </c>
      <c r="G40" s="34"/>
      <c r="I40" s="34"/>
      <c r="K40" s="34"/>
      <c r="L40" s="34"/>
      <c r="M40" s="34"/>
      <c r="N40" s="33"/>
    </row>
    <row r="41" spans="2:15" ht="12.75">
      <c r="B41" s="29" t="s">
        <v>92</v>
      </c>
      <c r="C41" s="29"/>
      <c r="D41" s="29" t="s">
        <v>16</v>
      </c>
      <c r="G41" s="43">
        <v>82013</v>
      </c>
      <c r="H41" s="44"/>
      <c r="I41" s="34">
        <v>83219</v>
      </c>
      <c r="K41" s="34">
        <v>83423</v>
      </c>
      <c r="L41" s="34"/>
      <c r="M41" s="34">
        <v>80974</v>
      </c>
      <c r="N41" s="33"/>
      <c r="O41" s="55">
        <f>AVERAGE(G41,I41,K41,M41)</f>
        <v>82407.25</v>
      </c>
    </row>
    <row r="42" spans="2:15" ht="12.75">
      <c r="B42" s="29" t="s">
        <v>94</v>
      </c>
      <c r="C42" s="29"/>
      <c r="D42" s="29" t="s">
        <v>14</v>
      </c>
      <c r="F42" s="30" t="s">
        <v>17</v>
      </c>
      <c r="G42" s="31">
        <v>9.1</v>
      </c>
      <c r="I42" s="31">
        <v>8.8</v>
      </c>
      <c r="K42" s="31">
        <v>8.8</v>
      </c>
      <c r="M42" s="31">
        <v>9.5</v>
      </c>
      <c r="N42" s="33"/>
      <c r="O42" s="45">
        <f>AVERAGE(G42,I42,K42,M42)</f>
        <v>9.05</v>
      </c>
    </row>
    <row r="43" spans="2:15" ht="12.75">
      <c r="B43" s="29" t="s">
        <v>95</v>
      </c>
      <c r="C43" s="29"/>
      <c r="D43" s="29" t="s">
        <v>14</v>
      </c>
      <c r="G43" s="31">
        <v>33.28</v>
      </c>
      <c r="I43" s="31">
        <v>32.85</v>
      </c>
      <c r="K43" s="31">
        <v>32.66</v>
      </c>
      <c r="M43" s="31">
        <v>34.37</v>
      </c>
      <c r="N43" s="33"/>
      <c r="O43" s="55">
        <f>AVERAGE(G43,I43,K43,M43)</f>
        <v>33.29</v>
      </c>
    </row>
    <row r="44" spans="2:15" ht="12.75">
      <c r="B44" s="29" t="s">
        <v>91</v>
      </c>
      <c r="C44" s="29"/>
      <c r="D44" s="29" t="s">
        <v>18</v>
      </c>
      <c r="G44" s="31">
        <v>423</v>
      </c>
      <c r="I44" s="31">
        <v>419</v>
      </c>
      <c r="K44" s="31">
        <v>415</v>
      </c>
      <c r="M44" s="31">
        <v>424</v>
      </c>
      <c r="N44" s="33"/>
      <c r="O44" s="55">
        <f>AVERAGE(G44,I44,K44,M44)</f>
        <v>420.25</v>
      </c>
    </row>
    <row r="45" spans="2:15" ht="12.75">
      <c r="B45" s="29"/>
      <c r="C45" s="29"/>
      <c r="N45" s="33"/>
      <c r="O45" s="55"/>
    </row>
    <row r="46" spans="2:14" ht="12.75">
      <c r="B46" s="29" t="s">
        <v>97</v>
      </c>
      <c r="C46" s="29" t="s">
        <v>83</v>
      </c>
      <c r="D46" s="29" t="s">
        <v>274</v>
      </c>
      <c r="G46" s="34"/>
      <c r="I46" s="34"/>
      <c r="K46" s="34"/>
      <c r="L46" s="34"/>
      <c r="M46" s="34"/>
      <c r="N46" s="33"/>
    </row>
    <row r="47" spans="2:15" ht="12.75">
      <c r="B47" s="29" t="s">
        <v>92</v>
      </c>
      <c r="C47" s="29"/>
      <c r="D47" s="29" t="s">
        <v>16</v>
      </c>
      <c r="G47" s="43">
        <v>80675</v>
      </c>
      <c r="H47" s="44"/>
      <c r="I47" s="34">
        <v>83830</v>
      </c>
      <c r="K47" s="34">
        <v>80949</v>
      </c>
      <c r="L47" s="34"/>
      <c r="M47" s="34">
        <v>82120</v>
      </c>
      <c r="N47" s="33"/>
      <c r="O47" s="55">
        <f>AVERAGE(G47,I47,K47,M47)</f>
        <v>81893.5</v>
      </c>
    </row>
    <row r="48" spans="2:15" ht="12.75">
      <c r="B48" s="29" t="s">
        <v>94</v>
      </c>
      <c r="C48" s="29"/>
      <c r="D48" s="29" t="s">
        <v>14</v>
      </c>
      <c r="F48" s="30" t="s">
        <v>17</v>
      </c>
      <c r="G48" s="31">
        <v>9.2</v>
      </c>
      <c r="I48" s="31">
        <v>8.8</v>
      </c>
      <c r="K48" s="31">
        <v>8.8</v>
      </c>
      <c r="M48" s="31">
        <v>9.2</v>
      </c>
      <c r="N48" s="33"/>
      <c r="O48" s="45">
        <f>AVERAGE(G48,I48,K48,M48)</f>
        <v>9</v>
      </c>
    </row>
    <row r="49" spans="2:15" ht="12.75">
      <c r="B49" s="29" t="s">
        <v>95</v>
      </c>
      <c r="C49" s="29"/>
      <c r="D49" s="29" t="s">
        <v>14</v>
      </c>
      <c r="G49" s="31">
        <v>32.52</v>
      </c>
      <c r="I49" s="31">
        <v>32.51</v>
      </c>
      <c r="K49" s="31">
        <v>33.65</v>
      </c>
      <c r="M49" s="31">
        <v>32.45</v>
      </c>
      <c r="N49" s="33"/>
      <c r="O49" s="55">
        <f>AVERAGE(G49,I49,K49,M49)</f>
        <v>32.7825</v>
      </c>
    </row>
    <row r="50" spans="2:15" ht="12.75">
      <c r="B50" s="29" t="s">
        <v>91</v>
      </c>
      <c r="C50" s="29"/>
      <c r="D50" s="29" t="s">
        <v>18</v>
      </c>
      <c r="G50" s="31">
        <v>426</v>
      </c>
      <c r="I50" s="31">
        <v>422</v>
      </c>
      <c r="K50" s="31">
        <v>423</v>
      </c>
      <c r="M50" s="31">
        <v>425</v>
      </c>
      <c r="N50" s="33"/>
      <c r="O50" s="55">
        <f>AVERAGE(G50,I50,K50,M50)</f>
        <v>424</v>
      </c>
    </row>
    <row r="51" spans="2:15" ht="12.75">
      <c r="B51" s="29"/>
      <c r="C51" s="29"/>
      <c r="N51" s="33"/>
      <c r="O51" s="45"/>
    </row>
    <row r="52" spans="2:15" ht="12.75">
      <c r="B52" s="29" t="s">
        <v>102</v>
      </c>
      <c r="C52" s="29" t="s">
        <v>273</v>
      </c>
      <c r="D52" s="29" t="s">
        <v>69</v>
      </c>
      <c r="E52" s="29" t="s">
        <v>15</v>
      </c>
      <c r="G52" s="1">
        <f aca="true" t="shared" si="0" ref="G52:G64">G20*(21-7)/(21-G$42)</f>
        <v>3.5294117647058822</v>
      </c>
      <c r="H52"/>
      <c r="I52" s="1">
        <f aca="true" t="shared" si="1" ref="I52:I64">I20*(21-7)/(21-I$42)</f>
        <v>2.949180327868852</v>
      </c>
      <c r="J52"/>
      <c r="K52" s="1">
        <f aca="true" t="shared" si="2" ref="K52:K64">K20*(21-7)/(21-K$42)</f>
        <v>2.5475409836065577</v>
      </c>
      <c r="L52"/>
      <c r="M52" s="1">
        <f aca="true" t="shared" si="3" ref="M52:M64">M20*(21-7)/(21-M$42)</f>
        <v>2.9095652173913042</v>
      </c>
      <c r="O52" s="45">
        <f aca="true" t="shared" si="4" ref="O52:O58">AVERAGE(M52,K52,I52,G52)</f>
        <v>2.983924573393149</v>
      </c>
    </row>
    <row r="53" spans="2:15" ht="12.75">
      <c r="B53" s="31" t="s">
        <v>98</v>
      </c>
      <c r="C53" s="29" t="s">
        <v>273</v>
      </c>
      <c r="D53" s="29" t="s">
        <v>69</v>
      </c>
      <c r="E53" s="29" t="s">
        <v>15</v>
      </c>
      <c r="G53" s="1">
        <f t="shared" si="0"/>
        <v>12.823529411764705</v>
      </c>
      <c r="H53"/>
      <c r="I53" s="1">
        <f t="shared" si="1"/>
        <v>11.257377049180329</v>
      </c>
      <c r="J53"/>
      <c r="K53" s="1">
        <f t="shared" si="2"/>
        <v>7.367213114754098</v>
      </c>
      <c r="L53"/>
      <c r="M53" s="1">
        <f t="shared" si="3"/>
        <v>7.365217391304348</v>
      </c>
      <c r="N53" s="30"/>
      <c r="O53" s="45">
        <f t="shared" si="4"/>
        <v>9.70333424175087</v>
      </c>
    </row>
    <row r="54" spans="2:15" ht="12.75">
      <c r="B54" s="31" t="s">
        <v>99</v>
      </c>
      <c r="C54" s="29" t="s">
        <v>273</v>
      </c>
      <c r="D54" s="29" t="s">
        <v>69</v>
      </c>
      <c r="E54" s="29" t="s">
        <v>15</v>
      </c>
      <c r="G54" s="1">
        <f t="shared" si="0"/>
        <v>56.35294117647059</v>
      </c>
      <c r="H54"/>
      <c r="I54" s="1">
        <f t="shared" si="1"/>
        <v>53.24590163934427</v>
      </c>
      <c r="J54"/>
      <c r="K54" s="1">
        <f t="shared" si="2"/>
        <v>29.262295081967213</v>
      </c>
      <c r="L54"/>
      <c r="M54" s="1">
        <f t="shared" si="3"/>
        <v>31.530434782608694</v>
      </c>
      <c r="N54" s="37"/>
      <c r="O54" s="45">
        <f t="shared" si="4"/>
        <v>42.59789317009769</v>
      </c>
    </row>
    <row r="55" spans="2:15" ht="12.75">
      <c r="B55" s="31" t="s">
        <v>100</v>
      </c>
      <c r="C55" s="29" t="s">
        <v>273</v>
      </c>
      <c r="D55" s="29" t="s">
        <v>69</v>
      </c>
      <c r="E55" s="29" t="s">
        <v>15</v>
      </c>
      <c r="G55" s="1">
        <f t="shared" si="0"/>
        <v>1.4</v>
      </c>
      <c r="H55"/>
      <c r="I55" s="1">
        <f t="shared" si="1"/>
        <v>1.6868852459016392</v>
      </c>
      <c r="J55"/>
      <c r="K55" s="1">
        <f t="shared" si="2"/>
        <v>0.5737704918032788</v>
      </c>
      <c r="L55"/>
      <c r="M55" s="1">
        <f t="shared" si="3"/>
        <v>0.5636521739130435</v>
      </c>
      <c r="N55" s="37"/>
      <c r="O55" s="45">
        <f t="shared" si="4"/>
        <v>1.0560769779044903</v>
      </c>
    </row>
    <row r="56" spans="2:15" ht="12.75">
      <c r="B56" s="31" t="s">
        <v>105</v>
      </c>
      <c r="C56" s="29" t="s">
        <v>273</v>
      </c>
      <c r="D56" s="29" t="s">
        <v>69</v>
      </c>
      <c r="E56" s="29" t="s">
        <v>15</v>
      </c>
      <c r="G56" s="1">
        <f t="shared" si="0"/>
        <v>111.99999999999999</v>
      </c>
      <c r="H56"/>
      <c r="I56" s="1">
        <f t="shared" si="1"/>
        <v>138.85245901639345</v>
      </c>
      <c r="J56"/>
      <c r="K56" s="1">
        <f t="shared" si="2"/>
        <v>113.14754098360655</v>
      </c>
      <c r="L56"/>
      <c r="M56" s="1">
        <f t="shared" si="3"/>
        <v>98.24347826086957</v>
      </c>
      <c r="N56" s="40"/>
      <c r="O56" s="45">
        <f t="shared" si="4"/>
        <v>115.56086956521739</v>
      </c>
    </row>
    <row r="57" spans="2:15" ht="12.75">
      <c r="B57" s="31" t="s">
        <v>107</v>
      </c>
      <c r="C57" s="29" t="s">
        <v>273</v>
      </c>
      <c r="D57" s="29" t="s">
        <v>69</v>
      </c>
      <c r="E57" s="29" t="s">
        <v>15</v>
      </c>
      <c r="G57" s="1">
        <f t="shared" si="0"/>
        <v>25.17647058823529</v>
      </c>
      <c r="H57"/>
      <c r="I57" s="1">
        <f t="shared" si="1"/>
        <v>23.524590163934427</v>
      </c>
      <c r="J57"/>
      <c r="K57" s="1">
        <f t="shared" si="2"/>
        <v>19.278688524590166</v>
      </c>
      <c r="L57"/>
      <c r="M57" s="1">
        <f t="shared" si="3"/>
        <v>19.47826086956522</v>
      </c>
      <c r="N57" s="40"/>
      <c r="O57" s="45">
        <f t="shared" si="4"/>
        <v>21.864502536581277</v>
      </c>
    </row>
    <row r="58" spans="2:15" ht="12.75">
      <c r="B58" s="31" t="s">
        <v>103</v>
      </c>
      <c r="C58" s="29" t="s">
        <v>273</v>
      </c>
      <c r="D58" s="29" t="s">
        <v>69</v>
      </c>
      <c r="E58" s="29" t="s">
        <v>15</v>
      </c>
      <c r="G58" s="1">
        <f t="shared" si="0"/>
        <v>1784.7058823529412</v>
      </c>
      <c r="H58"/>
      <c r="I58" s="1">
        <f t="shared" si="1"/>
        <v>3425.409836065574</v>
      </c>
      <c r="J58"/>
      <c r="K58" s="1">
        <f t="shared" si="2"/>
        <v>2839.016393442623</v>
      </c>
      <c r="L58"/>
      <c r="M58" s="1">
        <f t="shared" si="3"/>
        <v>2819.478260869565</v>
      </c>
      <c r="N58" s="40"/>
      <c r="O58" s="45">
        <f t="shared" si="4"/>
        <v>2717.1525931826754</v>
      </c>
    </row>
    <row r="59" spans="2:15" ht="12.75">
      <c r="B59" s="31" t="s">
        <v>111</v>
      </c>
      <c r="C59" s="29" t="s">
        <v>273</v>
      </c>
      <c r="D59" s="29" t="s">
        <v>69</v>
      </c>
      <c r="E59" s="29" t="s">
        <v>15</v>
      </c>
      <c r="G59" s="1">
        <f t="shared" si="0"/>
        <v>46.70588235294118</v>
      </c>
      <c r="H59"/>
      <c r="I59" s="1">
        <f t="shared" si="1"/>
        <v>32.81967213114755</v>
      </c>
      <c r="J59"/>
      <c r="K59" s="1">
        <f t="shared" si="2"/>
        <v>39.81967213114755</v>
      </c>
      <c r="L59"/>
      <c r="M59" s="1">
        <f t="shared" si="3"/>
        <v>34.81739130434783</v>
      </c>
      <c r="N59" s="40"/>
      <c r="O59" s="45">
        <f aca="true" t="shared" si="5" ref="O59:O64">AVERAGE(M59,K59,I59,G59)</f>
        <v>38.54065447989603</v>
      </c>
    </row>
    <row r="60" spans="2:15" ht="12.75">
      <c r="B60" s="31" t="s">
        <v>104</v>
      </c>
      <c r="C60" s="29" t="s">
        <v>273</v>
      </c>
      <c r="D60" s="29" t="s">
        <v>69</v>
      </c>
      <c r="E60" s="29" t="s">
        <v>15</v>
      </c>
      <c r="G60" s="1">
        <f t="shared" si="0"/>
        <v>7.858823529411764</v>
      </c>
      <c r="H60"/>
      <c r="I60" s="1">
        <f t="shared" si="1"/>
        <v>5.381967213114756</v>
      </c>
      <c r="J60"/>
      <c r="K60" s="1">
        <f t="shared" si="2"/>
        <v>5.657377049180328</v>
      </c>
      <c r="L60"/>
      <c r="M60" s="1">
        <f t="shared" si="3"/>
        <v>5.6</v>
      </c>
      <c r="N60" s="40"/>
      <c r="O60" s="45">
        <f t="shared" si="5"/>
        <v>6.124541947926712</v>
      </c>
    </row>
    <row r="61" spans="2:15" ht="12.75">
      <c r="B61" s="31" t="s">
        <v>106</v>
      </c>
      <c r="C61" s="29" t="s">
        <v>273</v>
      </c>
      <c r="D61" s="29" t="s">
        <v>69</v>
      </c>
      <c r="E61" s="29" t="s">
        <v>15</v>
      </c>
      <c r="G61" s="1">
        <f t="shared" si="0"/>
        <v>1.6</v>
      </c>
      <c r="H61"/>
      <c r="I61" s="1">
        <f t="shared" si="1"/>
        <v>0.6862295081967213</v>
      </c>
      <c r="J61"/>
      <c r="K61" s="1">
        <f t="shared" si="2"/>
        <v>0.728688524590164</v>
      </c>
      <c r="L61"/>
      <c r="M61" s="1">
        <f t="shared" si="3"/>
        <v>0.6902608695652173</v>
      </c>
      <c r="N61" s="40"/>
      <c r="O61" s="45">
        <f t="shared" si="5"/>
        <v>0.9262947255880257</v>
      </c>
    </row>
    <row r="62" spans="2:15" ht="12.75">
      <c r="B62" s="31" t="s">
        <v>276</v>
      </c>
      <c r="C62" s="29" t="s">
        <v>273</v>
      </c>
      <c r="D62" s="29" t="s">
        <v>69</v>
      </c>
      <c r="E62" s="29" t="s">
        <v>15</v>
      </c>
      <c r="G62" s="1">
        <f t="shared" si="0"/>
        <v>6.9411764705882355</v>
      </c>
      <c r="H62"/>
      <c r="I62" s="1">
        <f t="shared" si="1"/>
        <v>6.724590163934427</v>
      </c>
      <c r="J62"/>
      <c r="K62" s="1">
        <f t="shared" si="2"/>
        <v>6.173770491803278</v>
      </c>
      <c r="L62"/>
      <c r="M62" s="1">
        <f t="shared" si="3"/>
        <v>5.8191304347826085</v>
      </c>
      <c r="N62" s="40"/>
      <c r="O62" s="45">
        <f t="shared" si="5"/>
        <v>6.414666890277137</v>
      </c>
    </row>
    <row r="63" spans="2:15" ht="12.75">
      <c r="B63" s="31" t="s">
        <v>101</v>
      </c>
      <c r="C63" s="29" t="s">
        <v>273</v>
      </c>
      <c r="D63" s="29" t="s">
        <v>69</v>
      </c>
      <c r="E63" s="29" t="s">
        <v>15</v>
      </c>
      <c r="F63" s="30" t="s">
        <v>13</v>
      </c>
      <c r="G63" s="1">
        <f t="shared" si="0"/>
        <v>0.5764705882352941</v>
      </c>
      <c r="H63"/>
      <c r="I63" s="1">
        <f t="shared" si="1"/>
        <v>0.5967213114754099</v>
      </c>
      <c r="J63"/>
      <c r="K63" s="1">
        <f t="shared" si="2"/>
        <v>0.7631147540983607</v>
      </c>
      <c r="L63"/>
      <c r="M63" s="1">
        <f t="shared" si="3"/>
        <v>0.5806956521739131</v>
      </c>
      <c r="N63" s="40"/>
      <c r="O63" s="45">
        <f t="shared" si="5"/>
        <v>0.6292505764957443</v>
      </c>
    </row>
    <row r="64" spans="2:15" ht="12.75">
      <c r="B64" s="31" t="s">
        <v>146</v>
      </c>
      <c r="C64" s="29" t="s">
        <v>273</v>
      </c>
      <c r="D64" s="29" t="s">
        <v>69</v>
      </c>
      <c r="E64" s="29" t="s">
        <v>15</v>
      </c>
      <c r="G64" s="1">
        <f t="shared" si="0"/>
        <v>387.05882352941177</v>
      </c>
      <c r="H64"/>
      <c r="I64" s="1">
        <f t="shared" si="1"/>
        <v>389.016393442623</v>
      </c>
      <c r="J64"/>
      <c r="K64" s="1">
        <f t="shared" si="2"/>
        <v>301.8032786885246</v>
      </c>
      <c r="L64"/>
      <c r="M64" s="1">
        <f t="shared" si="3"/>
        <v>367.6521739130435</v>
      </c>
      <c r="N64" s="40"/>
      <c r="O64" s="45">
        <f t="shared" si="5"/>
        <v>361.3826673934007</v>
      </c>
    </row>
    <row r="65" spans="2:15" ht="12.75">
      <c r="B65" s="29"/>
      <c r="C65" s="29"/>
      <c r="N65" s="33"/>
      <c r="O65" s="45"/>
    </row>
    <row r="66" spans="2:15" ht="12.75">
      <c r="B66" s="29" t="s">
        <v>76</v>
      </c>
      <c r="C66" s="29" t="s">
        <v>273</v>
      </c>
      <c r="D66" s="29" t="s">
        <v>69</v>
      </c>
      <c r="E66" s="29" t="s">
        <v>15</v>
      </c>
      <c r="G66" s="45">
        <f>G58+G56</f>
        <v>1896.7058823529412</v>
      </c>
      <c r="I66" s="45">
        <f>I58+I56</f>
        <v>3564.2622950819673</v>
      </c>
      <c r="K66" s="45">
        <f>K58+K56</f>
        <v>2952.16393442623</v>
      </c>
      <c r="M66" s="45">
        <f>M58+M56</f>
        <v>2917.721739130435</v>
      </c>
      <c r="N66" s="33"/>
      <c r="O66" s="45">
        <f>AVERAGE(M66,K66,I66,G66)</f>
        <v>2832.713462747893</v>
      </c>
    </row>
    <row r="67" spans="2:15" ht="12.75">
      <c r="B67" s="29" t="s">
        <v>77</v>
      </c>
      <c r="C67" s="29" t="s">
        <v>273</v>
      </c>
      <c r="D67" s="29" t="s">
        <v>69</v>
      </c>
      <c r="E67" s="29" t="s">
        <v>15</v>
      </c>
      <c r="G67" s="45">
        <f>G53+G55+G57</f>
        <v>39.39999999999999</v>
      </c>
      <c r="I67" s="45">
        <f>I53+I55+I57</f>
        <v>36.4688524590164</v>
      </c>
      <c r="K67" s="45">
        <f>K53+K55+K57</f>
        <v>27.219672131147544</v>
      </c>
      <c r="M67" s="45">
        <f>M53+M55+M57</f>
        <v>27.40713043478261</v>
      </c>
      <c r="N67" s="33"/>
      <c r="O67" s="45">
        <f>AVERAGE(M67,K67,I67,G67)</f>
        <v>32.62391375623663</v>
      </c>
    </row>
    <row r="68" spans="2:15" ht="12.75">
      <c r="B68" s="29"/>
      <c r="C68" s="29"/>
      <c r="N68" s="33"/>
      <c r="O68" s="45"/>
    </row>
    <row r="69" spans="2:14" ht="12.75">
      <c r="B69" s="29"/>
      <c r="C69" s="29"/>
      <c r="G69" s="30"/>
      <c r="I69" s="30"/>
      <c r="K69" s="30"/>
      <c r="L69" s="33"/>
      <c r="M69" s="33"/>
      <c r="N69" s="33"/>
    </row>
    <row r="70" spans="1:15" ht="12.75">
      <c r="A70" s="31">
        <v>11</v>
      </c>
      <c r="B70" s="32" t="s">
        <v>145</v>
      </c>
      <c r="C70" s="29" t="s">
        <v>138</v>
      </c>
      <c r="G70" s="30" t="s">
        <v>147</v>
      </c>
      <c r="I70" s="30" t="s">
        <v>148</v>
      </c>
      <c r="K70" s="30" t="s">
        <v>149</v>
      </c>
      <c r="L70" s="30"/>
      <c r="M70" s="30" t="s">
        <v>150</v>
      </c>
      <c r="N70" s="30"/>
      <c r="O70" s="30" t="s">
        <v>70</v>
      </c>
    </row>
    <row r="71" spans="2:14" ht="12.75">
      <c r="B71" s="29"/>
      <c r="C71" s="29"/>
      <c r="D71" s="16"/>
      <c r="E71" s="16"/>
      <c r="F71" s="20"/>
      <c r="G71" s="16"/>
      <c r="H71" s="20"/>
      <c r="I71" s="16"/>
      <c r="J71" s="20"/>
      <c r="K71" s="16"/>
      <c r="L71" s="16"/>
      <c r="M71" s="16"/>
      <c r="N71" s="33"/>
    </row>
    <row r="72" spans="2:15" ht="12.75">
      <c r="B72" s="29" t="s">
        <v>96</v>
      </c>
      <c r="C72" s="29" t="s">
        <v>272</v>
      </c>
      <c r="D72" s="29" t="s">
        <v>66</v>
      </c>
      <c r="E72" s="29" t="s">
        <v>15</v>
      </c>
      <c r="G72" s="33">
        <v>475</v>
      </c>
      <c r="I72" s="33">
        <v>454</v>
      </c>
      <c r="K72" s="33">
        <v>516</v>
      </c>
      <c r="L72" s="33"/>
      <c r="M72" s="33"/>
      <c r="N72" s="33"/>
      <c r="O72" s="45">
        <f>AVERAGE(G72,I72,K72)</f>
        <v>481.6666666666667</v>
      </c>
    </row>
    <row r="73" spans="2:15" ht="12.75">
      <c r="B73" s="29" t="s">
        <v>134</v>
      </c>
      <c r="C73" s="29" t="s">
        <v>272</v>
      </c>
      <c r="D73" s="29" t="s">
        <v>66</v>
      </c>
      <c r="E73" s="29" t="s">
        <v>15</v>
      </c>
      <c r="G73" s="33">
        <v>520</v>
      </c>
      <c r="I73" s="33">
        <v>689</v>
      </c>
      <c r="K73" s="33">
        <v>585</v>
      </c>
      <c r="L73" s="33"/>
      <c r="M73" s="33"/>
      <c r="N73" s="33"/>
      <c r="O73" s="45">
        <f>AVERAGE(G73,I73,K73)</f>
        <v>598</v>
      </c>
    </row>
    <row r="74" spans="2:15" ht="12.75">
      <c r="B74" s="29" t="s">
        <v>135</v>
      </c>
      <c r="C74" s="29" t="s">
        <v>272</v>
      </c>
      <c r="D74" s="29" t="s">
        <v>66</v>
      </c>
      <c r="E74" s="29" t="s">
        <v>15</v>
      </c>
      <c r="G74" s="33">
        <v>15.2</v>
      </c>
      <c r="I74" s="33">
        <v>14.1</v>
      </c>
      <c r="K74" s="33">
        <v>13.4</v>
      </c>
      <c r="L74" s="33"/>
      <c r="M74" s="33"/>
      <c r="N74" s="33"/>
      <c r="O74" s="45">
        <f>AVERAGE(G74,I74,K74)</f>
        <v>14.233333333333333</v>
      </c>
    </row>
    <row r="75" spans="2:15" ht="12.75">
      <c r="B75" s="29" t="s">
        <v>136</v>
      </c>
      <c r="C75" s="29" t="s">
        <v>272</v>
      </c>
      <c r="D75" s="29" t="s">
        <v>66</v>
      </c>
      <c r="E75" s="29" t="s">
        <v>15</v>
      </c>
      <c r="G75" s="33">
        <v>17.3</v>
      </c>
      <c r="I75" s="33">
        <v>17.3</v>
      </c>
      <c r="K75" s="33">
        <v>14.6</v>
      </c>
      <c r="L75" s="33"/>
      <c r="M75" s="33"/>
      <c r="N75" s="33"/>
      <c r="O75" s="45">
        <f>AVERAGE(G75,I75,K75)</f>
        <v>16.400000000000002</v>
      </c>
    </row>
    <row r="76" spans="2:14" ht="12.75">
      <c r="B76" s="29"/>
      <c r="C76" s="29"/>
      <c r="G76" s="33"/>
      <c r="I76" s="33"/>
      <c r="K76" s="33"/>
      <c r="L76" s="33"/>
      <c r="M76" s="33"/>
      <c r="N76" s="33"/>
    </row>
    <row r="77" spans="2:15" ht="12.75">
      <c r="B77" s="29" t="s">
        <v>19</v>
      </c>
      <c r="C77" s="29" t="s">
        <v>272</v>
      </c>
      <c r="D77" s="29" t="s">
        <v>20</v>
      </c>
      <c r="E77" s="29" t="s">
        <v>15</v>
      </c>
      <c r="G77" s="33">
        <v>0.0247</v>
      </c>
      <c r="I77" s="33">
        <v>0.0245</v>
      </c>
      <c r="K77" s="33">
        <v>0.0566</v>
      </c>
      <c r="L77" s="33"/>
      <c r="M77" s="33"/>
      <c r="N77" s="33"/>
      <c r="O77" s="38">
        <f>AVERAGE(G77,I77,K77)</f>
        <v>0.03526666666666667</v>
      </c>
    </row>
    <row r="78" spans="2:14" ht="12.75">
      <c r="B78" s="29"/>
      <c r="C78" s="29"/>
      <c r="G78" s="33"/>
      <c r="I78" s="33"/>
      <c r="K78" s="33"/>
      <c r="L78" s="33"/>
      <c r="M78" s="33"/>
      <c r="N78" s="33"/>
    </row>
    <row r="79" spans="2:14" ht="12.75">
      <c r="B79" s="29" t="s">
        <v>21</v>
      </c>
      <c r="C79" s="29"/>
      <c r="D79" s="29" t="s">
        <v>140</v>
      </c>
      <c r="G79" s="56">
        <v>2962</v>
      </c>
      <c r="H79" s="58"/>
      <c r="I79" s="56">
        <v>3219</v>
      </c>
      <c r="J79" s="58"/>
      <c r="K79" s="56">
        <v>2921</v>
      </c>
      <c r="L79" s="33"/>
      <c r="M79" s="33"/>
      <c r="N79" s="33"/>
    </row>
    <row r="80" spans="2:14" ht="12.75">
      <c r="B80" s="29" t="s">
        <v>68</v>
      </c>
      <c r="C80" s="29"/>
      <c r="D80" s="29" t="s">
        <v>140</v>
      </c>
      <c r="G80" s="47">
        <v>0.775</v>
      </c>
      <c r="H80" s="59"/>
      <c r="I80" s="47">
        <v>0.77</v>
      </c>
      <c r="J80" s="59"/>
      <c r="K80" s="47">
        <v>0.778</v>
      </c>
      <c r="L80" s="33"/>
      <c r="M80" s="33"/>
      <c r="N80" s="33"/>
    </row>
    <row r="81" spans="2:14" ht="12.75">
      <c r="B81" s="29"/>
      <c r="C81" s="29"/>
      <c r="G81" s="47"/>
      <c r="H81" s="59"/>
      <c r="I81" s="47"/>
      <c r="J81" s="59"/>
      <c r="K81" s="47"/>
      <c r="L81" s="33"/>
      <c r="M81" s="33"/>
      <c r="N81" s="33"/>
    </row>
    <row r="82" spans="2:15" ht="12.75">
      <c r="B82" s="29" t="s">
        <v>21</v>
      </c>
      <c r="C82" s="29" t="s">
        <v>272</v>
      </c>
      <c r="D82" s="29" t="s">
        <v>66</v>
      </c>
      <c r="E82" s="29" t="s">
        <v>15</v>
      </c>
      <c r="G82" s="47">
        <f>G79*1000000/60/G$87/0.0283/1516*(21-7)/(21-G$88)</f>
        <v>17.844171562257742</v>
      </c>
      <c r="H82" s="59"/>
      <c r="I82" s="47">
        <f>I79*1000000/60/I$87/0.0283/1516*(21-7)/(21-I$88)</f>
        <v>20.652508568069777</v>
      </c>
      <c r="J82" s="59"/>
      <c r="K82" s="47">
        <f>K79*1000000/60/K$87/0.0283/1516*(21-7)/(21-K$88)</f>
        <v>17.88369178779403</v>
      </c>
      <c r="L82" s="33"/>
      <c r="M82" s="47"/>
      <c r="N82" s="33"/>
      <c r="O82" s="45">
        <f>AVERAGE(K82,I82,G82)</f>
        <v>18.79345730604052</v>
      </c>
    </row>
    <row r="83" spans="2:15" ht="12.75">
      <c r="B83" s="29" t="s">
        <v>68</v>
      </c>
      <c r="C83" s="29" t="s">
        <v>272</v>
      </c>
      <c r="D83" s="29" t="s">
        <v>66</v>
      </c>
      <c r="E83" s="29" t="s">
        <v>15</v>
      </c>
      <c r="G83" s="79">
        <f>G80*1000000/60/G$87/0.0283/2948*(21-7)/(21-G$88)</f>
        <v>0.0024009590920195632</v>
      </c>
      <c r="H83" s="59"/>
      <c r="I83" s="79">
        <f>I80*1000000/60/I$87/0.0283/2948*(21-7)/(21-I$88)</f>
        <v>0.0025404712333527667</v>
      </c>
      <c r="J83" s="59"/>
      <c r="K83" s="79">
        <f>K80*1000000/60/K$87/0.0283/2948*(21-7)/(21-K$88)</f>
        <v>0.002449497150857949</v>
      </c>
      <c r="L83" s="33"/>
      <c r="M83" s="47"/>
      <c r="N83" s="33"/>
      <c r="O83" s="80">
        <f>AVERAGE(K83,I83,G83)</f>
        <v>0.00246364249207676</v>
      </c>
    </row>
    <row r="84" spans="2:15" ht="12.75">
      <c r="B84" s="29" t="s">
        <v>271</v>
      </c>
      <c r="C84" s="29" t="s">
        <v>272</v>
      </c>
      <c r="D84" s="29" t="s">
        <v>66</v>
      </c>
      <c r="E84" s="29" t="s">
        <v>15</v>
      </c>
      <c r="G84" s="47">
        <f>G82+2*G83</f>
        <v>17.84897348044178</v>
      </c>
      <c r="H84" s="59"/>
      <c r="I84" s="47">
        <f>I82+2*I83</f>
        <v>20.657589510536482</v>
      </c>
      <c r="J84" s="59"/>
      <c r="K84" s="47">
        <f>K82+2*K83</f>
        <v>17.888590782095747</v>
      </c>
      <c r="L84" s="33"/>
      <c r="M84" s="47"/>
      <c r="N84" s="33"/>
      <c r="O84" s="45">
        <f>AVERAGE(K84,I84,G84)</f>
        <v>18.79838459102467</v>
      </c>
    </row>
    <row r="85" spans="2:14" ht="12.75">
      <c r="B85" s="29"/>
      <c r="C85" s="29"/>
      <c r="G85" s="47"/>
      <c r="H85" s="59"/>
      <c r="I85" s="47"/>
      <c r="J85" s="59"/>
      <c r="K85" s="47"/>
      <c r="L85" s="33"/>
      <c r="M85" s="33"/>
      <c r="N85" s="33"/>
    </row>
    <row r="86" spans="2:14" ht="12.75">
      <c r="B86" s="29" t="s">
        <v>97</v>
      </c>
      <c r="C86" s="29" t="s">
        <v>93</v>
      </c>
      <c r="D86" s="29" t="s">
        <v>272</v>
      </c>
      <c r="G86" s="33"/>
      <c r="I86" s="33"/>
      <c r="K86" s="33"/>
      <c r="L86" s="33"/>
      <c r="M86" s="33"/>
      <c r="N86" s="33"/>
    </row>
    <row r="87" spans="2:15" ht="12.75">
      <c r="B87" s="29" t="s">
        <v>92</v>
      </c>
      <c r="C87" s="29"/>
      <c r="D87" s="29" t="s">
        <v>16</v>
      </c>
      <c r="G87" s="33">
        <v>73998</v>
      </c>
      <c r="I87" s="46">
        <v>75687</v>
      </c>
      <c r="J87" s="44"/>
      <c r="K87" s="33">
        <v>74026</v>
      </c>
      <c r="L87" s="33"/>
      <c r="M87" s="33"/>
      <c r="N87" s="33"/>
      <c r="O87" s="45">
        <f>AVERAGE(G87,I87,K87)</f>
        <v>74570.33333333333</v>
      </c>
    </row>
    <row r="88" spans="2:15" ht="12.75">
      <c r="B88" s="29" t="s">
        <v>94</v>
      </c>
      <c r="C88" s="29"/>
      <c r="D88" s="29" t="s">
        <v>14</v>
      </c>
      <c r="G88" s="33">
        <v>8.8</v>
      </c>
      <c r="I88" s="33">
        <v>9.8</v>
      </c>
      <c r="K88" s="33">
        <v>9</v>
      </c>
      <c r="L88" s="33"/>
      <c r="M88" s="33"/>
      <c r="N88" s="30"/>
      <c r="O88" s="45">
        <f>AVERAGE(G88,I88,K88)</f>
        <v>9.200000000000001</v>
      </c>
    </row>
    <row r="89" spans="2:15" ht="12.75">
      <c r="B89" s="29" t="s">
        <v>95</v>
      </c>
      <c r="C89" s="29"/>
      <c r="D89" s="29" t="s">
        <v>14</v>
      </c>
      <c r="G89" s="33">
        <v>32.26</v>
      </c>
      <c r="I89" s="33">
        <v>32.46</v>
      </c>
      <c r="K89" s="33">
        <v>32.57</v>
      </c>
      <c r="L89" s="33"/>
      <c r="M89" s="33"/>
      <c r="N89" s="30"/>
      <c r="O89" s="45">
        <f>AVERAGE(G89,I89,K89)</f>
        <v>32.43</v>
      </c>
    </row>
    <row r="90" spans="2:15" ht="12.75">
      <c r="B90" s="29" t="s">
        <v>91</v>
      </c>
      <c r="C90" s="29"/>
      <c r="D90" s="29" t="s">
        <v>18</v>
      </c>
      <c r="G90" s="33">
        <v>377</v>
      </c>
      <c r="I90" s="33">
        <v>366</v>
      </c>
      <c r="K90" s="33">
        <v>367</v>
      </c>
      <c r="L90" s="33"/>
      <c r="M90" s="33"/>
      <c r="O90" s="45">
        <f>AVERAGE(G90,I90,K90)</f>
        <v>370</v>
      </c>
    </row>
    <row r="91" ht="12.75">
      <c r="N91" s="33"/>
    </row>
    <row r="92" spans="2:14" ht="12.75">
      <c r="B92" s="29" t="s">
        <v>97</v>
      </c>
      <c r="C92" s="29" t="s">
        <v>83</v>
      </c>
      <c r="D92" s="29" t="s">
        <v>273</v>
      </c>
      <c r="G92" s="33"/>
      <c r="I92" s="33"/>
      <c r="K92" s="33"/>
      <c r="L92" s="33"/>
      <c r="M92" s="33"/>
      <c r="N92" s="33"/>
    </row>
    <row r="93" spans="2:15" ht="12.75">
      <c r="B93" s="29" t="s">
        <v>92</v>
      </c>
      <c r="C93" s="29"/>
      <c r="D93" s="29" t="s">
        <v>16</v>
      </c>
      <c r="G93" s="33">
        <v>75530</v>
      </c>
      <c r="I93" s="46">
        <v>75057</v>
      </c>
      <c r="J93" s="44"/>
      <c r="K93" s="33">
        <v>75484</v>
      </c>
      <c r="L93" s="33"/>
      <c r="M93" s="33"/>
      <c r="N93" s="33"/>
      <c r="O93" s="45">
        <f>AVERAGE(G93,I93,K93)</f>
        <v>75357</v>
      </c>
    </row>
    <row r="94" spans="2:15" ht="12.75">
      <c r="B94" s="29" t="s">
        <v>94</v>
      </c>
      <c r="C94" s="29"/>
      <c r="D94" s="29" t="s">
        <v>14</v>
      </c>
      <c r="G94" s="33">
        <v>8.8</v>
      </c>
      <c r="I94" s="33">
        <v>9.8</v>
      </c>
      <c r="K94" s="33">
        <v>9</v>
      </c>
      <c r="L94" s="33"/>
      <c r="M94" s="33"/>
      <c r="N94" s="30"/>
      <c r="O94" s="45">
        <f>AVERAGE(G94,I94,K94)</f>
        <v>9.200000000000001</v>
      </c>
    </row>
    <row r="95" spans="2:15" ht="12.75">
      <c r="B95" s="29" t="s">
        <v>95</v>
      </c>
      <c r="C95" s="29"/>
      <c r="D95" s="29" t="s">
        <v>14</v>
      </c>
      <c r="G95" s="33">
        <v>32.18</v>
      </c>
      <c r="I95" s="33">
        <v>32.46</v>
      </c>
      <c r="K95" s="33">
        <v>32.57</v>
      </c>
      <c r="L95" s="33"/>
      <c r="M95" s="33"/>
      <c r="N95" s="30"/>
      <c r="O95" s="45">
        <f>AVERAGE(G95,I95,K95)</f>
        <v>32.403333333333336</v>
      </c>
    </row>
    <row r="96" spans="2:15" ht="12.75">
      <c r="B96" s="29" t="s">
        <v>91</v>
      </c>
      <c r="C96" s="29"/>
      <c r="D96" s="29" t="s">
        <v>18</v>
      </c>
      <c r="G96" s="33">
        <v>384</v>
      </c>
      <c r="I96" s="33">
        <v>368</v>
      </c>
      <c r="K96" s="33">
        <v>372</v>
      </c>
      <c r="L96" s="33"/>
      <c r="M96" s="33"/>
      <c r="O96" s="45">
        <f>AVERAGE(G96,I96,K96)</f>
        <v>374.6666666666667</v>
      </c>
    </row>
    <row r="97" spans="2:13" ht="12.75">
      <c r="B97" s="29"/>
      <c r="C97" s="29"/>
      <c r="G97" s="33"/>
      <c r="I97" s="33"/>
      <c r="K97" s="33"/>
      <c r="L97" s="33"/>
      <c r="M97" s="33"/>
    </row>
    <row r="98" spans="1:15" ht="12.75">
      <c r="A98" s="31">
        <v>12</v>
      </c>
      <c r="B98" s="32" t="s">
        <v>159</v>
      </c>
      <c r="C98" s="29" t="s">
        <v>171</v>
      </c>
      <c r="G98" s="30" t="s">
        <v>147</v>
      </c>
      <c r="I98" s="30" t="s">
        <v>148</v>
      </c>
      <c r="K98" s="30" t="s">
        <v>149</v>
      </c>
      <c r="L98" s="30"/>
      <c r="M98" s="30" t="s">
        <v>150</v>
      </c>
      <c r="N98" s="30"/>
      <c r="O98" s="30" t="s">
        <v>70</v>
      </c>
    </row>
    <row r="99" spans="2:14" ht="12.75">
      <c r="B99" s="29"/>
      <c r="C99" s="29"/>
      <c r="D99" s="16"/>
      <c r="E99" s="16"/>
      <c r="F99" s="20"/>
      <c r="G99" s="16"/>
      <c r="H99" s="20"/>
      <c r="I99" s="16"/>
      <c r="J99" s="20"/>
      <c r="K99" s="16"/>
      <c r="L99" s="16"/>
      <c r="M99" s="16"/>
      <c r="N99" s="33"/>
    </row>
    <row r="100" spans="2:15" ht="12.75">
      <c r="B100" s="29" t="s">
        <v>96</v>
      </c>
      <c r="C100" s="29" t="s">
        <v>272</v>
      </c>
      <c r="D100" s="29" t="s">
        <v>66</v>
      </c>
      <c r="E100" s="29" t="s">
        <v>15</v>
      </c>
      <c r="G100" s="33">
        <v>475</v>
      </c>
      <c r="I100" s="33">
        <v>454</v>
      </c>
      <c r="K100" s="33">
        <v>516</v>
      </c>
      <c r="L100" s="33"/>
      <c r="M100" s="33"/>
      <c r="N100" s="33"/>
      <c r="O100" s="45">
        <f>AVERAGE(G100,I100,K100)</f>
        <v>481.6666666666667</v>
      </c>
    </row>
    <row r="101" spans="2:15" ht="12.75">
      <c r="B101" s="29" t="s">
        <v>134</v>
      </c>
      <c r="C101" s="29" t="s">
        <v>272</v>
      </c>
      <c r="D101" s="29" t="s">
        <v>66</v>
      </c>
      <c r="E101" s="29" t="s">
        <v>15</v>
      </c>
      <c r="G101" s="33">
        <v>520</v>
      </c>
      <c r="I101" s="33">
        <v>689</v>
      </c>
      <c r="K101" s="33">
        <v>585</v>
      </c>
      <c r="L101" s="33"/>
      <c r="M101" s="33"/>
      <c r="N101" s="33"/>
      <c r="O101" s="45">
        <f>AVERAGE(G101,I101,K101)</f>
        <v>598</v>
      </c>
    </row>
    <row r="102" spans="2:15" ht="12.75">
      <c r="B102" s="29" t="s">
        <v>135</v>
      </c>
      <c r="C102" s="29" t="s">
        <v>272</v>
      </c>
      <c r="D102" s="29" t="s">
        <v>66</v>
      </c>
      <c r="E102" s="29" t="s">
        <v>15</v>
      </c>
      <c r="G102" s="33">
        <v>15.2</v>
      </c>
      <c r="I102" s="33">
        <v>14.1</v>
      </c>
      <c r="K102" s="33">
        <v>13.4</v>
      </c>
      <c r="L102" s="33"/>
      <c r="M102" s="33"/>
      <c r="N102" s="33"/>
      <c r="O102" s="45">
        <f>AVERAGE(G102,I102,K102)</f>
        <v>14.233333333333333</v>
      </c>
    </row>
    <row r="103" spans="2:15" ht="12.75">
      <c r="B103" s="29" t="s">
        <v>136</v>
      </c>
      <c r="C103" s="29" t="s">
        <v>272</v>
      </c>
      <c r="D103" s="29" t="s">
        <v>66</v>
      </c>
      <c r="E103" s="29" t="s">
        <v>15</v>
      </c>
      <c r="G103" s="33">
        <v>17.3</v>
      </c>
      <c r="I103" s="33">
        <v>17.3</v>
      </c>
      <c r="K103" s="33">
        <v>14.6</v>
      </c>
      <c r="L103" s="33"/>
      <c r="M103" s="33"/>
      <c r="N103" s="33"/>
      <c r="O103" s="45">
        <f>AVERAGE(G103,I103,K103)</f>
        <v>16.400000000000002</v>
      </c>
    </row>
    <row r="104" spans="2:14" ht="12.75">
      <c r="B104" s="29"/>
      <c r="C104" s="29"/>
      <c r="G104" s="33"/>
      <c r="I104" s="33"/>
      <c r="K104" s="33"/>
      <c r="L104" s="33"/>
      <c r="M104" s="33"/>
      <c r="N104" s="33"/>
    </row>
    <row r="105" spans="2:15" ht="12.75">
      <c r="B105" s="29" t="s">
        <v>19</v>
      </c>
      <c r="C105" s="29" t="s">
        <v>272</v>
      </c>
      <c r="D105" s="29" t="s">
        <v>20</v>
      </c>
      <c r="E105" s="29" t="s">
        <v>15</v>
      </c>
      <c r="G105" s="33">
        <v>0.0105</v>
      </c>
      <c r="I105" s="33">
        <v>0.0163</v>
      </c>
      <c r="K105" s="33">
        <v>0.00946</v>
      </c>
      <c r="L105" s="33"/>
      <c r="M105" s="33"/>
      <c r="N105" s="33"/>
      <c r="O105" s="38">
        <f>AVERAGE(G105,I105,K105)</f>
        <v>0.012086666666666667</v>
      </c>
    </row>
    <row r="106" spans="2:14" ht="12.75">
      <c r="B106" s="29"/>
      <c r="C106" s="29"/>
      <c r="G106" s="33"/>
      <c r="I106" s="33"/>
      <c r="K106" s="33"/>
      <c r="L106" s="33"/>
      <c r="M106" s="33"/>
      <c r="N106" s="33"/>
    </row>
    <row r="107" spans="2:14" ht="12.75">
      <c r="B107" s="29" t="s">
        <v>21</v>
      </c>
      <c r="C107" s="29"/>
      <c r="D107" s="29" t="s">
        <v>140</v>
      </c>
      <c r="G107" s="56">
        <v>4671</v>
      </c>
      <c r="H107" s="58"/>
      <c r="I107" s="56">
        <v>2918</v>
      </c>
      <c r="J107" s="58"/>
      <c r="K107" s="56">
        <v>3012</v>
      </c>
      <c r="L107" s="33"/>
      <c r="M107" s="33"/>
      <c r="N107" s="33"/>
    </row>
    <row r="108" spans="2:14" ht="12.75">
      <c r="B108" s="29" t="s">
        <v>68</v>
      </c>
      <c r="C108" s="29"/>
      <c r="D108" s="29" t="s">
        <v>140</v>
      </c>
      <c r="G108" s="47">
        <v>0.8</v>
      </c>
      <c r="H108" s="59"/>
      <c r="I108" s="47">
        <v>0.777</v>
      </c>
      <c r="J108" s="59"/>
      <c r="K108" s="47">
        <v>0.779</v>
      </c>
      <c r="L108" s="33"/>
      <c r="M108" s="33"/>
      <c r="N108" s="33"/>
    </row>
    <row r="109" spans="2:14" ht="12.75">
      <c r="B109" s="29"/>
      <c r="C109" s="29"/>
      <c r="G109" s="47"/>
      <c r="H109" s="59"/>
      <c r="I109" s="47"/>
      <c r="J109" s="59"/>
      <c r="K109" s="47"/>
      <c r="L109" s="33"/>
      <c r="M109" s="33"/>
      <c r="N109" s="33"/>
    </row>
    <row r="110" spans="2:15" ht="12.75">
      <c r="B110" s="29" t="s">
        <v>21</v>
      </c>
      <c r="C110" s="29" t="s">
        <v>272</v>
      </c>
      <c r="D110" s="29" t="s">
        <v>66</v>
      </c>
      <c r="E110" s="29" t="s">
        <v>15</v>
      </c>
      <c r="G110" s="47">
        <f>G107*1000000/60/G$115/0.0283/1516*(21-7)/(21-G$116)</f>
        <v>33.05975593164004</v>
      </c>
      <c r="H110" s="59"/>
      <c r="I110" s="47">
        <f>I107*1000000/60/I$115/0.0283/1516*(21-7)/(21-I$116)</f>
        <v>19.733864927190353</v>
      </c>
      <c r="J110" s="59"/>
      <c r="K110" s="47">
        <f>K107*1000000/60/K$115/0.0283/1516*(21-7)/(21-K$116)</f>
        <v>18.582755089585095</v>
      </c>
      <c r="L110" s="33"/>
      <c r="M110" s="47"/>
      <c r="N110" s="33"/>
      <c r="O110" s="45">
        <f>AVERAGE(K110,I110,G110)</f>
        <v>23.792125316138495</v>
      </c>
    </row>
    <row r="111" spans="2:15" ht="12.75">
      <c r="B111" s="29" t="s">
        <v>68</v>
      </c>
      <c r="C111" s="29" t="s">
        <v>272</v>
      </c>
      <c r="D111" s="29" t="s">
        <v>66</v>
      </c>
      <c r="E111" s="29" t="s">
        <v>15</v>
      </c>
      <c r="G111" s="79">
        <f>G108*1000000/60/G$115/0.0283/2948*(21-7)/(21-G$116)</f>
        <v>0.002911732572750558</v>
      </c>
      <c r="H111" s="59"/>
      <c r="I111" s="79">
        <f>I108*1000000/60/I$115/0.0283/2948*(21-7)/(21-I$116)</f>
        <v>0.0027022131593979434</v>
      </c>
      <c r="J111" s="59"/>
      <c r="K111" s="79">
        <f>K108*1000000/60/K$115/0.0283/2948*(21-7)/(21-K$116)</f>
        <v>0.002471521059770053</v>
      </c>
      <c r="L111" s="33"/>
      <c r="M111" s="47"/>
      <c r="N111" s="33"/>
      <c r="O111" s="45">
        <f>AVERAGE(K111,I111,G111)</f>
        <v>0.002695155597306185</v>
      </c>
    </row>
    <row r="112" spans="2:15" ht="12.75">
      <c r="B112" s="29" t="s">
        <v>271</v>
      </c>
      <c r="C112" s="29" t="s">
        <v>272</v>
      </c>
      <c r="D112" s="29" t="s">
        <v>66</v>
      </c>
      <c r="E112" s="29" t="s">
        <v>15</v>
      </c>
      <c r="G112" s="47">
        <f>G110+2*G111</f>
        <v>33.065579396785544</v>
      </c>
      <c r="H112" s="59"/>
      <c r="I112" s="47">
        <f>I110+2*I111</f>
        <v>19.73926935350915</v>
      </c>
      <c r="J112" s="59"/>
      <c r="K112" s="47">
        <f>K110+2*K111</f>
        <v>18.587698131704634</v>
      </c>
      <c r="L112" s="33"/>
      <c r="M112" s="47"/>
      <c r="N112" s="33"/>
      <c r="O112" s="45">
        <f>AVERAGE(K112,I112,G112)</f>
        <v>23.79751562733311</v>
      </c>
    </row>
    <row r="113" spans="2:14" ht="12.75">
      <c r="B113" s="29"/>
      <c r="C113" s="29"/>
      <c r="G113" s="47"/>
      <c r="H113" s="59"/>
      <c r="I113" s="47"/>
      <c r="J113" s="59"/>
      <c r="K113" s="47"/>
      <c r="L113" s="33"/>
      <c r="M113" s="33"/>
      <c r="N113" s="33"/>
    </row>
    <row r="114" spans="2:14" ht="12.75">
      <c r="B114" s="29" t="s">
        <v>97</v>
      </c>
      <c r="C114" s="29" t="s">
        <v>93</v>
      </c>
      <c r="D114" s="29" t="s">
        <v>272</v>
      </c>
      <c r="G114" s="33"/>
      <c r="I114" s="33"/>
      <c r="K114" s="33"/>
      <c r="L114" s="33"/>
      <c r="M114" s="33"/>
      <c r="N114" s="33"/>
    </row>
    <row r="115" spans="2:15" ht="12.75">
      <c r="B115" s="29" t="s">
        <v>92</v>
      </c>
      <c r="C115" s="29"/>
      <c r="D115" s="29" t="s">
        <v>16</v>
      </c>
      <c r="G115" s="33">
        <v>73887</v>
      </c>
      <c r="I115" s="46">
        <v>74463</v>
      </c>
      <c r="J115" s="44"/>
      <c r="K115" s="33">
        <v>77327</v>
      </c>
      <c r="L115" s="33"/>
      <c r="M115" s="33"/>
      <c r="N115" s="33"/>
      <c r="O115" s="45">
        <f>AVERAGE(G115,I115,K115)</f>
        <v>75225.66666666667</v>
      </c>
    </row>
    <row r="116" spans="2:15" ht="12.75">
      <c r="B116" s="29" t="s">
        <v>94</v>
      </c>
      <c r="C116" s="29"/>
      <c r="D116" s="29" t="s">
        <v>14</v>
      </c>
      <c r="G116" s="33">
        <v>10.6</v>
      </c>
      <c r="I116" s="33">
        <v>10.2</v>
      </c>
      <c r="K116" s="33">
        <v>9.6</v>
      </c>
      <c r="L116" s="33"/>
      <c r="M116" s="33"/>
      <c r="N116" s="30"/>
      <c r="O116" s="45">
        <f>AVERAGE(G116,I116,K116)</f>
        <v>10.133333333333333</v>
      </c>
    </row>
    <row r="117" spans="2:15" ht="12.75">
      <c r="B117" s="29" t="s">
        <v>95</v>
      </c>
      <c r="C117" s="29"/>
      <c r="D117" s="29" t="s">
        <v>14</v>
      </c>
      <c r="G117" s="33">
        <v>22.99</v>
      </c>
      <c r="I117" s="33">
        <v>32.04</v>
      </c>
      <c r="K117" s="33">
        <v>31.74</v>
      </c>
      <c r="L117" s="33"/>
      <c r="M117" s="33"/>
      <c r="N117" s="30"/>
      <c r="O117" s="45">
        <f>AVERAGE(G117,I117,K117)</f>
        <v>28.923333333333332</v>
      </c>
    </row>
    <row r="118" spans="2:15" ht="12.75">
      <c r="B118" s="29" t="s">
        <v>91</v>
      </c>
      <c r="C118" s="29"/>
      <c r="D118" s="29" t="s">
        <v>18</v>
      </c>
      <c r="G118" s="33">
        <v>316</v>
      </c>
      <c r="I118" s="33">
        <v>323</v>
      </c>
      <c r="K118" s="33">
        <v>322</v>
      </c>
      <c r="L118" s="33"/>
      <c r="M118" s="33"/>
      <c r="O118" s="45">
        <f>AVERAGE(G118,I118,K118)</f>
        <v>320.3333333333333</v>
      </c>
    </row>
    <row r="120" spans="1:15" ht="12.75">
      <c r="A120" s="31">
        <v>13</v>
      </c>
      <c r="B120" s="28" t="s">
        <v>176</v>
      </c>
      <c r="C120" s="31" t="s">
        <v>139</v>
      </c>
      <c r="G120" s="30" t="s">
        <v>147</v>
      </c>
      <c r="I120" s="30" t="s">
        <v>148</v>
      </c>
      <c r="K120" s="30" t="s">
        <v>149</v>
      </c>
      <c r="L120" s="30"/>
      <c r="M120" s="30" t="s">
        <v>150</v>
      </c>
      <c r="N120" s="30"/>
      <c r="O120" s="30" t="s">
        <v>70</v>
      </c>
    </row>
    <row r="122" spans="2:15" ht="12.75">
      <c r="B122" s="29" t="s">
        <v>19</v>
      </c>
      <c r="C122" s="29" t="s">
        <v>272</v>
      </c>
      <c r="D122" s="29" t="s">
        <v>20</v>
      </c>
      <c r="E122" s="29" t="s">
        <v>15</v>
      </c>
      <c r="G122" s="38">
        <v>0.0168</v>
      </c>
      <c r="H122" s="36"/>
      <c r="I122" s="38">
        <v>0.0199</v>
      </c>
      <c r="J122" s="36"/>
      <c r="K122" s="38">
        <v>0.0149</v>
      </c>
      <c r="L122" s="48"/>
      <c r="M122" s="48"/>
      <c r="O122" s="38">
        <f>AVERAGE(M122,K122,I122,G122)</f>
        <v>0.017199999999999997</v>
      </c>
    </row>
    <row r="123" spans="2:13" ht="12.75">
      <c r="B123" s="29"/>
      <c r="C123" s="29"/>
      <c r="G123" s="38"/>
      <c r="H123" s="36"/>
      <c r="I123" s="38"/>
      <c r="J123" s="36"/>
      <c r="K123" s="38"/>
      <c r="L123" s="48"/>
      <c r="M123" s="48"/>
    </row>
    <row r="124" spans="2:15" ht="12.75">
      <c r="B124" s="29" t="s">
        <v>96</v>
      </c>
      <c r="C124" s="29" t="s">
        <v>272</v>
      </c>
      <c r="D124" s="29" t="s">
        <v>66</v>
      </c>
      <c r="E124" s="29" t="s">
        <v>15</v>
      </c>
      <c r="G124" s="31">
        <v>159</v>
      </c>
      <c r="I124" s="31">
        <v>59</v>
      </c>
      <c r="K124" s="31">
        <v>142</v>
      </c>
      <c r="O124" s="45">
        <f>AVERAGE(M124,K124,I124,G124)</f>
        <v>120</v>
      </c>
    </row>
    <row r="125" spans="2:15" ht="12.75">
      <c r="B125" s="31" t="s">
        <v>134</v>
      </c>
      <c r="C125" s="29" t="s">
        <v>272</v>
      </c>
      <c r="D125" s="29" t="s">
        <v>66</v>
      </c>
      <c r="E125" s="29" t="s">
        <v>15</v>
      </c>
      <c r="G125" s="31">
        <v>193</v>
      </c>
      <c r="I125" s="31">
        <v>62</v>
      </c>
      <c r="K125" s="31">
        <v>242</v>
      </c>
      <c r="O125" s="45">
        <f>AVERAGE(M125,K125,I125,G125)</f>
        <v>165.66666666666666</v>
      </c>
    </row>
    <row r="126" spans="2:15" ht="12.75">
      <c r="B126" s="31" t="s">
        <v>135</v>
      </c>
      <c r="C126" s="29" t="s">
        <v>272</v>
      </c>
      <c r="D126" s="29" t="s">
        <v>66</v>
      </c>
      <c r="E126" s="29" t="s">
        <v>15</v>
      </c>
      <c r="G126" s="31">
        <v>5.1</v>
      </c>
      <c r="I126" s="31">
        <v>6.5</v>
      </c>
      <c r="K126" s="31">
        <v>6.5</v>
      </c>
      <c r="O126" s="45">
        <f>AVERAGE(M126,K126,I126,G126)</f>
        <v>6.033333333333334</v>
      </c>
    </row>
    <row r="127" spans="2:15" ht="12.75">
      <c r="B127" s="31" t="s">
        <v>136</v>
      </c>
      <c r="C127" s="29" t="s">
        <v>272</v>
      </c>
      <c r="D127" s="29" t="s">
        <v>66</v>
      </c>
      <c r="E127" s="29" t="s">
        <v>15</v>
      </c>
      <c r="G127" s="31">
        <v>5.6</v>
      </c>
      <c r="I127" s="31">
        <v>6.8</v>
      </c>
      <c r="K127" s="31">
        <v>8.2</v>
      </c>
      <c r="O127" s="45">
        <f>AVERAGE(M127,K127,I127,G127)</f>
        <v>6.866666666666667</v>
      </c>
    </row>
    <row r="128" spans="7:13" ht="12.75">
      <c r="G128" s="48"/>
      <c r="I128" s="48"/>
      <c r="K128" s="48"/>
      <c r="L128" s="48"/>
      <c r="M128" s="48"/>
    </row>
    <row r="129" spans="2:4" ht="12.75">
      <c r="B129" s="29" t="s">
        <v>97</v>
      </c>
      <c r="C129" s="29" t="s">
        <v>19</v>
      </c>
      <c r="D129" s="29" t="s">
        <v>272</v>
      </c>
    </row>
    <row r="130" spans="2:15" ht="12.75">
      <c r="B130" s="29" t="s">
        <v>92</v>
      </c>
      <c r="C130" s="29"/>
      <c r="D130" s="29" t="s">
        <v>16</v>
      </c>
      <c r="G130" s="31">
        <v>75396</v>
      </c>
      <c r="I130" s="31">
        <v>77982</v>
      </c>
      <c r="K130" s="31">
        <v>77180</v>
      </c>
      <c r="O130" s="45">
        <f>AVERAGE(G130,I130,K130)</f>
        <v>76852.66666666667</v>
      </c>
    </row>
    <row r="131" spans="2:15" ht="12.75">
      <c r="B131" s="29" t="s">
        <v>94</v>
      </c>
      <c r="C131" s="29"/>
      <c r="D131" s="29" t="s">
        <v>14</v>
      </c>
      <c r="G131" s="31">
        <v>9.5</v>
      </c>
      <c r="I131" s="31">
        <v>9.69</v>
      </c>
      <c r="K131" s="31">
        <v>9.27</v>
      </c>
      <c r="O131" s="45">
        <f>AVERAGE(G131,I131,K131)</f>
        <v>9.486666666666666</v>
      </c>
    </row>
    <row r="132" spans="2:15" ht="12.75">
      <c r="B132" s="29" t="s">
        <v>95</v>
      </c>
      <c r="C132" s="29"/>
      <c r="D132" s="29" t="s">
        <v>14</v>
      </c>
      <c r="G132" s="31">
        <v>33.3</v>
      </c>
      <c r="I132" s="31">
        <v>32.14</v>
      </c>
      <c r="K132" s="31">
        <v>32.25</v>
      </c>
      <c r="O132" s="45">
        <f>AVERAGE(G132,I132,K132)</f>
        <v>32.56333333333333</v>
      </c>
    </row>
    <row r="133" spans="2:15" ht="12.75">
      <c r="B133" s="29" t="s">
        <v>91</v>
      </c>
      <c r="C133" s="29"/>
      <c r="D133" s="29" t="s">
        <v>18</v>
      </c>
      <c r="G133" s="31">
        <v>364</v>
      </c>
      <c r="I133" s="31">
        <v>419</v>
      </c>
      <c r="K133" s="31">
        <v>407</v>
      </c>
      <c r="O133" s="45">
        <f>AVERAGE(G133,I133,K133)</f>
        <v>396.6666666666667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20"/>
  <sheetViews>
    <sheetView tabSelected="1" workbookViewId="0" topLeftCell="C69">
      <selection activeCell="Q92" sqref="Q92"/>
    </sheetView>
  </sheetViews>
  <sheetFormatPr defaultColWidth="9.140625" defaultRowHeight="12.75"/>
  <cols>
    <col min="1" max="1" width="1.421875" style="0" hidden="1" customWidth="1"/>
    <col min="2" max="2" width="18.57421875" style="0" customWidth="1"/>
    <col min="3" max="3" width="9.421875" style="0" customWidth="1"/>
    <col min="5" max="5" width="9.28125" style="0" customWidth="1"/>
    <col min="6" max="6" width="4.00390625" style="0" bestFit="1" customWidth="1"/>
    <col min="7" max="7" width="10.7109375" style="0" customWidth="1"/>
    <col min="8" max="8" width="4.00390625" style="0" bestFit="1" customWidth="1"/>
    <col min="9" max="9" width="10.8515625" style="0" customWidth="1"/>
    <col min="10" max="10" width="4.00390625" style="0" bestFit="1" customWidth="1"/>
    <col min="11" max="11" width="10.00390625" style="0" customWidth="1"/>
    <col min="12" max="12" width="4.00390625" style="0" bestFit="1" customWidth="1"/>
    <col min="13" max="13" width="10.7109375" style="0" customWidth="1"/>
    <col min="14" max="14" width="2.00390625" style="0" customWidth="1"/>
    <col min="16" max="16" width="1.28515625" style="0" customWidth="1"/>
    <col min="18" max="18" width="2.140625" style="0" customWidth="1"/>
    <col min="20" max="20" width="3.7109375" style="0" customWidth="1"/>
  </cols>
  <sheetData>
    <row r="1" ht="12.75">
      <c r="B1" s="2" t="s">
        <v>262</v>
      </c>
    </row>
    <row r="4" spans="2:21" ht="12.75">
      <c r="B4" s="2" t="s">
        <v>181</v>
      </c>
      <c r="G4" s="3" t="s">
        <v>147</v>
      </c>
      <c r="H4" s="3"/>
      <c r="I4" s="3" t="s">
        <v>148</v>
      </c>
      <c r="J4" s="3"/>
      <c r="K4" s="3" t="s">
        <v>149</v>
      </c>
      <c r="L4" s="3"/>
      <c r="M4" s="3" t="s">
        <v>150</v>
      </c>
      <c r="N4" s="3"/>
      <c r="O4" s="3" t="s">
        <v>170</v>
      </c>
      <c r="P4" s="3"/>
      <c r="Q4" s="3" t="s">
        <v>168</v>
      </c>
      <c r="R4" s="3"/>
      <c r="S4" s="3" t="s">
        <v>169</v>
      </c>
      <c r="T4" s="3"/>
      <c r="U4" s="3" t="s">
        <v>70</v>
      </c>
    </row>
    <row r="6" spans="1:21" s="63" customFormat="1" ht="12.75">
      <c r="A6" s="63" t="s">
        <v>181</v>
      </c>
      <c r="B6" s="63" t="s">
        <v>19</v>
      </c>
      <c r="C6" s="63" t="s">
        <v>272</v>
      </c>
      <c r="D6" s="63" t="s">
        <v>20</v>
      </c>
      <c r="E6" s="63" t="s">
        <v>15</v>
      </c>
      <c r="F6" s="64" t="s">
        <v>191</v>
      </c>
      <c r="G6" s="71">
        <v>0.031087545396445</v>
      </c>
      <c r="H6" s="64" t="s">
        <v>191</v>
      </c>
      <c r="I6" s="71">
        <v>0.024321797675654535</v>
      </c>
      <c r="J6" s="64" t="s">
        <v>191</v>
      </c>
      <c r="K6" s="71">
        <v>0.04894517699277549</v>
      </c>
      <c r="L6" s="71" t="s">
        <v>191</v>
      </c>
      <c r="M6" s="71">
        <v>0.03460708217154651</v>
      </c>
      <c r="N6" s="71" t="s">
        <v>191</v>
      </c>
      <c r="O6" s="71">
        <v>0.015400152768</v>
      </c>
      <c r="P6" s="71" t="s">
        <v>191</v>
      </c>
      <c r="Q6" s="71">
        <v>0.017700175584</v>
      </c>
      <c r="R6" s="71" t="s">
        <v>191</v>
      </c>
      <c r="S6" s="71">
        <v>0.027700274784</v>
      </c>
      <c r="T6" s="71" t="s">
        <v>191</v>
      </c>
      <c r="U6" s="71">
        <f>AVERAGE(G6:S6)</f>
        <v>0.028537457910345933</v>
      </c>
    </row>
    <row r="7" spans="1:21" s="65" customFormat="1" ht="12.75">
      <c r="A7" s="65" t="s">
        <v>181</v>
      </c>
      <c r="B7" s="65" t="s">
        <v>134</v>
      </c>
      <c r="C7" s="65" t="s">
        <v>272</v>
      </c>
      <c r="D7" s="65" t="s">
        <v>66</v>
      </c>
      <c r="E7" s="63" t="s">
        <v>15</v>
      </c>
      <c r="F7" s="64" t="s">
        <v>191</v>
      </c>
      <c r="G7" s="65">
        <v>629</v>
      </c>
      <c r="H7" s="64" t="s">
        <v>191</v>
      </c>
      <c r="I7" s="65">
        <v>443</v>
      </c>
      <c r="J7" s="64" t="s">
        <v>191</v>
      </c>
      <c r="K7" s="65">
        <v>527</v>
      </c>
      <c r="L7" s="64" t="s">
        <v>191</v>
      </c>
      <c r="M7" s="65">
        <v>350</v>
      </c>
      <c r="N7" s="64" t="s">
        <v>191</v>
      </c>
      <c r="O7" s="68"/>
      <c r="P7" s="64" t="s">
        <v>191</v>
      </c>
      <c r="R7" s="64" t="s">
        <v>191</v>
      </c>
      <c r="T7" s="64" t="s">
        <v>191</v>
      </c>
      <c r="U7" s="65">
        <f aca="true" t="shared" si="0" ref="U7:U12">AVERAGE(G7,I7,K7,M7)</f>
        <v>487.25</v>
      </c>
    </row>
    <row r="8" spans="1:21" s="65" customFormat="1" ht="12.75">
      <c r="A8" s="65" t="s">
        <v>181</v>
      </c>
      <c r="B8" s="65" t="s">
        <v>96</v>
      </c>
      <c r="C8" s="65" t="s">
        <v>272</v>
      </c>
      <c r="D8" s="65" t="s">
        <v>66</v>
      </c>
      <c r="E8" s="63" t="s">
        <v>15</v>
      </c>
      <c r="F8" s="64" t="s">
        <v>191</v>
      </c>
      <c r="G8" s="65">
        <v>312</v>
      </c>
      <c r="H8" s="64" t="s">
        <v>191</v>
      </c>
      <c r="I8" s="65">
        <v>259</v>
      </c>
      <c r="J8" s="64" t="s">
        <v>191</v>
      </c>
      <c r="K8" s="65">
        <v>226</v>
      </c>
      <c r="L8" s="64" t="s">
        <v>191</v>
      </c>
      <c r="M8" s="65">
        <v>195</v>
      </c>
      <c r="N8" s="64" t="s">
        <v>191</v>
      </c>
      <c r="P8" s="64" t="s">
        <v>191</v>
      </c>
      <c r="R8" s="64" t="s">
        <v>191</v>
      </c>
      <c r="T8" s="64" t="s">
        <v>191</v>
      </c>
      <c r="U8" s="65">
        <f t="shared" si="0"/>
        <v>248</v>
      </c>
    </row>
    <row r="9" spans="1:21" s="65" customFormat="1" ht="12.75">
      <c r="A9" s="65" t="s">
        <v>181</v>
      </c>
      <c r="B9" s="65" t="s">
        <v>136</v>
      </c>
      <c r="C9" s="65" t="s">
        <v>272</v>
      </c>
      <c r="D9" s="65" t="s">
        <v>66</v>
      </c>
      <c r="E9" s="63" t="s">
        <v>15</v>
      </c>
      <c r="F9" s="64" t="s">
        <v>191</v>
      </c>
      <c r="G9" s="65">
        <v>17.6</v>
      </c>
      <c r="H9" s="64" t="s">
        <v>191</v>
      </c>
      <c r="I9" s="65">
        <v>15.5</v>
      </c>
      <c r="J9" s="64" t="s">
        <v>191</v>
      </c>
      <c r="K9" s="65">
        <v>16.2</v>
      </c>
      <c r="L9" s="64" t="s">
        <v>191</v>
      </c>
      <c r="M9" s="65">
        <v>11.7</v>
      </c>
      <c r="N9" s="64" t="s">
        <v>191</v>
      </c>
      <c r="P9" s="64" t="s">
        <v>191</v>
      </c>
      <c r="R9" s="64" t="s">
        <v>191</v>
      </c>
      <c r="T9" s="64" t="s">
        <v>191</v>
      </c>
      <c r="U9" s="65">
        <f t="shared" si="0"/>
        <v>15.25</v>
      </c>
    </row>
    <row r="10" spans="1:21" s="65" customFormat="1" ht="12.75">
      <c r="A10" s="65" t="s">
        <v>181</v>
      </c>
      <c r="B10" s="65" t="s">
        <v>135</v>
      </c>
      <c r="C10" s="65" t="s">
        <v>272</v>
      </c>
      <c r="D10" s="65" t="s">
        <v>66</v>
      </c>
      <c r="E10" s="63" t="s">
        <v>15</v>
      </c>
      <c r="F10" s="64" t="s">
        <v>191</v>
      </c>
      <c r="G10" s="65">
        <v>11.2</v>
      </c>
      <c r="H10" s="64" t="s">
        <v>191</v>
      </c>
      <c r="I10" s="65">
        <v>10.9</v>
      </c>
      <c r="J10" s="64" t="s">
        <v>191</v>
      </c>
      <c r="K10" s="65">
        <v>10.4</v>
      </c>
      <c r="L10" s="64" t="s">
        <v>191</v>
      </c>
      <c r="M10" s="65">
        <v>7.2</v>
      </c>
      <c r="N10" s="64" t="s">
        <v>191</v>
      </c>
      <c r="P10" s="64" t="s">
        <v>191</v>
      </c>
      <c r="R10" s="64" t="s">
        <v>191</v>
      </c>
      <c r="T10" s="64" t="s">
        <v>191</v>
      </c>
      <c r="U10" s="65">
        <f t="shared" si="0"/>
        <v>9.925</v>
      </c>
    </row>
    <row r="11" spans="1:21" s="65" customFormat="1" ht="12.75">
      <c r="A11" s="65" t="s">
        <v>181</v>
      </c>
      <c r="B11" s="65" t="s">
        <v>21</v>
      </c>
      <c r="C11" s="65" t="s">
        <v>272</v>
      </c>
      <c r="D11" s="65" t="s">
        <v>66</v>
      </c>
      <c r="E11" s="63" t="s">
        <v>15</v>
      </c>
      <c r="F11" s="64" t="s">
        <v>191</v>
      </c>
      <c r="G11" s="47">
        <f>37.4/1516*1000*(21-7)/(21-G$30)</f>
        <v>22.28274746786961</v>
      </c>
      <c r="H11" s="64" t="s">
        <v>191</v>
      </c>
      <c r="I11" s="47">
        <f>163/1516*1000*(21-7)/(21-I$30)</f>
        <v>97.11464805515364</v>
      </c>
      <c r="J11" s="64" t="s">
        <v>191</v>
      </c>
      <c r="K11" s="47">
        <f>48.7/1516*1000*(21-7)/(21-K$30)</f>
        <v>27.933922220947576</v>
      </c>
      <c r="L11" s="64" t="s">
        <v>191</v>
      </c>
      <c r="M11" s="47">
        <f>22.6/1516*1000*(21-7)/(21-M$30)</f>
        <v>14.295008493873569</v>
      </c>
      <c r="N11" s="64" t="s">
        <v>191</v>
      </c>
      <c r="P11" s="64" t="s">
        <v>191</v>
      </c>
      <c r="R11" s="64" t="s">
        <v>191</v>
      </c>
      <c r="T11" s="64" t="s">
        <v>191</v>
      </c>
      <c r="U11" s="65">
        <f t="shared" si="0"/>
        <v>40.4065815594611</v>
      </c>
    </row>
    <row r="12" spans="1:21" s="65" customFormat="1" ht="12.75">
      <c r="A12" s="65" t="s">
        <v>181</v>
      </c>
      <c r="B12" s="65" t="s">
        <v>68</v>
      </c>
      <c r="C12" s="65" t="s">
        <v>272</v>
      </c>
      <c r="D12" s="65" t="s">
        <v>66</v>
      </c>
      <c r="E12" s="63" t="s">
        <v>15</v>
      </c>
      <c r="F12" s="64" t="s">
        <v>13</v>
      </c>
      <c r="G12" s="47">
        <f>0.558/2948*1000*(21-7)/(21-G$30)</f>
        <v>0.17096336499321574</v>
      </c>
      <c r="H12" s="64" t="s">
        <v>13</v>
      </c>
      <c r="I12" s="47">
        <f>0.364/2948*1000*(21-7)/(21-I$30)</f>
        <v>0.1115244889919902</v>
      </c>
      <c r="J12" s="64" t="s">
        <v>13</v>
      </c>
      <c r="K12" s="47">
        <f>0.283/2948*1000*(21-7)/(21-K$30)</f>
        <v>0.08347590112677716</v>
      </c>
      <c r="L12" s="64" t="s">
        <v>13</v>
      </c>
      <c r="M12" s="47">
        <f>0.37/2948*1000*(21-7)/(21-M$30)</f>
        <v>0.12035092284530027</v>
      </c>
      <c r="N12" s="64" t="s">
        <v>191</v>
      </c>
      <c r="P12" s="64" t="s">
        <v>191</v>
      </c>
      <c r="R12" s="64" t="s">
        <v>191</v>
      </c>
      <c r="T12" s="64" t="s">
        <v>191</v>
      </c>
      <c r="U12" s="65">
        <f t="shared" si="0"/>
        <v>0.12157866948932083</v>
      </c>
    </row>
    <row r="13" spans="2:21" s="65" customFormat="1" ht="12.75">
      <c r="B13" s="65" t="s">
        <v>271</v>
      </c>
      <c r="C13" s="65" t="s">
        <v>272</v>
      </c>
      <c r="D13" s="65" t="s">
        <v>66</v>
      </c>
      <c r="E13" s="63" t="s">
        <v>15</v>
      </c>
      <c r="F13" s="64">
        <v>1.5113001273627178</v>
      </c>
      <c r="G13" s="65">
        <v>22.6246742</v>
      </c>
      <c r="H13" s="64">
        <v>0.2291496355342403</v>
      </c>
      <c r="I13" s="65">
        <v>97.33769703799999</v>
      </c>
      <c r="J13" s="64">
        <v>0.594116047313313</v>
      </c>
      <c r="K13" s="65">
        <v>28.100874022</v>
      </c>
      <c r="L13" s="64">
        <v>1.6559345256341795</v>
      </c>
      <c r="M13" s="65">
        <v>14.535710336000001</v>
      </c>
      <c r="N13" s="64"/>
      <c r="P13" s="64"/>
      <c r="R13" s="64"/>
      <c r="T13" s="64">
        <v>0.5981768778494708</v>
      </c>
      <c r="U13" s="65">
        <v>40.649738898</v>
      </c>
    </row>
    <row r="14" spans="1:21" s="65" customFormat="1" ht="12.75">
      <c r="A14" s="65" t="s">
        <v>181</v>
      </c>
      <c r="B14" s="65" t="s">
        <v>102</v>
      </c>
      <c r="C14" s="65" t="s">
        <v>273</v>
      </c>
      <c r="D14" s="65" t="s">
        <v>69</v>
      </c>
      <c r="E14" s="63" t="s">
        <v>15</v>
      </c>
      <c r="F14" s="64" t="s">
        <v>13</v>
      </c>
      <c r="G14" s="65">
        <v>119.82279362715</v>
      </c>
      <c r="H14" s="64" t="s">
        <v>13</v>
      </c>
      <c r="I14" s="65">
        <v>126.09368212576639</v>
      </c>
      <c r="J14" s="64" t="s">
        <v>13</v>
      </c>
      <c r="K14" s="65">
        <v>116.51515386284</v>
      </c>
      <c r="L14" s="64" t="s">
        <v>191</v>
      </c>
      <c r="M14" s="65">
        <v>127.37922850159391</v>
      </c>
      <c r="N14" s="64" t="s">
        <v>191</v>
      </c>
      <c r="P14" s="64" t="s">
        <v>191</v>
      </c>
      <c r="R14" s="64" t="s">
        <v>191</v>
      </c>
      <c r="T14" s="64" t="s">
        <v>191</v>
      </c>
      <c r="U14" s="65">
        <f aca="true" t="shared" si="1" ref="U14:U21">AVERAGE(G14,I14,K14,M14)</f>
        <v>122.45271452933757</v>
      </c>
    </row>
    <row r="15" spans="1:21" s="65" customFormat="1" ht="12.75">
      <c r="A15" s="65" t="s">
        <v>181</v>
      </c>
      <c r="B15" s="65" t="s">
        <v>98</v>
      </c>
      <c r="C15" s="65" t="s">
        <v>273</v>
      </c>
      <c r="D15" s="65" t="s">
        <v>69</v>
      </c>
      <c r="E15" s="63" t="s">
        <v>15</v>
      </c>
      <c r="F15" s="64" t="s">
        <v>13</v>
      </c>
      <c r="G15" s="65">
        <v>19.859209528733814</v>
      </c>
      <c r="H15" s="64" t="s">
        <v>13</v>
      </c>
      <c r="I15" s="65">
        <v>20.425092311281166</v>
      </c>
      <c r="J15" s="64" t="s">
        <v>13</v>
      </c>
      <c r="K15" s="65">
        <v>19.304285847097834</v>
      </c>
      <c r="L15" s="64" t="s">
        <v>13</v>
      </c>
      <c r="M15" s="65">
        <v>21.553611391618674</v>
      </c>
      <c r="N15" s="64" t="s">
        <v>191</v>
      </c>
      <c r="P15" s="64" t="s">
        <v>191</v>
      </c>
      <c r="R15" s="64" t="s">
        <v>191</v>
      </c>
      <c r="T15" s="64" t="s">
        <v>191</v>
      </c>
      <c r="U15" s="65">
        <f t="shared" si="1"/>
        <v>20.28554976968287</v>
      </c>
    </row>
    <row r="16" spans="1:21" s="65" customFormat="1" ht="12.75">
      <c r="A16" s="65" t="s">
        <v>181</v>
      </c>
      <c r="B16" s="65" t="s">
        <v>99</v>
      </c>
      <c r="C16" s="65" t="s">
        <v>273</v>
      </c>
      <c r="D16" s="65" t="s">
        <v>69</v>
      </c>
      <c r="E16" s="63" t="s">
        <v>15</v>
      </c>
      <c r="F16" s="64" t="s">
        <v>191</v>
      </c>
      <c r="G16" s="65">
        <v>183.90629328289634</v>
      </c>
      <c r="H16" s="64" t="s">
        <v>13</v>
      </c>
      <c r="I16" s="65">
        <v>215.71398512424497</v>
      </c>
      <c r="J16" s="64" t="s">
        <v>13</v>
      </c>
      <c r="K16" s="65">
        <v>194.07701664135857</v>
      </c>
      <c r="L16" s="64" t="s">
        <v>13</v>
      </c>
      <c r="M16" s="65">
        <v>254.75845700318783</v>
      </c>
      <c r="N16" s="64" t="s">
        <v>191</v>
      </c>
      <c r="P16" s="64" t="s">
        <v>191</v>
      </c>
      <c r="R16" s="64" t="s">
        <v>191</v>
      </c>
      <c r="T16" s="64" t="s">
        <v>191</v>
      </c>
      <c r="U16" s="65">
        <f t="shared" si="1"/>
        <v>212.11393801292192</v>
      </c>
    </row>
    <row r="17" spans="1:21" s="65" customFormat="1" ht="12.75">
      <c r="A17" s="65" t="s">
        <v>181</v>
      </c>
      <c r="B17" s="65" t="s">
        <v>100</v>
      </c>
      <c r="C17" s="65" t="s">
        <v>273</v>
      </c>
      <c r="D17" s="65" t="s">
        <v>69</v>
      </c>
      <c r="E17" s="63" t="s">
        <v>15</v>
      </c>
      <c r="F17" s="64" t="s">
        <v>13</v>
      </c>
      <c r="G17" s="65">
        <v>1.191552571724029</v>
      </c>
      <c r="H17" s="64" t="s">
        <v>13</v>
      </c>
      <c r="I17" s="65">
        <v>1.226200269707866</v>
      </c>
      <c r="J17" s="64" t="s">
        <v>13</v>
      </c>
      <c r="K17" s="65">
        <v>1.9304285847097833</v>
      </c>
      <c r="L17" s="64" t="s">
        <v>13</v>
      </c>
      <c r="M17" s="65">
        <v>2.1105356042053</v>
      </c>
      <c r="N17" s="64" t="s">
        <v>191</v>
      </c>
      <c r="P17" s="64" t="s">
        <v>191</v>
      </c>
      <c r="R17" s="64" t="s">
        <v>191</v>
      </c>
      <c r="T17" s="64" t="s">
        <v>191</v>
      </c>
      <c r="U17" s="65">
        <f t="shared" si="1"/>
        <v>1.6146792575867446</v>
      </c>
    </row>
    <row r="18" spans="1:21" s="65" customFormat="1" ht="12.75">
      <c r="A18" s="65" t="s">
        <v>181</v>
      </c>
      <c r="B18" s="65" t="s">
        <v>105</v>
      </c>
      <c r="C18" s="65" t="s">
        <v>273</v>
      </c>
      <c r="D18" s="65" t="s">
        <v>69</v>
      </c>
      <c r="E18" s="63" t="s">
        <v>15</v>
      </c>
      <c r="F18" s="64" t="s">
        <v>13</v>
      </c>
      <c r="G18" s="65">
        <v>15.086323877290225</v>
      </c>
      <c r="H18" s="64" t="s">
        <v>13</v>
      </c>
      <c r="I18" s="65">
        <v>18.375635769843</v>
      </c>
      <c r="J18" s="64" t="s">
        <v>13</v>
      </c>
      <c r="K18" s="65">
        <v>22.37228841922588</v>
      </c>
      <c r="L18" s="64" t="s">
        <v>13</v>
      </c>
      <c r="M18" s="65">
        <v>25.32642725046354</v>
      </c>
      <c r="N18" s="64" t="s">
        <v>191</v>
      </c>
      <c r="P18" s="64" t="s">
        <v>191</v>
      </c>
      <c r="R18" s="64" t="s">
        <v>191</v>
      </c>
      <c r="T18" s="64" t="s">
        <v>191</v>
      </c>
      <c r="U18" s="65">
        <f t="shared" si="1"/>
        <v>20.290168829205662</v>
      </c>
    </row>
    <row r="19" spans="1:21" s="65" customFormat="1" ht="12.75">
      <c r="A19" s="65" t="s">
        <v>181</v>
      </c>
      <c r="B19" s="65" t="s">
        <v>107</v>
      </c>
      <c r="C19" s="65" t="s">
        <v>273</v>
      </c>
      <c r="D19" s="65" t="s">
        <v>69</v>
      </c>
      <c r="E19" s="63" t="s">
        <v>15</v>
      </c>
      <c r="F19" s="64" t="s">
        <v>13</v>
      </c>
      <c r="G19" s="65">
        <v>5.173407524292</v>
      </c>
      <c r="H19" s="64" t="s">
        <v>13</v>
      </c>
      <c r="I19" s="65">
        <v>5.731531005716654</v>
      </c>
      <c r="J19" s="64" t="s">
        <v>13</v>
      </c>
      <c r="K19" s="65">
        <v>6.170477083268771</v>
      </c>
      <c r="L19" s="64" t="s">
        <v>13</v>
      </c>
      <c r="M19" s="65">
        <v>8.442142416821179</v>
      </c>
      <c r="N19" s="64" t="s">
        <v>191</v>
      </c>
      <c r="P19" s="64" t="s">
        <v>191</v>
      </c>
      <c r="R19" s="64" t="s">
        <v>191</v>
      </c>
      <c r="T19" s="64" t="s">
        <v>191</v>
      </c>
      <c r="U19" s="65">
        <f t="shared" si="1"/>
        <v>6.379389507524651</v>
      </c>
    </row>
    <row r="20" spans="1:21" s="65" customFormat="1" ht="12.75">
      <c r="A20" s="65" t="s">
        <v>181</v>
      </c>
      <c r="B20" s="65" t="s">
        <v>192</v>
      </c>
      <c r="C20" s="65" t="s">
        <v>274</v>
      </c>
      <c r="D20" s="65" t="s">
        <v>69</v>
      </c>
      <c r="E20" s="63" t="s">
        <v>15</v>
      </c>
      <c r="F20" s="64" t="s">
        <v>191</v>
      </c>
      <c r="G20" s="65">
        <v>0.087794944404418</v>
      </c>
      <c r="H20" s="64" t="s">
        <v>191</v>
      </c>
      <c r="I20" s="65">
        <v>0.026134781349867523</v>
      </c>
      <c r="J20" s="64" t="s">
        <v>191</v>
      </c>
      <c r="K20" s="65">
        <v>0.04476523390892658</v>
      </c>
      <c r="L20" s="64" t="s">
        <v>191</v>
      </c>
      <c r="M20" s="65">
        <v>0.056437738344321184</v>
      </c>
      <c r="N20" s="64" t="s">
        <v>191</v>
      </c>
      <c r="P20" s="64" t="s">
        <v>191</v>
      </c>
      <c r="R20" s="64" t="s">
        <v>191</v>
      </c>
      <c r="T20" s="64" t="s">
        <v>191</v>
      </c>
      <c r="U20" s="65">
        <f t="shared" si="1"/>
        <v>0.053783174501883316</v>
      </c>
    </row>
    <row r="21" spans="1:21" s="65" customFormat="1" ht="12.75">
      <c r="A21" s="65" t="s">
        <v>181</v>
      </c>
      <c r="B21" s="65" t="s">
        <v>103</v>
      </c>
      <c r="C21" s="65" t="s">
        <v>273</v>
      </c>
      <c r="D21" s="65" t="s">
        <v>69</v>
      </c>
      <c r="E21" s="63" t="s">
        <v>15</v>
      </c>
      <c r="F21" s="64" t="s">
        <v>13</v>
      </c>
      <c r="G21" s="65">
        <v>657.5234079261448</v>
      </c>
      <c r="H21" s="64" t="s">
        <v>13</v>
      </c>
      <c r="I21" s="65">
        <v>882.3084093648667</v>
      </c>
      <c r="J21" s="64" t="s">
        <v>13</v>
      </c>
      <c r="K21" s="65">
        <v>803.19617899532</v>
      </c>
      <c r="L21" s="64" t="s">
        <v>13</v>
      </c>
      <c r="M21" s="65">
        <v>1587.5710297119474</v>
      </c>
      <c r="N21" s="64" t="s">
        <v>191</v>
      </c>
      <c r="P21" s="64" t="s">
        <v>191</v>
      </c>
      <c r="R21" s="64" t="s">
        <v>191</v>
      </c>
      <c r="T21" s="64" t="s">
        <v>191</v>
      </c>
      <c r="U21" s="65">
        <f t="shared" si="1"/>
        <v>982.6497564995698</v>
      </c>
    </row>
    <row r="22" spans="1:21" s="65" customFormat="1" ht="12.75">
      <c r="A22" s="65" t="s">
        <v>181</v>
      </c>
      <c r="B22" s="65" t="s">
        <v>111</v>
      </c>
      <c r="C22" s="65" t="s">
        <v>273</v>
      </c>
      <c r="D22" s="65" t="s">
        <v>69</v>
      </c>
      <c r="E22" s="63" t="s">
        <v>15</v>
      </c>
      <c r="F22" s="64" t="s">
        <v>191</v>
      </c>
      <c r="G22" s="65">
        <v>7.776799697806686</v>
      </c>
      <c r="H22" s="64" t="s">
        <v>13</v>
      </c>
      <c r="I22" s="65">
        <v>14.311459238516738</v>
      </c>
      <c r="J22" s="64" t="s">
        <v>13</v>
      </c>
      <c r="K22" s="65">
        <v>5.79128575412935</v>
      </c>
      <c r="L22" s="64" t="s">
        <v>13</v>
      </c>
      <c r="M22" s="65">
        <v>5.491128032180147</v>
      </c>
      <c r="N22" s="64" t="s">
        <v>191</v>
      </c>
      <c r="P22" s="64" t="s">
        <v>191</v>
      </c>
      <c r="R22" s="64" t="s">
        <v>191</v>
      </c>
      <c r="T22" s="64" t="s">
        <v>191</v>
      </c>
      <c r="U22" s="65">
        <f>AVERAGE(G22,I22/2,K22/2,M22/2)</f>
        <v>5.143434052554951</v>
      </c>
    </row>
    <row r="23" spans="1:21" s="65" customFormat="1" ht="12.75">
      <c r="A23" s="65" t="s">
        <v>181</v>
      </c>
      <c r="B23" s="65" t="s">
        <v>106</v>
      </c>
      <c r="C23" s="65" t="s">
        <v>273</v>
      </c>
      <c r="D23" s="65" t="s">
        <v>69</v>
      </c>
      <c r="E23" s="63" t="s">
        <v>15</v>
      </c>
      <c r="F23" s="64" t="s">
        <v>13</v>
      </c>
      <c r="G23" s="65">
        <v>3.9718419057467638</v>
      </c>
      <c r="H23" s="64" t="s">
        <v>13</v>
      </c>
      <c r="I23" s="65">
        <v>4.0989130828761535</v>
      </c>
      <c r="J23" s="64" t="s">
        <v>13</v>
      </c>
      <c r="K23" s="65">
        <v>3.8608571694195666</v>
      </c>
      <c r="L23" s="64" t="s">
        <v>13</v>
      </c>
      <c r="M23" s="65">
        <v>4.2210712084105895</v>
      </c>
      <c r="N23" s="64" t="s">
        <v>191</v>
      </c>
      <c r="P23" s="64" t="s">
        <v>191</v>
      </c>
      <c r="R23" s="64" t="s">
        <v>191</v>
      </c>
      <c r="T23" s="64" t="s">
        <v>191</v>
      </c>
      <c r="U23" s="65">
        <f>AVERAGE(G23,I23,K23,M23)</f>
        <v>4.038170841613268</v>
      </c>
    </row>
    <row r="24" spans="1:21" s="65" customFormat="1" ht="12.75">
      <c r="A24" s="65" t="s">
        <v>181</v>
      </c>
      <c r="B24" s="65" t="s">
        <v>101</v>
      </c>
      <c r="C24" s="65" t="s">
        <v>273</v>
      </c>
      <c r="D24" s="65" t="s">
        <v>69</v>
      </c>
      <c r="E24" s="63" t="s">
        <v>15</v>
      </c>
      <c r="F24" s="64" t="s">
        <v>13</v>
      </c>
      <c r="G24" s="65">
        <v>24.632095180177405</v>
      </c>
      <c r="H24" s="64" t="s">
        <v>13</v>
      </c>
      <c r="I24" s="65">
        <v>25.32294607980267</v>
      </c>
      <c r="J24" s="64" t="s">
        <v>13</v>
      </c>
      <c r="K24" s="65">
        <v>23.923525674796245</v>
      </c>
      <c r="L24" s="64" t="s">
        <v>13</v>
      </c>
      <c r="M24" s="65">
        <v>26.185583337131177</v>
      </c>
      <c r="N24" s="64" t="s">
        <v>191</v>
      </c>
      <c r="P24" s="64" t="s">
        <v>191</v>
      </c>
      <c r="R24" s="64" t="s">
        <v>191</v>
      </c>
      <c r="T24" s="64" t="s">
        <v>191</v>
      </c>
      <c r="U24" s="65">
        <f>AVERAGE(G24,I24,K24,M24)</f>
        <v>25.016037567976877</v>
      </c>
    </row>
    <row r="25" spans="2:21" s="65" customFormat="1" ht="12.75">
      <c r="B25" s="65" t="s">
        <v>76</v>
      </c>
      <c r="C25" s="65" t="s">
        <v>273</v>
      </c>
      <c r="D25" s="65" t="s">
        <v>69</v>
      </c>
      <c r="E25" s="63" t="s">
        <v>15</v>
      </c>
      <c r="F25" s="64">
        <v>100</v>
      </c>
      <c r="G25" s="65">
        <f>G18+G21</f>
        <v>672.609731803435</v>
      </c>
      <c r="H25" s="64">
        <v>100</v>
      </c>
      <c r="I25" s="65">
        <f>I18+I21</f>
        <v>900.6840451347098</v>
      </c>
      <c r="J25" s="64">
        <v>100</v>
      </c>
      <c r="K25" s="65">
        <f>K18+K21</f>
        <v>825.5684674145459</v>
      </c>
      <c r="L25" s="64">
        <v>100</v>
      </c>
      <c r="M25" s="65">
        <f>M18+M21</f>
        <v>1612.8974569624108</v>
      </c>
      <c r="N25" s="64"/>
      <c r="P25" s="64"/>
      <c r="R25" s="64"/>
      <c r="T25" s="64">
        <v>100</v>
      </c>
      <c r="U25" s="65">
        <f>AVERAGE(G25,I25,K25,M25)</f>
        <v>1002.9399253287754</v>
      </c>
    </row>
    <row r="26" spans="2:21" s="65" customFormat="1" ht="12.75">
      <c r="B26" s="65" t="s">
        <v>77</v>
      </c>
      <c r="C26" s="65" t="s">
        <v>273</v>
      </c>
      <c r="D26" s="65" t="s">
        <v>69</v>
      </c>
      <c r="E26" s="63" t="s">
        <v>15</v>
      </c>
      <c r="F26" s="64">
        <v>100</v>
      </c>
      <c r="G26" s="65">
        <f>G15+G17+G19</f>
        <v>26.22416962474984</v>
      </c>
      <c r="H26" s="64">
        <v>100</v>
      </c>
      <c r="I26" s="65">
        <f>I15+I17+I19</f>
        <v>27.382823586705687</v>
      </c>
      <c r="J26" s="64">
        <v>100</v>
      </c>
      <c r="K26" s="65">
        <f>K15+K17+K19</f>
        <v>27.40519151507639</v>
      </c>
      <c r="L26" s="64">
        <v>100</v>
      </c>
      <c r="M26" s="65">
        <f>M15+M17+M19</f>
        <v>32.106289412645154</v>
      </c>
      <c r="N26" s="64"/>
      <c r="P26" s="64"/>
      <c r="R26" s="64"/>
      <c r="T26" s="64">
        <v>100</v>
      </c>
      <c r="U26" s="65">
        <f>AVERAGE(G26,I26,K26,M26)</f>
        <v>28.27961853479427</v>
      </c>
    </row>
    <row r="27" spans="7:21" s="66" customFormat="1" ht="12.75"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2:20" s="65" customFormat="1" ht="12.75">
      <c r="B28" t="s">
        <v>97</v>
      </c>
      <c r="C28" s="66" t="s">
        <v>193</v>
      </c>
      <c r="D28" s="65" t="s">
        <v>272</v>
      </c>
      <c r="F28" s="64"/>
      <c r="H28" s="64"/>
      <c r="J28" s="64"/>
      <c r="L28" s="64"/>
      <c r="N28" s="64"/>
      <c r="P28" s="64"/>
      <c r="R28" s="64"/>
      <c r="T28" s="64"/>
    </row>
    <row r="29" spans="1:21" s="66" customFormat="1" ht="12.75">
      <c r="A29" s="66" t="s">
        <v>181</v>
      </c>
      <c r="B29" s="29" t="s">
        <v>92</v>
      </c>
      <c r="C29" s="29"/>
      <c r="D29" s="29" t="s">
        <v>16</v>
      </c>
      <c r="G29" s="64">
        <v>67423</v>
      </c>
      <c r="H29" s="64"/>
      <c r="I29" s="64">
        <v>67557</v>
      </c>
      <c r="J29" s="64"/>
      <c r="K29" s="64">
        <v>66296</v>
      </c>
      <c r="L29" s="64"/>
      <c r="M29" s="64">
        <v>71085</v>
      </c>
      <c r="N29" s="64"/>
      <c r="O29" s="64">
        <v>61555</v>
      </c>
      <c r="P29" s="64"/>
      <c r="Q29" s="64">
        <v>64051</v>
      </c>
      <c r="R29" s="64"/>
      <c r="S29" s="64">
        <v>59003</v>
      </c>
      <c r="T29" s="64"/>
      <c r="U29" s="64"/>
    </row>
    <row r="30" spans="1:21" s="66" customFormat="1" ht="12.75">
      <c r="A30" s="66" t="s">
        <v>181</v>
      </c>
      <c r="B30" s="29" t="s">
        <v>94</v>
      </c>
      <c r="C30" s="29"/>
      <c r="D30" s="29" t="s">
        <v>14</v>
      </c>
      <c r="G30" s="64">
        <v>5.5</v>
      </c>
      <c r="H30" s="64"/>
      <c r="I30" s="64">
        <v>5.5</v>
      </c>
      <c r="J30" s="64"/>
      <c r="K30" s="64">
        <v>4.9</v>
      </c>
      <c r="L30" s="64"/>
      <c r="M30" s="64">
        <v>6.4</v>
      </c>
      <c r="N30" s="64"/>
      <c r="O30" s="64">
        <v>7.1</v>
      </c>
      <c r="P30" s="64"/>
      <c r="Q30" s="64">
        <v>7</v>
      </c>
      <c r="R30" s="64"/>
      <c r="S30" s="64">
        <v>6</v>
      </c>
      <c r="T30" s="64"/>
      <c r="U30" s="64"/>
    </row>
    <row r="31" spans="1:21" s="66" customFormat="1" ht="12.75">
      <c r="A31" s="66" t="s">
        <v>181</v>
      </c>
      <c r="B31" s="29" t="s">
        <v>95</v>
      </c>
      <c r="C31" s="29"/>
      <c r="D31" s="29" t="s">
        <v>14</v>
      </c>
      <c r="G31" s="64">
        <v>37.8</v>
      </c>
      <c r="H31" s="64"/>
      <c r="I31" s="64">
        <v>36.4</v>
      </c>
      <c r="J31" s="64"/>
      <c r="K31" s="64">
        <v>37.8</v>
      </c>
      <c r="L31" s="64"/>
      <c r="M31" s="64">
        <v>35.8</v>
      </c>
      <c r="N31" s="64"/>
      <c r="O31" s="64">
        <v>35.8</v>
      </c>
      <c r="P31" s="64"/>
      <c r="Q31" s="64">
        <v>36.8</v>
      </c>
      <c r="R31" s="64"/>
      <c r="S31" s="64">
        <v>37.9</v>
      </c>
      <c r="T31" s="64"/>
      <c r="U31" s="64"/>
    </row>
    <row r="32" spans="1:21" s="66" customFormat="1" ht="12.75">
      <c r="A32" s="66" t="s">
        <v>181</v>
      </c>
      <c r="B32" s="29" t="s">
        <v>91</v>
      </c>
      <c r="C32" s="29"/>
      <c r="D32" s="29" t="s">
        <v>18</v>
      </c>
      <c r="G32" s="64">
        <v>471</v>
      </c>
      <c r="H32" s="64"/>
      <c r="I32" s="64">
        <v>486</v>
      </c>
      <c r="J32" s="64"/>
      <c r="K32" s="64">
        <v>492</v>
      </c>
      <c r="L32" s="64"/>
      <c r="M32" s="64">
        <v>466</v>
      </c>
      <c r="N32" s="64"/>
      <c r="O32" s="64">
        <v>406</v>
      </c>
      <c r="P32" s="64"/>
      <c r="Q32" s="64">
        <v>411</v>
      </c>
      <c r="R32" s="64"/>
      <c r="S32" s="64">
        <v>409</v>
      </c>
      <c r="T32" s="64"/>
      <c r="U32" s="64"/>
    </row>
    <row r="33" spans="7:21" s="66" customFormat="1" ht="12.75"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2:21" s="66" customFormat="1" ht="12.75">
      <c r="B34" t="s">
        <v>97</v>
      </c>
      <c r="C34" s="66" t="s">
        <v>132</v>
      </c>
      <c r="D34" s="66" t="s">
        <v>273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s="66" customFormat="1" ht="12.75">
      <c r="A35" s="66" t="s">
        <v>181</v>
      </c>
      <c r="B35" s="29" t="s">
        <v>92</v>
      </c>
      <c r="C35" s="29"/>
      <c r="D35" s="29" t="s">
        <v>16</v>
      </c>
      <c r="G35" s="64">
        <v>72246</v>
      </c>
      <c r="H35" s="64"/>
      <c r="I35" s="64">
        <v>69418</v>
      </c>
      <c r="J35" s="64"/>
      <c r="K35" s="64">
        <v>67344</v>
      </c>
      <c r="L35" s="64"/>
      <c r="M35" s="64">
        <v>68532</v>
      </c>
      <c r="N35" s="64"/>
      <c r="O35" s="64"/>
      <c r="P35" s="64"/>
      <c r="Q35" s="64"/>
      <c r="R35" s="64"/>
      <c r="S35" s="64"/>
      <c r="T35" s="64"/>
      <c r="U35" s="64"/>
    </row>
    <row r="36" spans="1:21" s="66" customFormat="1" ht="12.75">
      <c r="A36" s="66" t="s">
        <v>181</v>
      </c>
      <c r="B36" s="29" t="s">
        <v>94</v>
      </c>
      <c r="C36" s="29"/>
      <c r="D36" s="29" t="s">
        <v>14</v>
      </c>
      <c r="G36" s="64">
        <v>5.5</v>
      </c>
      <c r="H36" s="64"/>
      <c r="I36" s="64">
        <v>5.5</v>
      </c>
      <c r="J36" s="64"/>
      <c r="K36" s="64">
        <v>4.9</v>
      </c>
      <c r="L36" s="64"/>
      <c r="M36" s="64">
        <v>6.4</v>
      </c>
      <c r="N36" s="64"/>
      <c r="O36" s="64"/>
      <c r="P36" s="64"/>
      <c r="Q36" s="64"/>
      <c r="R36" s="64"/>
      <c r="S36" s="64"/>
      <c r="T36" s="64"/>
      <c r="U36" s="64"/>
    </row>
    <row r="37" spans="1:21" s="66" customFormat="1" ht="12.75">
      <c r="A37" s="66" t="s">
        <v>181</v>
      </c>
      <c r="B37" s="29" t="s">
        <v>95</v>
      </c>
      <c r="C37" s="29"/>
      <c r="D37" s="29" t="s">
        <v>14</v>
      </c>
      <c r="G37" s="64">
        <v>38</v>
      </c>
      <c r="H37" s="64"/>
      <c r="I37" s="64">
        <v>37.7</v>
      </c>
      <c r="J37" s="64"/>
      <c r="K37" s="64">
        <v>38.1</v>
      </c>
      <c r="L37" s="64"/>
      <c r="M37" s="64">
        <v>38.3</v>
      </c>
      <c r="N37" s="64"/>
      <c r="O37" s="64"/>
      <c r="P37" s="64"/>
      <c r="Q37" s="64"/>
      <c r="R37" s="64"/>
      <c r="S37" s="64"/>
      <c r="T37" s="64"/>
      <c r="U37" s="64"/>
    </row>
    <row r="38" spans="1:21" s="66" customFormat="1" ht="12.75">
      <c r="A38" s="66" t="s">
        <v>181</v>
      </c>
      <c r="B38" s="29" t="s">
        <v>91</v>
      </c>
      <c r="C38" s="29"/>
      <c r="D38" s="29" t="s">
        <v>18</v>
      </c>
      <c r="G38" s="64">
        <v>476</v>
      </c>
      <c r="H38" s="64"/>
      <c r="I38" s="64">
        <v>486</v>
      </c>
      <c r="J38" s="64"/>
      <c r="K38" s="64">
        <v>497</v>
      </c>
      <c r="L38" s="64"/>
      <c r="M38" s="64">
        <v>466</v>
      </c>
      <c r="N38" s="64"/>
      <c r="O38" s="64"/>
      <c r="P38" s="64"/>
      <c r="Q38" s="64"/>
      <c r="R38" s="64"/>
      <c r="S38" s="64"/>
      <c r="T38" s="64"/>
      <c r="U38" s="64"/>
    </row>
    <row r="39" spans="7:21" s="66" customFormat="1" ht="12.75"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2:21" s="66" customFormat="1" ht="12.75">
      <c r="B40" t="s">
        <v>97</v>
      </c>
      <c r="C40" s="66" t="s">
        <v>194</v>
      </c>
      <c r="D40" s="66" t="s">
        <v>274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1:21" s="66" customFormat="1" ht="12.75">
      <c r="A41" s="66" t="s">
        <v>181</v>
      </c>
      <c r="B41" s="29" t="s">
        <v>92</v>
      </c>
      <c r="C41" s="29"/>
      <c r="D41" s="29" t="s">
        <v>16</v>
      </c>
      <c r="G41" s="64">
        <v>69488</v>
      </c>
      <c r="H41" s="64"/>
      <c r="I41" s="64">
        <v>70860</v>
      </c>
      <c r="J41" s="64"/>
      <c r="K41" s="64">
        <v>69491</v>
      </c>
      <c r="L41" s="64"/>
      <c r="M41" s="64">
        <v>69400</v>
      </c>
      <c r="N41" s="64"/>
      <c r="O41" s="64"/>
      <c r="P41" s="64"/>
      <c r="Q41" s="64"/>
      <c r="R41" s="64"/>
      <c r="S41" s="64"/>
      <c r="T41" s="64"/>
      <c r="U41" s="64"/>
    </row>
    <row r="42" spans="1:21" s="66" customFormat="1" ht="12.75">
      <c r="A42" s="66" t="s">
        <v>181</v>
      </c>
      <c r="B42" s="29" t="s">
        <v>94</v>
      </c>
      <c r="C42" s="29"/>
      <c r="D42" s="29" t="s">
        <v>14</v>
      </c>
      <c r="G42" s="64">
        <v>5.5</v>
      </c>
      <c r="H42" s="64"/>
      <c r="I42" s="64">
        <v>5.5</v>
      </c>
      <c r="J42" s="64"/>
      <c r="K42" s="64">
        <v>4.9</v>
      </c>
      <c r="L42" s="64"/>
      <c r="M42" s="64">
        <v>6.4</v>
      </c>
      <c r="N42" s="64"/>
      <c r="O42" s="64"/>
      <c r="P42" s="64"/>
      <c r="Q42" s="64"/>
      <c r="R42" s="64"/>
      <c r="S42" s="64"/>
      <c r="T42" s="64"/>
      <c r="U42" s="64"/>
    </row>
    <row r="43" spans="1:21" s="66" customFormat="1" ht="12.75">
      <c r="A43" s="66" t="s">
        <v>181</v>
      </c>
      <c r="B43" s="29" t="s">
        <v>95</v>
      </c>
      <c r="C43" s="29"/>
      <c r="D43" s="29" t="s">
        <v>14</v>
      </c>
      <c r="G43" s="64">
        <v>38</v>
      </c>
      <c r="H43" s="64"/>
      <c r="I43" s="64">
        <v>37.7</v>
      </c>
      <c r="J43" s="64"/>
      <c r="K43" s="64">
        <v>38.1</v>
      </c>
      <c r="L43" s="64"/>
      <c r="M43" s="64">
        <v>38.3</v>
      </c>
      <c r="N43" s="64"/>
      <c r="O43" s="64"/>
      <c r="P43" s="64"/>
      <c r="Q43" s="64"/>
      <c r="R43" s="64"/>
      <c r="S43" s="64"/>
      <c r="T43" s="64"/>
      <c r="U43" s="64"/>
    </row>
    <row r="44" spans="1:21" s="66" customFormat="1" ht="12.75">
      <c r="A44" s="66" t="s">
        <v>181</v>
      </c>
      <c r="B44" s="29" t="s">
        <v>91</v>
      </c>
      <c r="C44" s="29"/>
      <c r="D44" s="29" t="s">
        <v>18</v>
      </c>
      <c r="G44" s="64">
        <v>476</v>
      </c>
      <c r="H44" s="64"/>
      <c r="I44" s="64">
        <v>488</v>
      </c>
      <c r="J44" s="64"/>
      <c r="K44" s="64">
        <v>497</v>
      </c>
      <c r="L44" s="64"/>
      <c r="M44" s="64">
        <v>468</v>
      </c>
      <c r="N44" s="64"/>
      <c r="O44" s="64"/>
      <c r="P44" s="64"/>
      <c r="Q44" s="64"/>
      <c r="R44" s="64"/>
      <c r="S44" s="64"/>
      <c r="T44" s="64"/>
      <c r="U44" s="64"/>
    </row>
    <row r="45" spans="7:21" s="66" customFormat="1" ht="12.75"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2:21" s="66" customFormat="1" ht="12.75">
      <c r="B46" t="s">
        <v>97</v>
      </c>
      <c r="C46" s="66" t="s">
        <v>195</v>
      </c>
      <c r="D46" s="66" t="s">
        <v>275</v>
      </c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 s="66" customFormat="1" ht="12.75">
      <c r="A47" s="66" t="s">
        <v>181</v>
      </c>
      <c r="B47" s="29" t="s">
        <v>92</v>
      </c>
      <c r="C47" s="29"/>
      <c r="D47" s="29" t="s">
        <v>16</v>
      </c>
      <c r="G47" s="64">
        <v>55019</v>
      </c>
      <c r="H47" s="64"/>
      <c r="I47" s="64">
        <v>59014</v>
      </c>
      <c r="J47" s="64"/>
      <c r="K47" s="64">
        <v>60274</v>
      </c>
      <c r="L47" s="64"/>
      <c r="M47" s="64">
        <v>63350</v>
      </c>
      <c r="N47" s="64"/>
      <c r="O47" s="64"/>
      <c r="P47" s="64"/>
      <c r="Q47" s="64"/>
      <c r="R47" s="64"/>
      <c r="S47" s="64"/>
      <c r="T47" s="64"/>
      <c r="U47" s="64"/>
    </row>
    <row r="48" spans="1:21" s="66" customFormat="1" ht="12.75">
      <c r="A48" s="66" t="s">
        <v>181</v>
      </c>
      <c r="B48" s="29" t="s">
        <v>94</v>
      </c>
      <c r="C48" s="29"/>
      <c r="D48" s="29" t="s">
        <v>14</v>
      </c>
      <c r="G48" s="64">
        <v>5.5</v>
      </c>
      <c r="H48" s="64"/>
      <c r="I48" s="64">
        <v>5.5</v>
      </c>
      <c r="J48" s="64"/>
      <c r="K48" s="64">
        <v>4.9</v>
      </c>
      <c r="L48" s="64"/>
      <c r="M48" s="64">
        <v>6.4</v>
      </c>
      <c r="N48" s="64"/>
      <c r="O48" s="64"/>
      <c r="P48" s="64"/>
      <c r="Q48" s="64"/>
      <c r="R48" s="64"/>
      <c r="S48" s="64"/>
      <c r="T48" s="64"/>
      <c r="U48" s="64"/>
    </row>
    <row r="49" spans="1:21" s="66" customFormat="1" ht="12.75">
      <c r="A49" s="66" t="s">
        <v>181</v>
      </c>
      <c r="B49" s="29" t="s">
        <v>95</v>
      </c>
      <c r="C49" s="29"/>
      <c r="D49" s="29" t="s">
        <v>14</v>
      </c>
      <c r="G49" s="64">
        <v>45.8</v>
      </c>
      <c r="H49" s="64"/>
      <c r="I49" s="64">
        <v>37.9</v>
      </c>
      <c r="J49" s="64"/>
      <c r="K49" s="64">
        <v>38.3</v>
      </c>
      <c r="L49" s="64"/>
      <c r="M49" s="64">
        <v>37.8</v>
      </c>
      <c r="N49" s="64"/>
      <c r="O49" s="64"/>
      <c r="P49" s="64"/>
      <c r="Q49" s="64"/>
      <c r="R49" s="64"/>
      <c r="S49" s="64"/>
      <c r="T49" s="64"/>
      <c r="U49" s="64"/>
    </row>
    <row r="50" spans="1:21" s="66" customFormat="1" ht="12.75">
      <c r="A50" s="66" t="s">
        <v>181</v>
      </c>
      <c r="B50" s="29" t="s">
        <v>91</v>
      </c>
      <c r="C50" s="29"/>
      <c r="D50" s="29" t="s">
        <v>18</v>
      </c>
      <c r="G50" s="64">
        <v>473</v>
      </c>
      <c r="H50" s="64"/>
      <c r="I50" s="64">
        <v>485</v>
      </c>
      <c r="J50" s="64"/>
      <c r="K50" s="64">
        <v>494</v>
      </c>
      <c r="L50" s="64"/>
      <c r="M50" s="64">
        <v>464</v>
      </c>
      <c r="N50" s="64"/>
      <c r="O50" s="64"/>
      <c r="P50" s="64"/>
      <c r="Q50" s="64"/>
      <c r="R50" s="64"/>
      <c r="S50" s="64"/>
      <c r="T50" s="64"/>
      <c r="U50" s="64"/>
    </row>
    <row r="51" spans="6:20" s="65" customFormat="1" ht="12.75">
      <c r="F51" s="64"/>
      <c r="H51" s="64"/>
      <c r="J51" s="64"/>
      <c r="L51" s="64"/>
      <c r="N51" s="64"/>
      <c r="P51" s="64"/>
      <c r="R51" s="64"/>
      <c r="T51" s="64"/>
    </row>
    <row r="52" spans="2:21" s="65" customFormat="1" ht="12.75">
      <c r="B52" s="67" t="s">
        <v>186</v>
      </c>
      <c r="F52" s="64"/>
      <c r="G52" s="3" t="s">
        <v>147</v>
      </c>
      <c r="H52" s="3"/>
      <c r="I52" s="3" t="s">
        <v>148</v>
      </c>
      <c r="J52" s="3"/>
      <c r="K52" s="3" t="s">
        <v>149</v>
      </c>
      <c r="L52" s="3"/>
      <c r="M52" s="3" t="s">
        <v>150</v>
      </c>
      <c r="N52" s="3"/>
      <c r="O52" s="3" t="s">
        <v>170</v>
      </c>
      <c r="P52" s="3"/>
      <c r="Q52" s="3" t="s">
        <v>168</v>
      </c>
      <c r="R52" s="3"/>
      <c r="S52" s="3" t="s">
        <v>169</v>
      </c>
      <c r="T52" s="3"/>
      <c r="U52" s="3" t="s">
        <v>70</v>
      </c>
    </row>
    <row r="53" spans="6:20" s="65" customFormat="1" ht="12.75">
      <c r="F53" s="64"/>
      <c r="H53" s="64"/>
      <c r="J53" s="64"/>
      <c r="L53" s="64"/>
      <c r="N53" s="64"/>
      <c r="P53" s="64"/>
      <c r="R53" s="64"/>
      <c r="T53" s="64"/>
    </row>
    <row r="54" spans="1:21" s="63" customFormat="1" ht="12.75">
      <c r="A54" s="63" t="s">
        <v>186</v>
      </c>
      <c r="B54" s="63" t="s">
        <v>19</v>
      </c>
      <c r="C54" s="63" t="s">
        <v>272</v>
      </c>
      <c r="D54" s="63" t="s">
        <v>20</v>
      </c>
      <c r="E54" s="63" t="s">
        <v>15</v>
      </c>
      <c r="F54" s="64" t="s">
        <v>191</v>
      </c>
      <c r="G54" s="63">
        <v>0.016300161696</v>
      </c>
      <c r="H54" s="64" t="s">
        <v>191</v>
      </c>
      <c r="I54" s="63">
        <v>0.035100348192</v>
      </c>
      <c r="J54" s="64" t="s">
        <v>191</v>
      </c>
      <c r="K54" s="63">
        <v>0.035600353152</v>
      </c>
      <c r="L54" s="64" t="s">
        <v>191</v>
      </c>
      <c r="M54" s="63">
        <v>0.038600382912</v>
      </c>
      <c r="N54" s="64" t="s">
        <v>191</v>
      </c>
      <c r="P54" s="64" t="s">
        <v>191</v>
      </c>
      <c r="R54" s="64" t="s">
        <v>191</v>
      </c>
      <c r="T54" s="64" t="s">
        <v>191</v>
      </c>
      <c r="U54" s="63">
        <f>AVERAGE(G54,I54,K54,M54)</f>
        <v>0.031400311488</v>
      </c>
    </row>
    <row r="55" spans="1:21" s="65" customFormat="1" ht="12.75">
      <c r="A55" s="65" t="s">
        <v>186</v>
      </c>
      <c r="B55" s="65" t="s">
        <v>134</v>
      </c>
      <c r="C55" s="63" t="s">
        <v>272</v>
      </c>
      <c r="D55" s="65" t="s">
        <v>66</v>
      </c>
      <c r="E55" s="63" t="s">
        <v>15</v>
      </c>
      <c r="F55" s="64" t="s">
        <v>191</v>
      </c>
      <c r="G55" s="65">
        <v>596</v>
      </c>
      <c r="H55" s="64" t="s">
        <v>191</v>
      </c>
      <c r="I55" s="65">
        <v>655</v>
      </c>
      <c r="J55" s="64" t="s">
        <v>191</v>
      </c>
      <c r="K55" s="65">
        <v>813</v>
      </c>
      <c r="L55" s="64" t="s">
        <v>191</v>
      </c>
      <c r="M55" s="65">
        <v>900</v>
      </c>
      <c r="N55" s="64" t="s">
        <v>191</v>
      </c>
      <c r="P55" s="64" t="s">
        <v>191</v>
      </c>
      <c r="R55" s="64" t="s">
        <v>191</v>
      </c>
      <c r="T55" s="64" t="s">
        <v>191</v>
      </c>
      <c r="U55" s="65">
        <f aca="true" t="shared" si="2" ref="U55:U60">AVERAGE(G55,I55,K55,M55)</f>
        <v>741</v>
      </c>
    </row>
    <row r="56" spans="1:21" s="65" customFormat="1" ht="12.75">
      <c r="A56" s="65" t="s">
        <v>186</v>
      </c>
      <c r="B56" s="65" t="s">
        <v>96</v>
      </c>
      <c r="C56" s="63" t="s">
        <v>272</v>
      </c>
      <c r="D56" s="65" t="s">
        <v>66</v>
      </c>
      <c r="E56" s="63" t="s">
        <v>15</v>
      </c>
      <c r="F56" s="64" t="s">
        <v>191</v>
      </c>
      <c r="G56" s="65">
        <v>356</v>
      </c>
      <c r="H56" s="64" t="s">
        <v>191</v>
      </c>
      <c r="I56" s="65">
        <v>384</v>
      </c>
      <c r="J56" s="64" t="s">
        <v>191</v>
      </c>
      <c r="K56" s="65">
        <v>440</v>
      </c>
      <c r="L56" s="64" t="s">
        <v>191</v>
      </c>
      <c r="M56" s="65">
        <v>471</v>
      </c>
      <c r="N56" s="64" t="s">
        <v>191</v>
      </c>
      <c r="P56" s="64" t="s">
        <v>191</v>
      </c>
      <c r="R56" s="64" t="s">
        <v>191</v>
      </c>
      <c r="T56" s="64" t="s">
        <v>191</v>
      </c>
      <c r="U56" s="65">
        <f t="shared" si="2"/>
        <v>412.75</v>
      </c>
    </row>
    <row r="57" spans="1:21" s="65" customFormat="1" ht="12.75">
      <c r="A57" s="65" t="s">
        <v>186</v>
      </c>
      <c r="B57" s="65" t="s">
        <v>136</v>
      </c>
      <c r="C57" s="63" t="s">
        <v>272</v>
      </c>
      <c r="D57" s="65" t="s">
        <v>66</v>
      </c>
      <c r="E57" s="63" t="s">
        <v>15</v>
      </c>
      <c r="F57" s="64" t="s">
        <v>191</v>
      </c>
      <c r="G57" s="65">
        <v>19.1</v>
      </c>
      <c r="H57" s="64" t="s">
        <v>191</v>
      </c>
      <c r="I57" s="65">
        <v>19.9</v>
      </c>
      <c r="J57" s="64" t="s">
        <v>191</v>
      </c>
      <c r="K57" s="65">
        <v>20</v>
      </c>
      <c r="L57" s="64" t="s">
        <v>191</v>
      </c>
      <c r="M57" s="65">
        <v>19</v>
      </c>
      <c r="N57" s="64" t="s">
        <v>191</v>
      </c>
      <c r="P57" s="64" t="s">
        <v>191</v>
      </c>
      <c r="R57" s="64" t="s">
        <v>191</v>
      </c>
      <c r="T57" s="64" t="s">
        <v>191</v>
      </c>
      <c r="U57" s="65">
        <f t="shared" si="2"/>
        <v>19.5</v>
      </c>
    </row>
    <row r="58" spans="1:21" s="65" customFormat="1" ht="12.75">
      <c r="A58" s="65" t="s">
        <v>186</v>
      </c>
      <c r="B58" s="65" t="s">
        <v>135</v>
      </c>
      <c r="C58" s="63" t="s">
        <v>272</v>
      </c>
      <c r="D58" s="65" t="s">
        <v>66</v>
      </c>
      <c r="E58" s="63" t="s">
        <v>15</v>
      </c>
      <c r="F58" s="64" t="s">
        <v>191</v>
      </c>
      <c r="G58" s="65">
        <v>13.3</v>
      </c>
      <c r="H58" s="64" t="s">
        <v>191</v>
      </c>
      <c r="I58" s="65">
        <v>16.44</v>
      </c>
      <c r="J58" s="64" t="s">
        <v>191</v>
      </c>
      <c r="K58" s="65">
        <v>14.12</v>
      </c>
      <c r="L58" s="64" t="s">
        <v>191</v>
      </c>
      <c r="M58" s="65">
        <v>13.4</v>
      </c>
      <c r="N58" s="64" t="s">
        <v>191</v>
      </c>
      <c r="P58" s="64" t="s">
        <v>191</v>
      </c>
      <c r="R58" s="64" t="s">
        <v>191</v>
      </c>
      <c r="T58" s="64" t="s">
        <v>191</v>
      </c>
      <c r="U58" s="65">
        <f t="shared" si="2"/>
        <v>14.315</v>
      </c>
    </row>
    <row r="59" spans="1:21" s="65" customFormat="1" ht="12.75">
      <c r="A59" s="65" t="s">
        <v>186</v>
      </c>
      <c r="B59" s="65" t="s">
        <v>21</v>
      </c>
      <c r="C59" s="63" t="s">
        <v>272</v>
      </c>
      <c r="D59" s="65" t="s">
        <v>66</v>
      </c>
      <c r="E59" s="63" t="s">
        <v>15</v>
      </c>
      <c r="F59" s="64" t="s">
        <v>191</v>
      </c>
      <c r="G59" s="65">
        <f>61.9*1000/1516*(21-7)/(21-G$69)</f>
        <v>43.9719910696164</v>
      </c>
      <c r="H59" s="64" t="s">
        <v>191</v>
      </c>
      <c r="I59" s="65">
        <f>65.3*1000/1516*(21-7)/(21-I$69)</f>
        <v>46.38725390704283</v>
      </c>
      <c r="J59" s="64" t="s">
        <v>191</v>
      </c>
      <c r="K59" s="65">
        <f>90.4*1000/1516*(21-7)/(21-K$69)</f>
        <v>58.790739157902564</v>
      </c>
      <c r="L59" s="64" t="s">
        <v>191</v>
      </c>
      <c r="M59" s="65">
        <f>63.2*1000/1516*(21-7)/(21-M$69)</f>
        <v>43.88279405638106</v>
      </c>
      <c r="N59" s="64" t="s">
        <v>191</v>
      </c>
      <c r="P59" s="64" t="s">
        <v>191</v>
      </c>
      <c r="R59" s="64" t="s">
        <v>191</v>
      </c>
      <c r="T59" s="64" t="s">
        <v>191</v>
      </c>
      <c r="U59" s="65">
        <f t="shared" si="2"/>
        <v>48.25819454773571</v>
      </c>
    </row>
    <row r="60" spans="1:21" s="65" customFormat="1" ht="12.75">
      <c r="A60" s="65" t="s">
        <v>186</v>
      </c>
      <c r="B60" s="65" t="s">
        <v>68</v>
      </c>
      <c r="C60" s="63" t="s">
        <v>272</v>
      </c>
      <c r="D60" s="65" t="s">
        <v>66</v>
      </c>
      <c r="E60" s="63" t="s">
        <v>15</v>
      </c>
      <c r="F60" s="64" t="s">
        <v>191</v>
      </c>
      <c r="G60" s="65">
        <f>6.79*1000/2948*(21-7)/(21-G$69)</f>
        <v>2.480430017743451</v>
      </c>
      <c r="H60" s="64" t="s">
        <v>191</v>
      </c>
      <c r="I60" s="65">
        <f>5.59*1000/2948*(21-7)/(21-I$69)</f>
        <v>2.0420624151967433</v>
      </c>
      <c r="J60" s="64" t="s">
        <v>191</v>
      </c>
      <c r="K60" s="65">
        <f>11.4*1000/2948*(21-7)/(21-K$69)</f>
        <v>3.8125633038393185</v>
      </c>
      <c r="L60" s="64" t="s">
        <v>191</v>
      </c>
      <c r="M60" s="65">
        <f>7.02*1000/2948*(21-7)/(21-M$69)</f>
        <v>2.5066057273441404</v>
      </c>
      <c r="N60" s="64" t="s">
        <v>191</v>
      </c>
      <c r="P60" s="64" t="s">
        <v>191</v>
      </c>
      <c r="R60" s="64" t="s">
        <v>191</v>
      </c>
      <c r="T60" s="64" t="s">
        <v>191</v>
      </c>
      <c r="U60" s="65">
        <f t="shared" si="2"/>
        <v>2.7104153660309134</v>
      </c>
    </row>
    <row r="61" spans="2:21" s="65" customFormat="1" ht="12.75">
      <c r="B61" s="65" t="s">
        <v>271</v>
      </c>
      <c r="C61" s="63" t="s">
        <v>272</v>
      </c>
      <c r="D61" s="65" t="s">
        <v>66</v>
      </c>
      <c r="E61" s="63" t="s">
        <v>15</v>
      </c>
      <c r="F61" s="64"/>
      <c r="G61" s="65">
        <f>G59+2*G60</f>
        <v>48.9328511051033</v>
      </c>
      <c r="H61" s="64"/>
      <c r="I61" s="65">
        <f>I59+2*I60</f>
        <v>50.47137873743632</v>
      </c>
      <c r="J61" s="64"/>
      <c r="K61" s="65">
        <f>K59+2*K60</f>
        <v>66.4158657655812</v>
      </c>
      <c r="L61" s="64"/>
      <c r="M61" s="65">
        <f>M59+2*M60</f>
        <v>48.89600551106934</v>
      </c>
      <c r="N61" s="64"/>
      <c r="P61" s="64"/>
      <c r="R61" s="64"/>
      <c r="T61" s="64"/>
      <c r="U61" s="65">
        <f>AVERAGE(G61,I61,K61,M61)</f>
        <v>53.67902527979754</v>
      </c>
    </row>
    <row r="62" spans="6:20" s="65" customFormat="1" ht="12.75">
      <c r="F62" s="64"/>
      <c r="H62" s="64"/>
      <c r="J62" s="64"/>
      <c r="L62" s="64"/>
      <c r="N62" s="64"/>
      <c r="P62" s="64"/>
      <c r="R62" s="64"/>
      <c r="T62" s="64"/>
    </row>
    <row r="63" spans="1:21" s="66" customFormat="1" ht="12.75">
      <c r="A63" s="66" t="s">
        <v>186</v>
      </c>
      <c r="B63" s="66" t="s">
        <v>247</v>
      </c>
      <c r="C63" s="66" t="s">
        <v>273</v>
      </c>
      <c r="D63" s="66" t="s">
        <v>14</v>
      </c>
      <c r="G63" s="64">
        <v>99.9996</v>
      </c>
      <c r="H63" s="64"/>
      <c r="I63" s="64">
        <v>99.99988</v>
      </c>
      <c r="J63" s="64"/>
      <c r="K63" s="64">
        <v>99.99989</v>
      </c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1" s="66" customFormat="1" ht="12.75">
      <c r="A64" s="66" t="s">
        <v>186</v>
      </c>
      <c r="B64" s="66" t="s">
        <v>248</v>
      </c>
      <c r="C64" s="66" t="s">
        <v>273</v>
      </c>
      <c r="D64" s="66" t="s">
        <v>14</v>
      </c>
      <c r="G64" s="64">
        <v>99.99987</v>
      </c>
      <c r="H64" s="64"/>
      <c r="I64" s="64">
        <v>99.99988</v>
      </c>
      <c r="J64" s="64"/>
      <c r="K64" s="64">
        <v>99.99987</v>
      </c>
      <c r="L64" s="64"/>
      <c r="M64" s="64">
        <v>99.99995</v>
      </c>
      <c r="N64" s="64"/>
      <c r="O64" s="64"/>
      <c r="P64" s="64"/>
      <c r="Q64" s="64"/>
      <c r="R64" s="64"/>
      <c r="S64" s="64"/>
      <c r="T64" s="64"/>
      <c r="U64" s="64"/>
    </row>
    <row r="65" spans="1:21" s="66" customFormat="1" ht="12.75">
      <c r="A65" s="66" t="s">
        <v>186</v>
      </c>
      <c r="B65" s="66" t="s">
        <v>249</v>
      </c>
      <c r="C65" s="66" t="s">
        <v>273</v>
      </c>
      <c r="D65" s="66" t="s">
        <v>14</v>
      </c>
      <c r="G65" s="64">
        <v>99.99997</v>
      </c>
      <c r="H65" s="64"/>
      <c r="I65" s="64">
        <v>99.99997</v>
      </c>
      <c r="J65" s="64"/>
      <c r="K65" s="64">
        <v>99.99997</v>
      </c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6:20" s="65" customFormat="1" ht="12.75">
      <c r="F66" s="64"/>
      <c r="H66" s="64"/>
      <c r="J66" s="64"/>
      <c r="L66" s="64"/>
      <c r="N66" s="64"/>
      <c r="P66" s="64"/>
      <c r="R66" s="64"/>
      <c r="T66" s="64"/>
    </row>
    <row r="67" spans="2:20" s="65" customFormat="1" ht="12.75">
      <c r="B67" t="s">
        <v>97</v>
      </c>
      <c r="C67" s="66" t="s">
        <v>193</v>
      </c>
      <c r="D67" s="65" t="s">
        <v>272</v>
      </c>
      <c r="F67" s="64"/>
      <c r="H67" s="64"/>
      <c r="J67" s="64"/>
      <c r="L67" s="64"/>
      <c r="N67" s="64"/>
      <c r="P67" s="64"/>
      <c r="R67" s="64"/>
      <c r="T67" s="64"/>
    </row>
    <row r="68" spans="1:21" s="66" customFormat="1" ht="12.75">
      <c r="A68" s="66" t="s">
        <v>186</v>
      </c>
      <c r="B68" s="29" t="s">
        <v>92</v>
      </c>
      <c r="C68" s="29"/>
      <c r="D68" s="29" t="s">
        <v>16</v>
      </c>
      <c r="G68" s="64">
        <v>66914</v>
      </c>
      <c r="H68" s="64"/>
      <c r="I68" s="64">
        <v>64624</v>
      </c>
      <c r="J68" s="64"/>
      <c r="K68" s="64">
        <v>63569</v>
      </c>
      <c r="L68" s="64"/>
      <c r="M68" s="64">
        <v>64868</v>
      </c>
      <c r="N68" s="64"/>
      <c r="O68" s="64"/>
      <c r="P68" s="64"/>
      <c r="Q68" s="64"/>
      <c r="R68" s="64"/>
      <c r="S68" s="64"/>
      <c r="T68" s="64"/>
      <c r="U68" s="64"/>
    </row>
    <row r="69" spans="1:21" s="66" customFormat="1" ht="12.75">
      <c r="A69" s="66" t="s">
        <v>186</v>
      </c>
      <c r="B69" s="29" t="s">
        <v>94</v>
      </c>
      <c r="C69" s="29"/>
      <c r="D69" s="29" t="s">
        <v>14</v>
      </c>
      <c r="G69" s="64">
        <v>8</v>
      </c>
      <c r="H69" s="64"/>
      <c r="I69" s="64">
        <v>8</v>
      </c>
      <c r="J69" s="64"/>
      <c r="K69" s="64">
        <v>6.8</v>
      </c>
      <c r="L69" s="64"/>
      <c r="M69" s="64">
        <v>7.7</v>
      </c>
      <c r="N69" s="64"/>
      <c r="O69" s="64"/>
      <c r="P69" s="64"/>
      <c r="Q69" s="64"/>
      <c r="R69" s="64"/>
      <c r="S69" s="64"/>
      <c r="T69" s="64"/>
      <c r="U69" s="64"/>
    </row>
    <row r="70" spans="1:21" s="66" customFormat="1" ht="12.75">
      <c r="A70" s="66" t="s">
        <v>186</v>
      </c>
      <c r="B70" s="29" t="s">
        <v>95</v>
      </c>
      <c r="C70" s="29"/>
      <c r="D70" s="29" t="s">
        <v>14</v>
      </c>
      <c r="G70" s="64">
        <v>40.1</v>
      </c>
      <c r="H70" s="64"/>
      <c r="I70" s="64">
        <v>40.1</v>
      </c>
      <c r="J70" s="64"/>
      <c r="K70" s="64">
        <v>43.3</v>
      </c>
      <c r="L70" s="64"/>
      <c r="M70" s="64">
        <v>44.7</v>
      </c>
      <c r="N70" s="64"/>
      <c r="O70" s="64"/>
      <c r="P70" s="64"/>
      <c r="Q70" s="64"/>
      <c r="R70" s="64"/>
      <c r="S70" s="64"/>
      <c r="T70" s="64"/>
      <c r="U70" s="64"/>
    </row>
    <row r="71" spans="1:21" s="66" customFormat="1" ht="12.75">
      <c r="A71" s="66" t="s">
        <v>186</v>
      </c>
      <c r="B71" s="29" t="s">
        <v>91</v>
      </c>
      <c r="C71" s="29"/>
      <c r="D71" s="29" t="s">
        <v>18</v>
      </c>
      <c r="G71" s="64">
        <v>387</v>
      </c>
      <c r="H71" s="64"/>
      <c r="I71" s="64">
        <v>370</v>
      </c>
      <c r="J71" s="64"/>
      <c r="K71" s="64">
        <v>380</v>
      </c>
      <c r="L71" s="64"/>
      <c r="M71" s="64">
        <v>370</v>
      </c>
      <c r="N71" s="64"/>
      <c r="O71" s="64"/>
      <c r="P71" s="64"/>
      <c r="Q71" s="64"/>
      <c r="R71" s="64"/>
      <c r="S71" s="64"/>
      <c r="T71" s="64"/>
      <c r="U71" s="64"/>
    </row>
    <row r="72" spans="7:21" s="66" customFormat="1" ht="12.75"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2:21" s="66" customFormat="1" ht="12.75">
      <c r="B73" t="s">
        <v>97</v>
      </c>
      <c r="C73" s="66" t="s">
        <v>196</v>
      </c>
      <c r="D73" s="66" t="s">
        <v>273</v>
      </c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  <row r="74" spans="1:21" s="66" customFormat="1" ht="12.75">
      <c r="A74" s="66" t="s">
        <v>186</v>
      </c>
      <c r="B74" s="29" t="s">
        <v>92</v>
      </c>
      <c r="C74" s="29"/>
      <c r="D74" s="29" t="s">
        <v>16</v>
      </c>
      <c r="G74" s="64">
        <v>67235</v>
      </c>
      <c r="H74" s="64"/>
      <c r="I74" s="64">
        <v>65017</v>
      </c>
      <c r="J74" s="64"/>
      <c r="K74" s="64">
        <v>64953</v>
      </c>
      <c r="L74" s="64"/>
      <c r="M74" s="64">
        <v>67005</v>
      </c>
      <c r="N74" s="64"/>
      <c r="O74" s="64"/>
      <c r="P74" s="64"/>
      <c r="Q74" s="64"/>
      <c r="R74" s="64"/>
      <c r="S74" s="64"/>
      <c r="T74" s="64"/>
      <c r="U74" s="64"/>
    </row>
    <row r="75" spans="1:21" s="66" customFormat="1" ht="12.75">
      <c r="A75" s="66" t="s">
        <v>186</v>
      </c>
      <c r="B75" s="29" t="s">
        <v>94</v>
      </c>
      <c r="C75" s="29"/>
      <c r="D75" s="29" t="s">
        <v>14</v>
      </c>
      <c r="G75" s="64">
        <v>8</v>
      </c>
      <c r="H75" s="64"/>
      <c r="I75" s="64">
        <v>8</v>
      </c>
      <c r="J75" s="64"/>
      <c r="K75" s="64">
        <v>6.8</v>
      </c>
      <c r="L75" s="64"/>
      <c r="M75" s="64">
        <v>7.7</v>
      </c>
      <c r="N75" s="64"/>
      <c r="O75" s="64"/>
      <c r="P75" s="64"/>
      <c r="Q75" s="64"/>
      <c r="R75" s="64"/>
      <c r="S75" s="64"/>
      <c r="T75" s="64"/>
      <c r="U75" s="64"/>
    </row>
    <row r="76" spans="1:21" s="66" customFormat="1" ht="12.75">
      <c r="A76" s="66" t="s">
        <v>186</v>
      </c>
      <c r="B76" s="29" t="s">
        <v>95</v>
      </c>
      <c r="C76" s="29"/>
      <c r="D76" s="29" t="s">
        <v>14</v>
      </c>
      <c r="G76" s="64">
        <v>39.5</v>
      </c>
      <c r="H76" s="64"/>
      <c r="I76" s="64">
        <v>39.9</v>
      </c>
      <c r="J76" s="64"/>
      <c r="K76" s="64">
        <v>42.3</v>
      </c>
      <c r="L76" s="64"/>
      <c r="M76" s="64">
        <v>42</v>
      </c>
      <c r="N76" s="64"/>
      <c r="O76" s="64"/>
      <c r="P76" s="64"/>
      <c r="Q76" s="64"/>
      <c r="R76" s="64"/>
      <c r="S76" s="64"/>
      <c r="T76" s="64"/>
      <c r="U76" s="64"/>
    </row>
    <row r="77" spans="1:21" s="66" customFormat="1" ht="12.75">
      <c r="A77" s="66" t="s">
        <v>186</v>
      </c>
      <c r="B77" s="29" t="s">
        <v>91</v>
      </c>
      <c r="C77" s="29"/>
      <c r="D77" s="29" t="s">
        <v>18</v>
      </c>
      <c r="G77" s="64">
        <v>386</v>
      </c>
      <c r="H77" s="64"/>
      <c r="I77" s="64">
        <v>368</v>
      </c>
      <c r="J77" s="64"/>
      <c r="K77" s="64">
        <v>381</v>
      </c>
      <c r="L77" s="64"/>
      <c r="M77" s="64">
        <v>367</v>
      </c>
      <c r="N77" s="64"/>
      <c r="O77" s="64"/>
      <c r="P77" s="64"/>
      <c r="Q77" s="64"/>
      <c r="R77" s="64"/>
      <c r="S77" s="64"/>
      <c r="T77" s="64"/>
      <c r="U77" s="64"/>
    </row>
    <row r="78" spans="6:20" s="65" customFormat="1" ht="12.75">
      <c r="F78" s="64"/>
      <c r="H78" s="64"/>
      <c r="J78" s="64"/>
      <c r="L78" s="64"/>
      <c r="N78" s="64"/>
      <c r="P78" s="64"/>
      <c r="R78" s="64"/>
      <c r="T78" s="64"/>
    </row>
    <row r="79" spans="2:21" s="65" customFormat="1" ht="12.75">
      <c r="B79" s="67" t="s">
        <v>187</v>
      </c>
      <c r="F79" s="64"/>
      <c r="G79" s="3" t="s">
        <v>147</v>
      </c>
      <c r="H79" s="3"/>
      <c r="I79" s="3" t="s">
        <v>148</v>
      </c>
      <c r="J79" s="3"/>
      <c r="K79" s="3" t="s">
        <v>149</v>
      </c>
      <c r="L79" s="3"/>
      <c r="M79" s="3" t="s">
        <v>150</v>
      </c>
      <c r="N79" s="3"/>
      <c r="O79" s="3" t="s">
        <v>170</v>
      </c>
      <c r="P79" s="3"/>
      <c r="Q79" s="3" t="s">
        <v>168</v>
      </c>
      <c r="R79" s="3"/>
      <c r="S79" s="3" t="s">
        <v>169</v>
      </c>
      <c r="T79" s="3"/>
      <c r="U79" s="3" t="s">
        <v>70</v>
      </c>
    </row>
    <row r="80" spans="6:20" s="65" customFormat="1" ht="12.75">
      <c r="F80" s="64"/>
      <c r="H80" s="64"/>
      <c r="J80" s="64"/>
      <c r="L80" s="64"/>
      <c r="N80" s="64"/>
      <c r="P80" s="64"/>
      <c r="R80" s="64"/>
      <c r="T80" s="64"/>
    </row>
    <row r="81" spans="1:21" s="63" customFormat="1" ht="12.75">
      <c r="A81" s="63" t="s">
        <v>187</v>
      </c>
      <c r="B81" s="63" t="s">
        <v>19</v>
      </c>
      <c r="C81" s="63" t="s">
        <v>272</v>
      </c>
      <c r="D81" s="63" t="s">
        <v>20</v>
      </c>
      <c r="E81" s="63" t="s">
        <v>15</v>
      </c>
      <c r="F81" s="64" t="s">
        <v>191</v>
      </c>
      <c r="G81" s="63">
        <v>0.02734896200109937</v>
      </c>
      <c r="H81" s="64" t="s">
        <v>191</v>
      </c>
      <c r="I81" s="63">
        <v>0.024800246016</v>
      </c>
      <c r="J81" s="64" t="s">
        <v>191</v>
      </c>
      <c r="K81" s="63">
        <v>0.036600363072</v>
      </c>
      <c r="L81" s="64" t="s">
        <v>191</v>
      </c>
      <c r="M81" s="63">
        <v>0.028900286688</v>
      </c>
      <c r="N81" s="64" t="s">
        <v>191</v>
      </c>
      <c r="P81" s="64" t="s">
        <v>191</v>
      </c>
      <c r="R81" s="64" t="s">
        <v>191</v>
      </c>
      <c r="T81" s="64" t="s">
        <v>191</v>
      </c>
      <c r="U81" s="63">
        <f aca="true" t="shared" si="3" ref="U81:U86">AVERAGE(G81,I81,K81,M81)</f>
        <v>0.029412464444274842</v>
      </c>
    </row>
    <row r="82" spans="1:21" s="65" customFormat="1" ht="12.75">
      <c r="A82" s="65" t="s">
        <v>187</v>
      </c>
      <c r="B82" s="65" t="s">
        <v>134</v>
      </c>
      <c r="C82" s="63" t="s">
        <v>272</v>
      </c>
      <c r="D82" s="65" t="s">
        <v>66</v>
      </c>
      <c r="E82" s="63" t="s">
        <v>15</v>
      </c>
      <c r="F82" s="64" t="s">
        <v>191</v>
      </c>
      <c r="G82" s="65">
        <v>556</v>
      </c>
      <c r="H82" s="64" t="s">
        <v>191</v>
      </c>
      <c r="I82" s="65">
        <v>913</v>
      </c>
      <c r="J82" s="64" t="s">
        <v>191</v>
      </c>
      <c r="K82" s="65">
        <v>569</v>
      </c>
      <c r="L82" s="64" t="s">
        <v>191</v>
      </c>
      <c r="M82" s="65">
        <v>784</v>
      </c>
      <c r="N82" s="64" t="s">
        <v>191</v>
      </c>
      <c r="P82" s="64" t="s">
        <v>191</v>
      </c>
      <c r="R82" s="64" t="s">
        <v>191</v>
      </c>
      <c r="T82" s="64" t="s">
        <v>191</v>
      </c>
      <c r="U82" s="65">
        <f t="shared" si="3"/>
        <v>705.5</v>
      </c>
    </row>
    <row r="83" spans="1:21" s="65" customFormat="1" ht="12.75">
      <c r="A83" s="65" t="s">
        <v>187</v>
      </c>
      <c r="B83" s="65" t="s">
        <v>136</v>
      </c>
      <c r="C83" s="63" t="s">
        <v>272</v>
      </c>
      <c r="D83" s="65" t="s">
        <v>66</v>
      </c>
      <c r="E83" s="63" t="s">
        <v>15</v>
      </c>
      <c r="F83" s="64" t="s">
        <v>191</v>
      </c>
      <c r="G83" s="65">
        <v>18.1</v>
      </c>
      <c r="H83" s="64" t="s">
        <v>191</v>
      </c>
      <c r="I83" s="65">
        <v>17.8</v>
      </c>
      <c r="J83" s="64" t="s">
        <v>191</v>
      </c>
      <c r="K83" s="65">
        <v>18.8</v>
      </c>
      <c r="L83" s="64" t="s">
        <v>191</v>
      </c>
      <c r="M83" s="65">
        <v>7.2</v>
      </c>
      <c r="N83" s="64" t="s">
        <v>191</v>
      </c>
      <c r="P83" s="64" t="s">
        <v>191</v>
      </c>
      <c r="R83" s="64" t="s">
        <v>191</v>
      </c>
      <c r="T83" s="64" t="s">
        <v>191</v>
      </c>
      <c r="U83" s="65">
        <f t="shared" si="3"/>
        <v>15.475000000000001</v>
      </c>
    </row>
    <row r="84" spans="1:21" s="65" customFormat="1" ht="12.75">
      <c r="A84" s="65" t="s">
        <v>187</v>
      </c>
      <c r="B84" s="65" t="s">
        <v>21</v>
      </c>
      <c r="C84" s="63" t="s">
        <v>272</v>
      </c>
      <c r="D84" s="65" t="s">
        <v>66</v>
      </c>
      <c r="E84" s="63" t="s">
        <v>15</v>
      </c>
      <c r="F84" s="64" t="s">
        <v>191</v>
      </c>
      <c r="G84" s="65">
        <v>49.917332615355</v>
      </c>
      <c r="H84" s="64" t="s">
        <v>191</v>
      </c>
      <c r="I84" s="65">
        <v>46.1261427964672</v>
      </c>
      <c r="J84" s="64" t="s">
        <v>191</v>
      </c>
      <c r="K84" s="65">
        <v>57.024508019633416</v>
      </c>
      <c r="L84" s="64" t="s">
        <v>191</v>
      </c>
      <c r="M84" s="65">
        <v>70.76887661923736</v>
      </c>
      <c r="N84" s="64" t="s">
        <v>191</v>
      </c>
      <c r="P84" s="64" t="s">
        <v>191</v>
      </c>
      <c r="R84" s="64" t="s">
        <v>191</v>
      </c>
      <c r="T84" s="64" t="s">
        <v>191</v>
      </c>
      <c r="U84" s="65">
        <f t="shared" si="3"/>
        <v>55.95921501267324</v>
      </c>
    </row>
    <row r="85" spans="1:21" s="65" customFormat="1" ht="12.75">
      <c r="A85" s="65" t="s">
        <v>187</v>
      </c>
      <c r="B85" s="65" t="s">
        <v>68</v>
      </c>
      <c r="C85" s="63" t="s">
        <v>272</v>
      </c>
      <c r="D85" s="65" t="s">
        <v>66</v>
      </c>
      <c r="E85" s="63" t="s">
        <v>15</v>
      </c>
      <c r="F85" s="64" t="s">
        <v>13</v>
      </c>
      <c r="G85" s="65">
        <v>0.007341486688070366</v>
      </c>
      <c r="H85" s="64" t="s">
        <v>13</v>
      </c>
      <c r="I85" s="65">
        <v>0.0032159609828272847</v>
      </c>
      <c r="J85" s="64" t="s">
        <v>191</v>
      </c>
      <c r="K85" s="65">
        <v>0.016591233720571513</v>
      </c>
      <c r="L85" s="64" t="s">
        <v>191</v>
      </c>
      <c r="M85" s="65">
        <v>0.024850607594574473</v>
      </c>
      <c r="N85" s="64" t="s">
        <v>191</v>
      </c>
      <c r="P85" s="64" t="s">
        <v>191</v>
      </c>
      <c r="R85" s="64" t="s">
        <v>191</v>
      </c>
      <c r="T85" s="64" t="s">
        <v>191</v>
      </c>
      <c r="U85" s="65">
        <f t="shared" si="3"/>
        <v>0.01299982224651091</v>
      </c>
    </row>
    <row r="86" spans="2:21" s="65" customFormat="1" ht="12.75">
      <c r="B86" s="65" t="s">
        <v>271</v>
      </c>
      <c r="C86" s="63" t="s">
        <v>272</v>
      </c>
      <c r="D86" s="65" t="s">
        <v>66</v>
      </c>
      <c r="E86" s="63" t="s">
        <v>15</v>
      </c>
      <c r="F86" s="64">
        <v>0.029405930894895325</v>
      </c>
      <c r="G86" s="65">
        <v>49.932015594000006</v>
      </c>
      <c r="H86" s="64">
        <v>0.013942256721545403</v>
      </c>
      <c r="I86" s="65">
        <v>46.132574721999994</v>
      </c>
      <c r="J86" s="64">
        <v>0</v>
      </c>
      <c r="K86" s="65">
        <v>57.057690488</v>
      </c>
      <c r="L86" s="64">
        <v>0</v>
      </c>
      <c r="M86" s="65">
        <v>70.818577836</v>
      </c>
      <c r="N86" s="64"/>
      <c r="P86" s="64"/>
      <c r="R86" s="64"/>
      <c r="T86" s="64">
        <v>0.009428782281282407</v>
      </c>
      <c r="U86" s="65">
        <v>55.985214654</v>
      </c>
    </row>
    <row r="87" spans="1:21" s="65" customFormat="1" ht="12.75">
      <c r="A87" s="65" t="s">
        <v>187</v>
      </c>
      <c r="B87" s="65" t="s">
        <v>102</v>
      </c>
      <c r="C87" s="63" t="s">
        <v>272</v>
      </c>
      <c r="D87" s="65" t="s">
        <v>69</v>
      </c>
      <c r="E87" s="63" t="s">
        <v>15</v>
      </c>
      <c r="F87" s="64" t="s">
        <v>13</v>
      </c>
      <c r="G87" s="65">
        <v>0.9448450347881088</v>
      </c>
      <c r="H87" s="64" t="s">
        <v>191</v>
      </c>
      <c r="I87" s="65">
        <v>1.7533206831119545</v>
      </c>
      <c r="J87" s="64" t="s">
        <v>191</v>
      </c>
      <c r="K87" s="65">
        <v>2.6689437065148645</v>
      </c>
      <c r="L87" s="64" t="s">
        <v>13</v>
      </c>
      <c r="M87" s="65">
        <v>1.1493991144845</v>
      </c>
      <c r="N87" s="64" t="s">
        <v>191</v>
      </c>
      <c r="P87" s="64" t="s">
        <v>191</v>
      </c>
      <c r="R87" s="64" t="s">
        <v>191</v>
      </c>
      <c r="T87" s="64" t="s">
        <v>191</v>
      </c>
      <c r="U87" s="65">
        <f aca="true" t="shared" si="4" ref="U87:U94">AVERAGE(G87,I87,K87,M87)</f>
        <v>1.6291271347248568</v>
      </c>
    </row>
    <row r="88" spans="1:21" s="65" customFormat="1" ht="12.75">
      <c r="A88" s="65" t="s">
        <v>187</v>
      </c>
      <c r="B88" s="65" t="s">
        <v>98</v>
      </c>
      <c r="C88" s="63" t="s">
        <v>272</v>
      </c>
      <c r="D88" s="65" t="s">
        <v>69</v>
      </c>
      <c r="E88" s="63" t="s">
        <v>15</v>
      </c>
      <c r="F88" s="64" t="s">
        <v>13</v>
      </c>
      <c r="G88" s="65">
        <v>0.09448450347881089</v>
      </c>
      <c r="H88" s="64" t="s">
        <v>13</v>
      </c>
      <c r="I88" s="65">
        <v>0.092438962681847</v>
      </c>
      <c r="J88" s="64" t="s">
        <v>13</v>
      </c>
      <c r="K88" s="65">
        <v>0.08912713472485768</v>
      </c>
      <c r="L88" s="64" t="s">
        <v>13</v>
      </c>
      <c r="M88" s="65">
        <v>0.08211385199240988</v>
      </c>
      <c r="N88" s="64" t="s">
        <v>191</v>
      </c>
      <c r="P88" s="64" t="s">
        <v>191</v>
      </c>
      <c r="R88" s="64" t="s">
        <v>191</v>
      </c>
      <c r="T88" s="64" t="s">
        <v>191</v>
      </c>
      <c r="U88" s="65">
        <f t="shared" si="4"/>
        <v>0.08954111321948137</v>
      </c>
    </row>
    <row r="89" spans="1:21" s="65" customFormat="1" ht="12.75">
      <c r="A89" s="65" t="s">
        <v>187</v>
      </c>
      <c r="B89" s="65" t="s">
        <v>99</v>
      </c>
      <c r="C89" s="63" t="s">
        <v>272</v>
      </c>
      <c r="D89" s="65" t="s">
        <v>69</v>
      </c>
      <c r="E89" s="63" t="s">
        <v>15</v>
      </c>
      <c r="F89" s="64" t="s">
        <v>13</v>
      </c>
      <c r="G89" s="65">
        <v>48.21631878557875</v>
      </c>
      <c r="H89" s="64" t="s">
        <v>13</v>
      </c>
      <c r="I89" s="65">
        <v>39.254901960784316</v>
      </c>
      <c r="J89" s="64" t="s">
        <v>13</v>
      </c>
      <c r="K89" s="65">
        <v>39.157495256167</v>
      </c>
      <c r="L89" s="64" t="s">
        <v>13</v>
      </c>
      <c r="M89" s="65">
        <v>18.507273877292853</v>
      </c>
      <c r="N89" s="64" t="s">
        <v>191</v>
      </c>
      <c r="P89" s="64" t="s">
        <v>191</v>
      </c>
      <c r="R89" s="64" t="s">
        <v>191</v>
      </c>
      <c r="T89" s="64" t="s">
        <v>191</v>
      </c>
      <c r="U89" s="65">
        <f t="shared" si="4"/>
        <v>36.28399746995573</v>
      </c>
    </row>
    <row r="90" spans="1:21" s="65" customFormat="1" ht="12.75">
      <c r="A90" s="65" t="s">
        <v>187</v>
      </c>
      <c r="B90" s="65" t="s">
        <v>100</v>
      </c>
      <c r="C90" s="63" t="s">
        <v>272</v>
      </c>
      <c r="D90" s="65" t="s">
        <v>69</v>
      </c>
      <c r="E90" s="63" t="s">
        <v>15</v>
      </c>
      <c r="F90" s="64" t="s">
        <v>13</v>
      </c>
      <c r="G90" s="65">
        <v>0.28345351043643263</v>
      </c>
      <c r="H90" s="64" t="s">
        <v>13</v>
      </c>
      <c r="I90" s="65">
        <v>0.27760910815939277</v>
      </c>
      <c r="J90" s="64" t="s">
        <v>13</v>
      </c>
      <c r="K90" s="65">
        <v>0.2668943706514864</v>
      </c>
      <c r="L90" s="64" t="s">
        <v>13</v>
      </c>
      <c r="M90" s="65">
        <v>0.24643896268184695</v>
      </c>
      <c r="N90" s="64" t="s">
        <v>191</v>
      </c>
      <c r="P90" s="64" t="s">
        <v>191</v>
      </c>
      <c r="R90" s="64" t="s">
        <v>191</v>
      </c>
      <c r="T90" s="64" t="s">
        <v>191</v>
      </c>
      <c r="U90" s="65">
        <f t="shared" si="4"/>
        <v>0.26859898798228965</v>
      </c>
    </row>
    <row r="91" spans="1:21" s="65" customFormat="1" ht="12.75">
      <c r="A91" s="65" t="s">
        <v>187</v>
      </c>
      <c r="B91" s="65" t="s">
        <v>105</v>
      </c>
      <c r="C91" s="63" t="s">
        <v>272</v>
      </c>
      <c r="D91" s="65" t="s">
        <v>69</v>
      </c>
      <c r="E91" s="63" t="s">
        <v>15</v>
      </c>
      <c r="F91" s="64" t="s">
        <v>191</v>
      </c>
      <c r="G91" s="65">
        <v>40.326375711575</v>
      </c>
      <c r="H91" s="64" t="s">
        <v>191</v>
      </c>
      <c r="I91" s="65">
        <v>65.84693232131562</v>
      </c>
      <c r="J91" s="64" t="s">
        <v>191</v>
      </c>
      <c r="K91" s="65">
        <v>84.84123972169513</v>
      </c>
      <c r="L91" s="64" t="s">
        <v>191</v>
      </c>
      <c r="M91" s="65">
        <v>50.2618595825427</v>
      </c>
      <c r="N91" s="64" t="s">
        <v>191</v>
      </c>
      <c r="P91" s="64" t="s">
        <v>191</v>
      </c>
      <c r="R91" s="64" t="s">
        <v>191</v>
      </c>
      <c r="T91" s="64" t="s">
        <v>191</v>
      </c>
      <c r="U91" s="65">
        <f t="shared" si="4"/>
        <v>60.31910183428211</v>
      </c>
    </row>
    <row r="92" spans="1:21" s="65" customFormat="1" ht="12.75">
      <c r="A92" s="65" t="s">
        <v>187</v>
      </c>
      <c r="B92" s="65" t="s">
        <v>107</v>
      </c>
      <c r="C92" s="63" t="s">
        <v>272</v>
      </c>
      <c r="D92" s="65" t="s">
        <v>69</v>
      </c>
      <c r="E92" s="63" t="s">
        <v>15</v>
      </c>
      <c r="F92" s="64" t="s">
        <v>191</v>
      </c>
      <c r="G92" s="65">
        <v>13.247311827957</v>
      </c>
      <c r="H92" s="64" t="s">
        <v>191</v>
      </c>
      <c r="I92" s="65">
        <v>16.364326375711578</v>
      </c>
      <c r="J92" s="64" t="s">
        <v>191</v>
      </c>
      <c r="K92" s="65">
        <v>13.929158760278307</v>
      </c>
      <c r="L92" s="64" t="s">
        <v>191</v>
      </c>
      <c r="M92" s="65">
        <v>10.714737507906388</v>
      </c>
      <c r="N92" s="64" t="s">
        <v>191</v>
      </c>
      <c r="P92" s="64" t="s">
        <v>191</v>
      </c>
      <c r="R92" s="64" t="s">
        <v>191</v>
      </c>
      <c r="T92" s="64" t="s">
        <v>191</v>
      </c>
      <c r="U92" s="65">
        <f t="shared" si="4"/>
        <v>13.563883617963317</v>
      </c>
    </row>
    <row r="93" spans="1:21" s="65" customFormat="1" ht="12.75">
      <c r="A93" s="65" t="s">
        <v>187</v>
      </c>
      <c r="B93" s="65" t="s">
        <v>197</v>
      </c>
      <c r="C93" s="63" t="s">
        <v>272</v>
      </c>
      <c r="D93" s="65" t="s">
        <v>69</v>
      </c>
      <c r="E93" s="63" t="s">
        <v>15</v>
      </c>
      <c r="F93" s="64" t="s">
        <v>191</v>
      </c>
      <c r="G93" s="65">
        <v>37.111954459203</v>
      </c>
      <c r="H93" s="64" t="s">
        <v>191</v>
      </c>
      <c r="I93" s="65">
        <v>43.15117014547754</v>
      </c>
      <c r="J93" s="64" t="s">
        <v>191</v>
      </c>
      <c r="K93" s="65">
        <v>59.71030993042378</v>
      </c>
      <c r="L93" s="64" t="s">
        <v>191</v>
      </c>
      <c r="M93" s="65">
        <v>31.26755218216319</v>
      </c>
      <c r="N93" s="64" t="s">
        <v>191</v>
      </c>
      <c r="P93" s="64" t="s">
        <v>191</v>
      </c>
      <c r="R93" s="64" t="s">
        <v>191</v>
      </c>
      <c r="T93" s="64" t="s">
        <v>191</v>
      </c>
      <c r="U93" s="65">
        <f t="shared" si="4"/>
        <v>42.81024667931688</v>
      </c>
    </row>
    <row r="94" spans="1:21" s="65" customFormat="1" ht="12.75">
      <c r="A94" s="65" t="s">
        <v>187</v>
      </c>
      <c r="B94" s="65" t="s">
        <v>103</v>
      </c>
      <c r="C94" s="63" t="s">
        <v>272</v>
      </c>
      <c r="D94" s="65" t="s">
        <v>69</v>
      </c>
      <c r="E94" s="63" t="s">
        <v>15</v>
      </c>
      <c r="F94" s="64" t="s">
        <v>13</v>
      </c>
      <c r="G94" s="65">
        <v>893.2194813409235</v>
      </c>
      <c r="H94" s="64" t="s">
        <v>191</v>
      </c>
      <c r="I94" s="65">
        <v>1237.0651486401</v>
      </c>
      <c r="J94" s="64" t="s">
        <v>191</v>
      </c>
      <c r="K94" s="65">
        <v>1597.4699557242252</v>
      </c>
      <c r="L94" s="64" t="s">
        <v>13</v>
      </c>
      <c r="M94" s="65">
        <v>968.2226438962682</v>
      </c>
      <c r="N94" s="64" t="s">
        <v>191</v>
      </c>
      <c r="P94" s="64" t="s">
        <v>191</v>
      </c>
      <c r="R94" s="64" t="s">
        <v>191</v>
      </c>
      <c r="T94" s="64" t="s">
        <v>191</v>
      </c>
      <c r="U94" s="65">
        <f t="shared" si="4"/>
        <v>1173.9943074003793</v>
      </c>
    </row>
    <row r="95" spans="1:21" s="65" customFormat="1" ht="12.75">
      <c r="A95" s="65" t="s">
        <v>187</v>
      </c>
      <c r="B95" s="65" t="s">
        <v>111</v>
      </c>
      <c r="C95" s="63" t="s">
        <v>272</v>
      </c>
      <c r="D95" s="65" t="s">
        <v>69</v>
      </c>
      <c r="E95" s="63" t="s">
        <v>15</v>
      </c>
      <c r="F95" s="64" t="s">
        <v>191</v>
      </c>
      <c r="G95" s="65">
        <v>47.729285262492</v>
      </c>
      <c r="H95" s="64" t="s">
        <v>191</v>
      </c>
      <c r="I95" s="65">
        <v>8.06527514231499</v>
      </c>
      <c r="J95" s="64" t="s">
        <v>13</v>
      </c>
      <c r="K95" s="65">
        <v>14.221378874130298</v>
      </c>
      <c r="L95" s="64" t="s">
        <v>191</v>
      </c>
      <c r="M95" s="65">
        <v>13.929158760278307</v>
      </c>
      <c r="N95" s="64" t="s">
        <v>191</v>
      </c>
      <c r="P95" s="64" t="s">
        <v>191</v>
      </c>
      <c r="R95" s="64" t="s">
        <v>191</v>
      </c>
      <c r="T95" s="64">
        <f>K95/SUM(G95,I95,K95,M95)*100</f>
        <v>16.941285681132534</v>
      </c>
      <c r="U95" s="65">
        <f aca="true" t="shared" si="5" ref="U95:U101">AVERAGE(G95,I95,K95,M95)</f>
        <v>20.9862745098039</v>
      </c>
    </row>
    <row r="96" spans="1:21" s="65" customFormat="1" ht="12.75">
      <c r="A96" s="65" t="s">
        <v>187</v>
      </c>
      <c r="B96" s="65" t="s">
        <v>104</v>
      </c>
      <c r="C96" s="63" t="s">
        <v>272</v>
      </c>
      <c r="D96" s="65" t="s">
        <v>69</v>
      </c>
      <c r="E96" s="63" t="s">
        <v>15</v>
      </c>
      <c r="F96" s="64" t="s">
        <v>13</v>
      </c>
      <c r="G96" s="65">
        <v>5.483997469955725</v>
      </c>
      <c r="H96" s="64" t="s">
        <v>13</v>
      </c>
      <c r="I96" s="65">
        <v>3.2339025932953827</v>
      </c>
      <c r="J96" s="64" t="s">
        <v>13</v>
      </c>
      <c r="K96" s="65">
        <v>18.702087286527515</v>
      </c>
      <c r="L96" s="64" t="s">
        <v>13</v>
      </c>
      <c r="M96" s="65">
        <v>4.597596457938014</v>
      </c>
      <c r="N96" s="64" t="s">
        <v>191</v>
      </c>
      <c r="P96" s="64" t="s">
        <v>191</v>
      </c>
      <c r="R96" s="64" t="s">
        <v>191</v>
      </c>
      <c r="T96" s="64" t="s">
        <v>191</v>
      </c>
      <c r="U96" s="65">
        <f t="shared" si="5"/>
        <v>8.004395951929158</v>
      </c>
    </row>
    <row r="97" spans="1:21" s="65" customFormat="1" ht="12.75">
      <c r="A97" s="65" t="s">
        <v>187</v>
      </c>
      <c r="B97" s="65" t="s">
        <v>106</v>
      </c>
      <c r="C97" s="63" t="s">
        <v>272</v>
      </c>
      <c r="D97" s="65" t="s">
        <v>69</v>
      </c>
      <c r="E97" s="63" t="s">
        <v>15</v>
      </c>
      <c r="F97" s="64" t="s">
        <v>191</v>
      </c>
      <c r="G97" s="65">
        <v>0.49580012650221383</v>
      </c>
      <c r="H97" s="64" t="s">
        <v>13</v>
      </c>
      <c r="I97" s="65">
        <v>0.39254901960784316</v>
      </c>
      <c r="J97" s="64" t="s">
        <v>13</v>
      </c>
      <c r="K97" s="65">
        <v>0.51235926628716</v>
      </c>
      <c r="L97" s="64" t="s">
        <v>13</v>
      </c>
      <c r="M97" s="65">
        <v>0.7636685641998736</v>
      </c>
      <c r="N97" s="64" t="s">
        <v>191</v>
      </c>
      <c r="P97" s="64" t="s">
        <v>191</v>
      </c>
      <c r="R97" s="64" t="s">
        <v>191</v>
      </c>
      <c r="T97" s="64" t="s">
        <v>191</v>
      </c>
      <c r="U97" s="65">
        <f t="shared" si="5"/>
        <v>0.5410942441492727</v>
      </c>
    </row>
    <row r="98" spans="1:21" s="65" customFormat="1" ht="12.75">
      <c r="A98" s="65" t="s">
        <v>187</v>
      </c>
      <c r="B98" s="65" t="s">
        <v>101</v>
      </c>
      <c r="C98" s="63" t="s">
        <v>272</v>
      </c>
      <c r="D98" s="65" t="s">
        <v>69</v>
      </c>
      <c r="E98" s="63" t="s">
        <v>15</v>
      </c>
      <c r="F98" s="64" t="s">
        <v>13</v>
      </c>
      <c r="G98" s="65">
        <v>0.37793801391524356</v>
      </c>
      <c r="H98" s="64" t="s">
        <v>13</v>
      </c>
      <c r="I98" s="65">
        <v>0.27760910815939277</v>
      </c>
      <c r="J98" s="64" t="s">
        <v>13</v>
      </c>
      <c r="K98" s="65">
        <v>0.4451486401012018</v>
      </c>
      <c r="L98" s="64" t="s">
        <v>13</v>
      </c>
      <c r="M98" s="65">
        <v>0.32826059456040485</v>
      </c>
      <c r="N98" s="64" t="s">
        <v>191</v>
      </c>
      <c r="P98" s="64" t="s">
        <v>191</v>
      </c>
      <c r="R98" s="64" t="s">
        <v>191</v>
      </c>
      <c r="T98" s="64" t="s">
        <v>191</v>
      </c>
      <c r="U98" s="65">
        <f t="shared" si="5"/>
        <v>0.3572390891840607</v>
      </c>
    </row>
    <row r="99" spans="1:21" s="65" customFormat="1" ht="12.75">
      <c r="A99" s="65" t="s">
        <v>187</v>
      </c>
      <c r="B99" s="65" t="s">
        <v>146</v>
      </c>
      <c r="C99" s="63" t="s">
        <v>272</v>
      </c>
      <c r="D99" s="65" t="s">
        <v>69</v>
      </c>
      <c r="E99" s="63" t="s">
        <v>15</v>
      </c>
      <c r="F99" s="64" t="s">
        <v>191</v>
      </c>
      <c r="G99" s="65">
        <v>127.60278304870336</v>
      </c>
      <c r="H99" s="64" t="s">
        <v>191</v>
      </c>
      <c r="I99" s="65">
        <v>148.05819101834282</v>
      </c>
      <c r="J99" s="64" t="s">
        <v>191</v>
      </c>
      <c r="K99" s="65">
        <v>199.68374446552815</v>
      </c>
      <c r="L99" s="64" t="s">
        <v>191</v>
      </c>
      <c r="M99" s="65">
        <v>150.98039215686276</v>
      </c>
      <c r="N99" s="64" t="s">
        <v>191</v>
      </c>
      <c r="P99" s="64" t="s">
        <v>191</v>
      </c>
      <c r="R99" s="64" t="s">
        <v>191</v>
      </c>
      <c r="T99" s="64" t="s">
        <v>191</v>
      </c>
      <c r="U99" s="65">
        <f t="shared" si="5"/>
        <v>156.58127767235928</v>
      </c>
    </row>
    <row r="100" spans="2:21" s="65" customFormat="1" ht="12.75">
      <c r="B100" s="65" t="s">
        <v>76</v>
      </c>
      <c r="C100" s="63" t="s">
        <v>272</v>
      </c>
      <c r="D100" s="65" t="s">
        <v>69</v>
      </c>
      <c r="E100" s="63" t="s">
        <v>15</v>
      </c>
      <c r="F100" s="64">
        <v>95.7</v>
      </c>
      <c r="G100" s="65">
        <f>G91+G94</f>
        <v>933.5458570524985</v>
      </c>
      <c r="H100" s="64"/>
      <c r="I100" s="65">
        <f>I91+I94</f>
        <v>1302.9120809614155</v>
      </c>
      <c r="J100" s="64"/>
      <c r="K100" s="65">
        <f>K91+K94</f>
        <v>1682.3111954459202</v>
      </c>
      <c r="L100" s="64">
        <v>95.1</v>
      </c>
      <c r="M100" s="65">
        <f>M91+M94</f>
        <v>1018.4845034788109</v>
      </c>
      <c r="N100" s="64"/>
      <c r="P100" s="64"/>
      <c r="R100" s="64"/>
      <c r="T100" s="64">
        <v>37.7</v>
      </c>
      <c r="U100" s="65">
        <f t="shared" si="5"/>
        <v>1234.3134092346613</v>
      </c>
    </row>
    <row r="101" spans="2:21" s="65" customFormat="1" ht="12.75">
      <c r="B101" s="65" t="s">
        <v>77</v>
      </c>
      <c r="C101" s="63" t="s">
        <v>272</v>
      </c>
      <c r="D101" s="65" t="s">
        <v>69</v>
      </c>
      <c r="E101" s="63" t="s">
        <v>15</v>
      </c>
      <c r="F101" s="64">
        <v>2.8</v>
      </c>
      <c r="G101" s="65">
        <f>G88+G90+G92</f>
        <v>13.625249841872243</v>
      </c>
      <c r="H101" s="64">
        <v>2.2</v>
      </c>
      <c r="I101" s="65">
        <f>I88+I90+I92</f>
        <v>16.734374446552817</v>
      </c>
      <c r="J101" s="64">
        <v>2.5</v>
      </c>
      <c r="K101" s="65">
        <f>K88+K90+K92</f>
        <v>14.28518026565465</v>
      </c>
      <c r="L101" s="64">
        <v>3</v>
      </c>
      <c r="M101" s="65">
        <f>M88+M90+M92</f>
        <v>11.043290322580646</v>
      </c>
      <c r="N101" s="64"/>
      <c r="P101" s="64"/>
      <c r="R101" s="64"/>
      <c r="T101" s="64">
        <v>2.6</v>
      </c>
      <c r="U101" s="65">
        <f t="shared" si="5"/>
        <v>13.92202371916509</v>
      </c>
    </row>
    <row r="102" spans="3:20" s="65" customFormat="1" ht="12.75">
      <c r="C102" s="65" t="s">
        <v>320</v>
      </c>
      <c r="F102" s="64"/>
      <c r="H102" s="64"/>
      <c r="J102" s="64"/>
      <c r="L102" s="64"/>
      <c r="N102" s="64"/>
      <c r="P102" s="64"/>
      <c r="R102" s="64"/>
      <c r="T102" s="64"/>
    </row>
    <row r="103" spans="6:20" s="65" customFormat="1" ht="12.75">
      <c r="F103" s="64"/>
      <c r="H103" s="64"/>
      <c r="J103" s="64"/>
      <c r="L103" s="64"/>
      <c r="N103" s="64"/>
      <c r="P103" s="64"/>
      <c r="R103" s="64"/>
      <c r="T103" s="64"/>
    </row>
    <row r="104" spans="2:20" s="65" customFormat="1" ht="12.75">
      <c r="B104" t="s">
        <v>97</v>
      </c>
      <c r="C104" s="66" t="s">
        <v>132</v>
      </c>
      <c r="D104" s="63" t="s">
        <v>272</v>
      </c>
      <c r="F104" s="64"/>
      <c r="H104" s="64"/>
      <c r="J104" s="64"/>
      <c r="L104" s="64"/>
      <c r="N104" s="64"/>
      <c r="P104" s="64"/>
      <c r="R104" s="64"/>
      <c r="T104" s="64"/>
    </row>
    <row r="105" spans="1:21" s="66" customFormat="1" ht="12.75">
      <c r="A105" s="66" t="s">
        <v>187</v>
      </c>
      <c r="B105" s="29" t="s">
        <v>92</v>
      </c>
      <c r="C105" s="29"/>
      <c r="D105" s="29" t="s">
        <v>16</v>
      </c>
      <c r="G105" s="69">
        <v>64175.4</v>
      </c>
      <c r="H105" s="69"/>
      <c r="I105" s="69">
        <v>69541</v>
      </c>
      <c r="J105" s="69"/>
      <c r="K105" s="69">
        <v>69329.2</v>
      </c>
      <c r="L105" s="69"/>
      <c r="M105" s="69">
        <v>80872.3</v>
      </c>
      <c r="N105" s="64"/>
      <c r="O105" s="64"/>
      <c r="P105" s="64"/>
      <c r="Q105" s="64"/>
      <c r="R105" s="64"/>
      <c r="S105" s="64"/>
      <c r="T105" s="64"/>
      <c r="U105" s="64"/>
    </row>
    <row r="106" spans="1:21" s="66" customFormat="1" ht="12.75">
      <c r="A106" s="66" t="s">
        <v>187</v>
      </c>
      <c r="B106" s="29" t="s">
        <v>94</v>
      </c>
      <c r="C106" s="29"/>
      <c r="D106" s="29" t="s">
        <v>14</v>
      </c>
      <c r="G106" s="68">
        <v>6.627272727272728</v>
      </c>
      <c r="H106" s="68"/>
      <c r="I106" s="68">
        <v>6.627272727272728</v>
      </c>
      <c r="J106" s="68"/>
      <c r="K106" s="68">
        <v>6.627272727272728</v>
      </c>
      <c r="L106" s="68"/>
      <c r="M106" s="68">
        <v>6.627272727272728</v>
      </c>
      <c r="N106" s="64"/>
      <c r="O106" s="64"/>
      <c r="P106" s="64"/>
      <c r="Q106" s="64"/>
      <c r="R106" s="64"/>
      <c r="S106" s="64"/>
      <c r="T106" s="64"/>
      <c r="U106" s="64"/>
    </row>
    <row r="107" spans="1:21" s="66" customFormat="1" ht="12.75">
      <c r="A107" s="66" t="s">
        <v>187</v>
      </c>
      <c r="B107" s="29" t="s">
        <v>95</v>
      </c>
      <c r="C107" s="29"/>
      <c r="D107" s="29" t="s">
        <v>14</v>
      </c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</row>
    <row r="108" spans="1:21" s="66" customFormat="1" ht="12.75">
      <c r="A108" s="66" t="s">
        <v>187</v>
      </c>
      <c r="B108" s="29" t="s">
        <v>91</v>
      </c>
      <c r="C108" s="29"/>
      <c r="D108" s="29" t="s">
        <v>18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</row>
    <row r="109" spans="6:20" s="65" customFormat="1" ht="12.75">
      <c r="F109" s="64"/>
      <c r="H109" s="64"/>
      <c r="J109" s="64"/>
      <c r="L109" s="64"/>
      <c r="N109" s="64"/>
      <c r="P109" s="64"/>
      <c r="R109" s="64"/>
      <c r="T109" s="64"/>
    </row>
    <row r="110" spans="2:21" s="65" customFormat="1" ht="12.75">
      <c r="B110" s="67" t="s">
        <v>189</v>
      </c>
      <c r="F110" s="64"/>
      <c r="G110" s="3" t="s">
        <v>147</v>
      </c>
      <c r="H110" s="3"/>
      <c r="I110" s="3" t="s">
        <v>148</v>
      </c>
      <c r="J110" s="3"/>
      <c r="K110" s="3" t="s">
        <v>149</v>
      </c>
      <c r="L110" s="3"/>
      <c r="M110" s="3" t="s">
        <v>150</v>
      </c>
      <c r="N110" s="3"/>
      <c r="O110" s="3" t="s">
        <v>170</v>
      </c>
      <c r="P110" s="3"/>
      <c r="Q110" s="3" t="s">
        <v>168</v>
      </c>
      <c r="R110" s="3"/>
      <c r="S110" s="3" t="s">
        <v>169</v>
      </c>
      <c r="T110" s="3"/>
      <c r="U110" s="3" t="s">
        <v>70</v>
      </c>
    </row>
    <row r="111" spans="6:20" s="65" customFormat="1" ht="12.75">
      <c r="F111" s="64"/>
      <c r="H111" s="64"/>
      <c r="J111" s="64"/>
      <c r="L111" s="64"/>
      <c r="N111" s="64"/>
      <c r="P111" s="64"/>
      <c r="R111" s="64"/>
      <c r="T111" s="64"/>
    </row>
    <row r="112" spans="1:21" s="63" customFormat="1" ht="12.75">
      <c r="A112" s="63" t="s">
        <v>189</v>
      </c>
      <c r="B112" s="63" t="s">
        <v>19</v>
      </c>
      <c r="C112" s="63" t="s">
        <v>272</v>
      </c>
      <c r="D112" s="63" t="s">
        <v>20</v>
      </c>
      <c r="E112" s="63" t="s">
        <v>15</v>
      </c>
      <c r="F112" s="64" t="s">
        <v>191</v>
      </c>
      <c r="G112" s="63">
        <v>0.012700125984</v>
      </c>
      <c r="H112" s="64" t="s">
        <v>191</v>
      </c>
      <c r="I112" s="63">
        <v>0.012200121024</v>
      </c>
      <c r="J112" s="64" t="s">
        <v>191</v>
      </c>
      <c r="K112" s="63">
        <v>0.016300161696</v>
      </c>
      <c r="L112" s="64" t="s">
        <v>191</v>
      </c>
      <c r="M112" s="63">
        <v>0.009900098208</v>
      </c>
      <c r="N112" s="64" t="s">
        <v>191</v>
      </c>
      <c r="P112" s="64" t="s">
        <v>191</v>
      </c>
      <c r="R112" s="64" t="s">
        <v>191</v>
      </c>
      <c r="T112" s="64" t="s">
        <v>191</v>
      </c>
      <c r="U112" s="63">
        <f>AVERAGE(G112,I112,K112,M112)</f>
        <v>0.012775126728</v>
      </c>
    </row>
    <row r="113" spans="1:20" s="65" customFormat="1" ht="12.75">
      <c r="A113" s="65" t="s">
        <v>189</v>
      </c>
      <c r="B113" s="65" t="s">
        <v>134</v>
      </c>
      <c r="C113" s="65" t="s">
        <v>272</v>
      </c>
      <c r="D113" s="65" t="s">
        <v>66</v>
      </c>
      <c r="E113" s="63" t="s">
        <v>15</v>
      </c>
      <c r="F113" s="64" t="s">
        <v>191</v>
      </c>
      <c r="G113" s="65">
        <v>489</v>
      </c>
      <c r="H113" s="64" t="s">
        <v>191</v>
      </c>
      <c r="I113" s="65">
        <v>552</v>
      </c>
      <c r="J113" s="64" t="s">
        <v>191</v>
      </c>
      <c r="K113" s="65">
        <v>361</v>
      </c>
      <c r="L113" s="64" t="s">
        <v>191</v>
      </c>
      <c r="M113" s="65">
        <v>457</v>
      </c>
      <c r="N113" s="64" t="s">
        <v>191</v>
      </c>
      <c r="P113" s="64" t="s">
        <v>191</v>
      </c>
      <c r="R113" s="64" t="s">
        <v>191</v>
      </c>
      <c r="T113" s="64" t="s">
        <v>191</v>
      </c>
    </row>
    <row r="114" spans="1:20" s="65" customFormat="1" ht="12.75">
      <c r="A114" s="65" t="s">
        <v>189</v>
      </c>
      <c r="B114" s="65" t="s">
        <v>136</v>
      </c>
      <c r="C114" s="65" t="s">
        <v>272</v>
      </c>
      <c r="D114" s="65" t="s">
        <v>66</v>
      </c>
      <c r="E114" s="63" t="s">
        <v>15</v>
      </c>
      <c r="F114" s="64" t="s">
        <v>191</v>
      </c>
      <c r="G114" s="65">
        <v>16.3</v>
      </c>
      <c r="H114" s="64" t="s">
        <v>191</v>
      </c>
      <c r="I114" s="65">
        <v>19</v>
      </c>
      <c r="J114" s="64" t="s">
        <v>191</v>
      </c>
      <c r="K114" s="65">
        <v>15.4</v>
      </c>
      <c r="L114" s="64" t="s">
        <v>191</v>
      </c>
      <c r="M114" s="65">
        <v>14.6</v>
      </c>
      <c r="N114" s="64" t="s">
        <v>191</v>
      </c>
      <c r="P114" s="64" t="s">
        <v>191</v>
      </c>
      <c r="R114" s="64" t="s">
        <v>191</v>
      </c>
      <c r="T114" s="64" t="s">
        <v>191</v>
      </c>
    </row>
    <row r="116" spans="2:4" ht="12.75">
      <c r="B116" t="s">
        <v>97</v>
      </c>
      <c r="C116" s="66" t="s">
        <v>195</v>
      </c>
      <c r="D116" s="65" t="s">
        <v>272</v>
      </c>
    </row>
    <row r="117" spans="1:21" s="66" customFormat="1" ht="12.75">
      <c r="A117" s="66" t="s">
        <v>189</v>
      </c>
      <c r="B117" s="29" t="s">
        <v>92</v>
      </c>
      <c r="C117" s="29"/>
      <c r="D117" s="29" t="s">
        <v>16</v>
      </c>
      <c r="G117" s="69">
        <v>61210.2</v>
      </c>
      <c r="H117" s="69"/>
      <c r="I117" s="69">
        <v>68270.2</v>
      </c>
      <c r="J117" s="69"/>
      <c r="K117" s="69">
        <v>62516.3</v>
      </c>
      <c r="L117" s="69"/>
      <c r="M117" s="69">
        <v>68764.4</v>
      </c>
      <c r="N117" s="64"/>
      <c r="O117" s="64"/>
      <c r="P117" s="64"/>
      <c r="Q117" s="64"/>
      <c r="R117" s="64"/>
      <c r="S117" s="64"/>
      <c r="T117" s="64"/>
      <c r="U117" s="64"/>
    </row>
    <row r="118" spans="1:21" s="66" customFormat="1" ht="12.75">
      <c r="A118" s="66" t="s">
        <v>189</v>
      </c>
      <c r="B118" s="29" t="s">
        <v>94</v>
      </c>
      <c r="C118" s="29"/>
      <c r="D118" s="29" t="s">
        <v>14</v>
      </c>
      <c r="G118" s="68">
        <v>6.627272727272728</v>
      </c>
      <c r="H118" s="68"/>
      <c r="I118" s="68">
        <v>6.627272727272728</v>
      </c>
      <c r="J118" s="68"/>
      <c r="K118" s="68">
        <v>6.627272727272728</v>
      </c>
      <c r="L118" s="68"/>
      <c r="M118" s="68">
        <v>6.627272727272728</v>
      </c>
      <c r="N118" s="64"/>
      <c r="O118" s="64"/>
      <c r="P118" s="64"/>
      <c r="Q118" s="64"/>
      <c r="R118" s="64"/>
      <c r="S118" s="64"/>
      <c r="T118" s="64"/>
      <c r="U118" s="64"/>
    </row>
    <row r="119" spans="1:21" s="66" customFormat="1" ht="12.75">
      <c r="A119" s="66" t="s">
        <v>189</v>
      </c>
      <c r="B119" s="29" t="s">
        <v>95</v>
      </c>
      <c r="C119" s="29"/>
      <c r="D119" s="29" t="s">
        <v>14</v>
      </c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</row>
    <row r="120" spans="1:21" s="66" customFormat="1" ht="12.75">
      <c r="A120" s="66" t="s">
        <v>189</v>
      </c>
      <c r="B120" s="29" t="s">
        <v>91</v>
      </c>
      <c r="C120" s="29"/>
      <c r="D120" s="29" t="s">
        <v>18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M73"/>
  <sheetViews>
    <sheetView workbookViewId="0" topLeftCell="B1">
      <selection activeCell="B2" sqref="B2"/>
    </sheetView>
  </sheetViews>
  <sheetFormatPr defaultColWidth="9.140625" defaultRowHeight="12.75"/>
  <cols>
    <col min="1" max="1" width="3.421875" style="4" hidden="1" customWidth="1"/>
    <col min="2" max="2" width="25.57421875" style="9" customWidth="1"/>
    <col min="3" max="3" width="5.28125" style="9" customWidth="1"/>
    <col min="4" max="4" width="8.57421875" style="9" customWidth="1"/>
    <col min="5" max="5" width="2.8515625" style="5" customWidth="1"/>
    <col min="6" max="6" width="9.28125" style="5" customWidth="1"/>
    <col min="7" max="7" width="2.421875" style="5" customWidth="1"/>
    <col min="8" max="8" width="8.8515625" style="5" customWidth="1"/>
    <col min="9" max="9" width="2.28125" style="5" customWidth="1"/>
    <col min="10" max="10" width="9.8515625" style="5" customWidth="1"/>
    <col min="11" max="11" width="2.140625" style="5" customWidth="1"/>
    <col min="12" max="12" width="8.7109375" style="5" customWidth="1"/>
    <col min="13" max="13" width="2.00390625" style="5" customWidth="1"/>
    <col min="14" max="14" width="10.28125" style="50" customWidth="1"/>
    <col min="15" max="15" width="2.57421875" style="50" customWidth="1"/>
    <col min="16" max="16" width="8.7109375" style="50" customWidth="1"/>
    <col min="17" max="17" width="2.57421875" style="50" customWidth="1"/>
    <col min="18" max="18" width="9.28125" style="50" customWidth="1"/>
    <col min="19" max="19" width="2.57421875" style="50" customWidth="1"/>
    <col min="20" max="20" width="8.8515625" style="50" customWidth="1"/>
    <col min="21" max="21" width="2.57421875" style="50" customWidth="1"/>
    <col min="22" max="22" width="8.8515625" style="50" customWidth="1"/>
    <col min="23" max="23" width="2.57421875" style="50" customWidth="1"/>
    <col min="24" max="24" width="10.140625" style="4" customWidth="1"/>
    <col min="25" max="25" width="2.57421875" style="4" customWidth="1"/>
    <col min="26" max="26" width="9.28125" style="5" customWidth="1"/>
    <col min="27" max="27" width="2.57421875" style="5" customWidth="1"/>
    <col min="28" max="28" width="9.00390625" style="5" customWidth="1"/>
    <col min="29" max="29" width="2.421875" style="5" customWidth="1"/>
    <col min="30" max="30" width="10.00390625" style="5" customWidth="1"/>
    <col min="31" max="31" width="2.421875" style="5" customWidth="1"/>
    <col min="32" max="32" width="9.8515625" style="5" customWidth="1"/>
    <col min="33" max="33" width="2.421875" style="5" customWidth="1"/>
    <col min="34" max="34" width="9.421875" style="4" customWidth="1"/>
    <col min="35" max="35" width="2.421875" style="4" customWidth="1"/>
    <col min="36" max="36" width="9.421875" style="5" customWidth="1"/>
    <col min="37" max="37" width="2.421875" style="5" customWidth="1"/>
    <col min="38" max="38" width="9.8515625" style="5" customWidth="1"/>
    <col min="39" max="39" width="2.421875" style="5" customWidth="1"/>
    <col min="40" max="40" width="8.7109375" style="5" customWidth="1"/>
    <col min="41" max="41" width="2.421875" style="5" customWidth="1"/>
    <col min="42" max="42" width="9.00390625" style="5" customWidth="1"/>
    <col min="43" max="43" width="2.421875" style="5" customWidth="1"/>
    <col min="44" max="44" width="11.421875" style="4" customWidth="1"/>
    <col min="45" max="45" width="2.421875" style="4" customWidth="1"/>
    <col min="46" max="46" width="9.28125" style="5" customWidth="1"/>
    <col min="47" max="47" width="2.421875" style="5" customWidth="1"/>
    <col min="48" max="48" width="9.57421875" style="5" customWidth="1"/>
    <col min="49" max="49" width="2.421875" style="5" customWidth="1"/>
    <col min="50" max="50" width="9.7109375" style="5" customWidth="1"/>
    <col min="51" max="51" width="2.421875" style="5" customWidth="1"/>
    <col min="52" max="52" width="9.28125" style="5" customWidth="1"/>
    <col min="53" max="53" width="2.421875" style="5" customWidth="1"/>
    <col min="54" max="54" width="10.421875" style="4" customWidth="1"/>
    <col min="55" max="55" width="2.8515625" style="4" customWidth="1"/>
    <col min="56" max="56" width="14.28125" style="4" customWidth="1"/>
    <col min="57" max="57" width="2.421875" style="4" customWidth="1"/>
    <col min="58" max="58" width="12.140625" style="4" customWidth="1"/>
    <col min="59" max="59" width="2.421875" style="4" customWidth="1"/>
    <col min="60" max="60" width="13.00390625" style="4" customWidth="1"/>
    <col min="61" max="61" width="2.421875" style="4" customWidth="1"/>
    <col min="62" max="62" width="11.00390625" style="4" customWidth="1"/>
    <col min="63" max="63" width="2.421875" style="4" customWidth="1"/>
    <col min="64" max="64" width="12.421875" style="4" customWidth="1"/>
    <col min="65" max="65" width="10.00390625" style="4" customWidth="1"/>
    <col min="66" max="16384" width="8.8515625" style="4" customWidth="1"/>
  </cols>
  <sheetData>
    <row r="1" spans="2:3" ht="12.75">
      <c r="B1" s="49" t="s">
        <v>263</v>
      </c>
      <c r="C1" s="49"/>
    </row>
    <row r="3" spans="1:64" ht="12.75">
      <c r="A3" s="4" t="s">
        <v>109</v>
      </c>
      <c r="B3" s="49" t="s">
        <v>152</v>
      </c>
      <c r="C3" s="9" t="str">
        <f>'emiss 1'!C4</f>
        <v>Max comb temp, max metals, chlorine</v>
      </c>
      <c r="F3" s="5" t="s">
        <v>147</v>
      </c>
      <c r="H3" s="5" t="s">
        <v>148</v>
      </c>
      <c r="J3" s="5" t="s">
        <v>149</v>
      </c>
      <c r="L3" s="5" t="s">
        <v>150</v>
      </c>
      <c r="N3" s="5" t="s">
        <v>70</v>
      </c>
      <c r="O3" s="5"/>
      <c r="P3" s="5" t="s">
        <v>147</v>
      </c>
      <c r="Q3" s="5"/>
      <c r="R3" s="5" t="s">
        <v>148</v>
      </c>
      <c r="S3" s="5"/>
      <c r="T3" s="5" t="s">
        <v>149</v>
      </c>
      <c r="U3" s="5"/>
      <c r="V3" s="5" t="s">
        <v>150</v>
      </c>
      <c r="W3" s="5"/>
      <c r="X3" s="5" t="s">
        <v>70</v>
      </c>
      <c r="Y3" s="5"/>
      <c r="Z3" s="5" t="s">
        <v>147</v>
      </c>
      <c r="AB3" s="5" t="s">
        <v>148</v>
      </c>
      <c r="AD3" s="5" t="s">
        <v>149</v>
      </c>
      <c r="AF3" s="5" t="s">
        <v>150</v>
      </c>
      <c r="AH3" s="5" t="s">
        <v>70</v>
      </c>
      <c r="AI3" s="5"/>
      <c r="AJ3" s="5" t="s">
        <v>147</v>
      </c>
      <c r="AL3" s="5" t="s">
        <v>148</v>
      </c>
      <c r="AN3" s="5" t="s">
        <v>149</v>
      </c>
      <c r="AP3" s="5" t="s">
        <v>150</v>
      </c>
      <c r="AR3" s="5" t="s">
        <v>70</v>
      </c>
      <c r="AS3" s="5"/>
      <c r="AT3" s="5" t="s">
        <v>147</v>
      </c>
      <c r="AV3" s="5" t="s">
        <v>148</v>
      </c>
      <c r="AX3" s="5" t="s">
        <v>149</v>
      </c>
      <c r="AZ3" s="5" t="s">
        <v>150</v>
      </c>
      <c r="BB3" s="5" t="s">
        <v>70</v>
      </c>
      <c r="BC3" s="5"/>
      <c r="BD3" s="5" t="s">
        <v>147</v>
      </c>
      <c r="BE3" s="5"/>
      <c r="BF3" s="5" t="s">
        <v>148</v>
      </c>
      <c r="BG3" s="5"/>
      <c r="BH3" s="5" t="s">
        <v>149</v>
      </c>
      <c r="BI3" s="5"/>
      <c r="BJ3" s="5" t="s">
        <v>150</v>
      </c>
      <c r="BK3" s="5"/>
      <c r="BL3" s="5" t="s">
        <v>70</v>
      </c>
    </row>
    <row r="5" spans="2:44" ht="12.75">
      <c r="B5" s="9" t="s">
        <v>298</v>
      </c>
      <c r="F5" s="5" t="s">
        <v>300</v>
      </c>
      <c r="H5" s="5" t="s">
        <v>300</v>
      </c>
      <c r="J5" s="5" t="s">
        <v>300</v>
      </c>
      <c r="L5" s="5" t="s">
        <v>300</v>
      </c>
      <c r="N5" s="5" t="s">
        <v>300</v>
      </c>
      <c r="P5" s="5" t="s">
        <v>302</v>
      </c>
      <c r="R5" s="5" t="s">
        <v>302</v>
      </c>
      <c r="T5" s="5" t="s">
        <v>302</v>
      </c>
      <c r="V5" s="5" t="s">
        <v>302</v>
      </c>
      <c r="X5" s="5" t="s">
        <v>302</v>
      </c>
      <c r="Z5" s="5" t="s">
        <v>303</v>
      </c>
      <c r="AB5" s="5" t="s">
        <v>303</v>
      </c>
      <c r="AD5" s="5" t="s">
        <v>303</v>
      </c>
      <c r="AF5" s="5" t="s">
        <v>303</v>
      </c>
      <c r="AH5" s="5" t="s">
        <v>303</v>
      </c>
      <c r="AJ5" s="5" t="s">
        <v>305</v>
      </c>
      <c r="AL5" s="5" t="s">
        <v>305</v>
      </c>
      <c r="AN5" s="5" t="s">
        <v>305</v>
      </c>
      <c r="AP5" s="5" t="s">
        <v>305</v>
      </c>
      <c r="AR5" s="5" t="s">
        <v>305</v>
      </c>
    </row>
    <row r="6" spans="2:44" ht="12.75">
      <c r="B6" s="9" t="s">
        <v>299</v>
      </c>
      <c r="F6" s="5" t="s">
        <v>301</v>
      </c>
      <c r="H6" s="5" t="s">
        <v>301</v>
      </c>
      <c r="J6" s="5" t="s">
        <v>301</v>
      </c>
      <c r="L6" s="5" t="s">
        <v>301</v>
      </c>
      <c r="N6" s="5" t="s">
        <v>301</v>
      </c>
      <c r="P6" s="5" t="s">
        <v>142</v>
      </c>
      <c r="R6" s="5" t="s">
        <v>142</v>
      </c>
      <c r="T6" s="5" t="s">
        <v>142</v>
      </c>
      <c r="V6" s="5" t="s">
        <v>142</v>
      </c>
      <c r="X6" s="5" t="s">
        <v>142</v>
      </c>
      <c r="Z6" s="5" t="s">
        <v>304</v>
      </c>
      <c r="AB6" s="5" t="s">
        <v>304</v>
      </c>
      <c r="AD6" s="5" t="s">
        <v>304</v>
      </c>
      <c r="AF6" s="5" t="s">
        <v>304</v>
      </c>
      <c r="AH6" s="5" t="s">
        <v>304</v>
      </c>
      <c r="AJ6" s="5" t="s">
        <v>306</v>
      </c>
      <c r="AL6" s="5" t="s">
        <v>306</v>
      </c>
      <c r="AN6" s="5" t="s">
        <v>306</v>
      </c>
      <c r="AP6" s="5" t="s">
        <v>306</v>
      </c>
      <c r="AR6" s="5" t="s">
        <v>306</v>
      </c>
    </row>
    <row r="7" spans="2:64" ht="12.75">
      <c r="B7" s="66" t="s">
        <v>314</v>
      </c>
      <c r="F7" s="5" t="s">
        <v>316</v>
      </c>
      <c r="H7" s="5" t="s">
        <v>316</v>
      </c>
      <c r="J7" s="5" t="s">
        <v>316</v>
      </c>
      <c r="L7" s="5" t="s">
        <v>316</v>
      </c>
      <c r="N7" s="5" t="s">
        <v>316</v>
      </c>
      <c r="P7" s="5" t="s">
        <v>142</v>
      </c>
      <c r="R7" s="5" t="s">
        <v>142</v>
      </c>
      <c r="T7" s="5" t="s">
        <v>142</v>
      </c>
      <c r="V7" s="5" t="s">
        <v>142</v>
      </c>
      <c r="X7" s="5" t="s">
        <v>142</v>
      </c>
      <c r="Z7" s="5" t="s">
        <v>317</v>
      </c>
      <c r="AB7" s="5" t="s">
        <v>317</v>
      </c>
      <c r="AD7" s="5" t="s">
        <v>317</v>
      </c>
      <c r="AF7" s="5" t="s">
        <v>317</v>
      </c>
      <c r="AH7" s="5" t="s">
        <v>317</v>
      </c>
      <c r="AJ7" s="5" t="s">
        <v>78</v>
      </c>
      <c r="AL7" s="5" t="s">
        <v>78</v>
      </c>
      <c r="AN7" s="5" t="s">
        <v>78</v>
      </c>
      <c r="AP7" s="5" t="s">
        <v>78</v>
      </c>
      <c r="AR7" s="5" t="s">
        <v>78</v>
      </c>
      <c r="AT7" s="5" t="s">
        <v>67</v>
      </c>
      <c r="AV7" s="5" t="s">
        <v>67</v>
      </c>
      <c r="AX7" s="5" t="s">
        <v>67</v>
      </c>
      <c r="AZ7" s="5" t="s">
        <v>67</v>
      </c>
      <c r="BB7" s="5" t="s">
        <v>67</v>
      </c>
      <c r="BD7" s="4" t="s">
        <v>31</v>
      </c>
      <c r="BF7" s="4" t="s">
        <v>31</v>
      </c>
      <c r="BH7" s="4" t="s">
        <v>31</v>
      </c>
      <c r="BJ7" s="4" t="s">
        <v>31</v>
      </c>
      <c r="BL7" s="4" t="s">
        <v>31</v>
      </c>
    </row>
    <row r="8" spans="2:64" ht="12.75">
      <c r="B8" s="9" t="s">
        <v>108</v>
      </c>
      <c r="F8" s="50" t="s">
        <v>141</v>
      </c>
      <c r="G8" s="50"/>
      <c r="H8" s="50" t="s">
        <v>141</v>
      </c>
      <c r="I8" s="50"/>
      <c r="J8" s="50" t="s">
        <v>141</v>
      </c>
      <c r="K8" s="50"/>
      <c r="L8" s="50" t="s">
        <v>141</v>
      </c>
      <c r="M8" s="50"/>
      <c r="N8" s="50" t="s">
        <v>141</v>
      </c>
      <c r="P8" s="50" t="s">
        <v>142</v>
      </c>
      <c r="R8" s="50" t="s">
        <v>142</v>
      </c>
      <c r="T8" s="50" t="s">
        <v>142</v>
      </c>
      <c r="V8" s="50" t="s">
        <v>142</v>
      </c>
      <c r="X8" s="50" t="s">
        <v>142</v>
      </c>
      <c r="Y8" s="50"/>
      <c r="Z8" s="50" t="s">
        <v>143</v>
      </c>
      <c r="AA8" s="50"/>
      <c r="AB8" s="50" t="s">
        <v>143</v>
      </c>
      <c r="AC8" s="50"/>
      <c r="AD8" s="50" t="s">
        <v>143</v>
      </c>
      <c r="AE8" s="50"/>
      <c r="AF8" s="50" t="s">
        <v>143</v>
      </c>
      <c r="AG8" s="50"/>
      <c r="AH8" s="50" t="s">
        <v>143</v>
      </c>
      <c r="AI8" s="50"/>
      <c r="AJ8" s="50" t="s">
        <v>144</v>
      </c>
      <c r="AK8" s="50"/>
      <c r="AL8" s="50" t="s">
        <v>144</v>
      </c>
      <c r="AM8" s="50"/>
      <c r="AN8" s="50" t="s">
        <v>144</v>
      </c>
      <c r="AO8" s="50"/>
      <c r="AP8" s="50" t="s">
        <v>144</v>
      </c>
      <c r="AQ8" s="50"/>
      <c r="AR8" s="50" t="s">
        <v>144</v>
      </c>
      <c r="AS8" s="50"/>
      <c r="AT8" s="50" t="s">
        <v>67</v>
      </c>
      <c r="AU8" s="50"/>
      <c r="AV8" s="50" t="s">
        <v>67</v>
      </c>
      <c r="AW8" s="50"/>
      <c r="AX8" s="50" t="s">
        <v>67</v>
      </c>
      <c r="AY8" s="50"/>
      <c r="AZ8" s="50" t="s">
        <v>67</v>
      </c>
      <c r="BA8" s="50"/>
      <c r="BB8" s="50" t="s">
        <v>67</v>
      </c>
      <c r="BC8" s="50"/>
      <c r="BD8" s="50" t="s">
        <v>31</v>
      </c>
      <c r="BE8" s="50"/>
      <c r="BF8" s="50" t="s">
        <v>31</v>
      </c>
      <c r="BG8" s="50"/>
      <c r="BH8" s="50" t="s">
        <v>31</v>
      </c>
      <c r="BI8" s="50"/>
      <c r="BJ8" s="50" t="s">
        <v>31</v>
      </c>
      <c r="BK8" s="50"/>
      <c r="BL8" s="50" t="s">
        <v>31</v>
      </c>
    </row>
    <row r="9" spans="2:64" ht="12.75">
      <c r="B9" s="9" t="s">
        <v>112</v>
      </c>
      <c r="D9" s="9" t="s">
        <v>140</v>
      </c>
      <c r="F9" s="13">
        <v>54700000</v>
      </c>
      <c r="G9" s="13"/>
      <c r="H9" s="13">
        <v>59700000</v>
      </c>
      <c r="I9" s="13"/>
      <c r="J9" s="13">
        <v>56800000</v>
      </c>
      <c r="K9" s="13"/>
      <c r="L9" s="13">
        <v>58700000</v>
      </c>
      <c r="M9" s="13"/>
      <c r="N9" s="24">
        <f>AVERAGE(F9:L9)</f>
        <v>57475000</v>
      </c>
      <c r="O9" s="24"/>
      <c r="P9" s="61">
        <v>2720000</v>
      </c>
      <c r="Q9" s="61"/>
      <c r="R9" s="24"/>
      <c r="S9" s="24"/>
      <c r="T9" s="24"/>
      <c r="U9" s="24"/>
      <c r="V9" s="24"/>
      <c r="W9" s="24"/>
      <c r="X9" s="24">
        <f>AVERAGE(P9:V9)</f>
        <v>2720000</v>
      </c>
      <c r="Y9" s="24"/>
      <c r="Z9" s="24">
        <v>608000</v>
      </c>
      <c r="AA9" s="24"/>
      <c r="AB9" s="24">
        <v>816000</v>
      </c>
      <c r="AC9" s="24"/>
      <c r="AD9" s="24">
        <v>780000</v>
      </c>
      <c r="AE9" s="24"/>
      <c r="AF9" s="24">
        <v>807000</v>
      </c>
      <c r="AG9" s="24"/>
      <c r="AH9" s="24">
        <f>AVERAGE(Z9:AF9)</f>
        <v>752750</v>
      </c>
      <c r="AI9" s="24"/>
      <c r="AJ9" s="24">
        <v>7890000</v>
      </c>
      <c r="AK9" s="24"/>
      <c r="AL9" s="24">
        <v>7530000</v>
      </c>
      <c r="AM9" s="24"/>
      <c r="AN9" s="24">
        <v>7260000</v>
      </c>
      <c r="AO9" s="24"/>
      <c r="AP9" s="24">
        <v>7530000</v>
      </c>
      <c r="AQ9" s="24"/>
      <c r="AR9" s="24">
        <f>AVERAGE(AJ9:AP9)</f>
        <v>7552500</v>
      </c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2:64" ht="12.75">
      <c r="B10" s="9" t="s">
        <v>110</v>
      </c>
      <c r="D10" s="9" t="s">
        <v>180</v>
      </c>
      <c r="F10" s="61"/>
      <c r="G10" s="61"/>
      <c r="H10" s="61"/>
      <c r="I10" s="61"/>
      <c r="J10" s="61"/>
      <c r="K10" s="61"/>
      <c r="L10" s="61"/>
      <c r="M10" s="61"/>
      <c r="N10" s="24"/>
      <c r="O10" s="24"/>
      <c r="P10" s="24">
        <f>55900000/1000000</f>
        <v>55.9</v>
      </c>
      <c r="Q10" s="24"/>
      <c r="R10" s="24"/>
      <c r="S10" s="24"/>
      <c r="T10" s="24"/>
      <c r="U10" s="24"/>
      <c r="V10" s="24"/>
      <c r="W10" s="24"/>
      <c r="X10" s="24">
        <f aca="true" t="shared" si="0" ref="X10:X25">AVERAGE(P10:V10)</f>
        <v>55.9</v>
      </c>
      <c r="Y10" s="24"/>
      <c r="Z10" s="24">
        <v>21.2</v>
      </c>
      <c r="AA10" s="24"/>
      <c r="AB10" s="24">
        <v>28.4</v>
      </c>
      <c r="AC10" s="24"/>
      <c r="AD10" s="24">
        <v>27.2</v>
      </c>
      <c r="AE10" s="24"/>
      <c r="AF10" s="24">
        <v>28.1</v>
      </c>
      <c r="AG10" s="24"/>
      <c r="AH10" s="24">
        <f aca="true" t="shared" si="1" ref="AH10:AH25">AVERAGE(Z10:AF10)</f>
        <v>26.225</v>
      </c>
      <c r="AI10" s="24"/>
      <c r="AJ10" s="24">
        <v>238</v>
      </c>
      <c r="AK10" s="24"/>
      <c r="AL10" s="24">
        <v>246</v>
      </c>
      <c r="AM10" s="24"/>
      <c r="AN10" s="24">
        <v>222</v>
      </c>
      <c r="AO10" s="24"/>
      <c r="AP10" s="24">
        <v>229</v>
      </c>
      <c r="AQ10" s="24"/>
      <c r="AR10" s="24">
        <f>AVERAGE(AJ10:AP10)</f>
        <v>233.75</v>
      </c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61"/>
      <c r="BD10" s="61">
        <f>F10+P10+X10+AJ10</f>
        <v>349.8</v>
      </c>
      <c r="BE10" s="61"/>
      <c r="BF10" s="61">
        <f>H10+R10+Z10+AL10</f>
        <v>267.2</v>
      </c>
      <c r="BG10" s="61"/>
      <c r="BH10" s="61">
        <f>J10+T10+AB10+AN10</f>
        <v>250.4</v>
      </c>
      <c r="BI10" s="61"/>
      <c r="BJ10" s="61">
        <f>L10+V10+AD10+AP10</f>
        <v>256.2</v>
      </c>
      <c r="BK10" s="61"/>
      <c r="BL10" s="61">
        <f>N10+X10+AF10+AR10</f>
        <v>317.75</v>
      </c>
    </row>
    <row r="11" spans="2:64" ht="12.75">
      <c r="B11" s="9" t="s">
        <v>64</v>
      </c>
      <c r="D11" s="9" t="s">
        <v>206</v>
      </c>
      <c r="F11" s="61"/>
      <c r="G11" s="61"/>
      <c r="H11" s="61"/>
      <c r="I11" s="61"/>
      <c r="J11" s="61"/>
      <c r="K11" s="61"/>
      <c r="L11" s="61"/>
      <c r="M11" s="61"/>
      <c r="N11" s="24"/>
      <c r="O11" s="24"/>
      <c r="P11" s="24">
        <f>P10*1000000/(P9/454)</f>
        <v>9330.367647058823</v>
      </c>
      <c r="Q11" s="24"/>
      <c r="R11" s="24"/>
      <c r="S11" s="24"/>
      <c r="T11" s="24"/>
      <c r="U11" s="24"/>
      <c r="V11" s="24"/>
      <c r="W11" s="24"/>
      <c r="X11" s="24">
        <f>X10*1000000/(X9/454)</f>
        <v>9330.367647058823</v>
      </c>
      <c r="Y11" s="24"/>
      <c r="Z11" s="24">
        <f>Z10*1000000/(Z9/454)</f>
        <v>15830.263157894737</v>
      </c>
      <c r="AA11" s="24"/>
      <c r="AB11" s="24">
        <f>AB10*1000000/(AB9/454)</f>
        <v>15800.980392156862</v>
      </c>
      <c r="AC11" s="24"/>
      <c r="AD11" s="24">
        <f>AD10*1000000/(AD9/454)</f>
        <v>15831.794871794873</v>
      </c>
      <c r="AE11" s="24"/>
      <c r="AF11" s="24">
        <f>AF10*1000000/(AF9/454)</f>
        <v>15808.426270136306</v>
      </c>
      <c r="AG11" s="24"/>
      <c r="AH11" s="24">
        <f>AH10*1000000/(AH9/454)</f>
        <v>15816.871471272003</v>
      </c>
      <c r="AI11" s="24"/>
      <c r="AJ11" s="24">
        <f>AJ10*1000000/(AJ9/454)</f>
        <v>13694.803548795942</v>
      </c>
      <c r="AK11" s="24"/>
      <c r="AL11" s="24">
        <f>AL10*1000000/(AL9/454)</f>
        <v>14831.87250996016</v>
      </c>
      <c r="AM11" s="24"/>
      <c r="AN11" s="24">
        <f>AN10*1000000/(AN9/454)</f>
        <v>13882.644628099175</v>
      </c>
      <c r="AO11" s="24"/>
      <c r="AP11" s="24">
        <f>AP10*1000000/(AP9/454)</f>
        <v>13806.905710491368</v>
      </c>
      <c r="AQ11" s="24"/>
      <c r="AR11" s="24">
        <f>AR10*1000000/(AR9/454)</f>
        <v>14051.30751406819</v>
      </c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2:64" ht="12.75">
      <c r="B12" s="29" t="s">
        <v>318</v>
      </c>
      <c r="D12" s="29" t="s">
        <v>180</v>
      </c>
      <c r="F12" s="61"/>
      <c r="G12" s="61"/>
      <c r="H12" s="61"/>
      <c r="I12" s="61"/>
      <c r="J12" s="61"/>
      <c r="K12" s="61"/>
      <c r="L12" s="61"/>
      <c r="M12" s="61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61"/>
      <c r="BD12" s="55">
        <f>BD27/9000*60*(21-BD28)/21</f>
        <v>309.8268888888889</v>
      </c>
      <c r="BE12" s="61"/>
      <c r="BF12" s="55">
        <f>BF27/9000*60*(21-BF28)/21</f>
        <v>322.30850793650797</v>
      </c>
      <c r="BG12" s="61"/>
      <c r="BH12" s="55">
        <f>BH27/9000*60*(21-BH28)/21</f>
        <v>323.0986031746031</v>
      </c>
      <c r="BI12" s="61"/>
      <c r="BJ12" s="55">
        <f>BJ27/9000*60*(21-BJ28)/21</f>
        <v>295.6193650793651</v>
      </c>
      <c r="BK12" s="61"/>
      <c r="BL12" s="78">
        <f>AVERAGE(BD12,BF12,BH12,BJ12)</f>
        <v>312.71334126984124</v>
      </c>
    </row>
    <row r="13" spans="2:63" ht="12.75">
      <c r="B13" s="9" t="s">
        <v>22</v>
      </c>
      <c r="D13" s="9" t="s">
        <v>140</v>
      </c>
      <c r="F13" s="50">
        <v>7100</v>
      </c>
      <c r="G13" s="50"/>
      <c r="H13" s="50">
        <v>7160</v>
      </c>
      <c r="I13" s="50"/>
      <c r="J13" s="50">
        <v>7380</v>
      </c>
      <c r="K13" s="50"/>
      <c r="L13" s="50">
        <v>6460</v>
      </c>
      <c r="M13" s="50"/>
      <c r="N13" s="24">
        <f aca="true" t="shared" si="2" ref="N13:N25">AVERAGE(F13:L13)</f>
        <v>7025</v>
      </c>
      <c r="O13" s="60"/>
      <c r="P13">
        <v>1290</v>
      </c>
      <c r="Q13"/>
      <c r="R13"/>
      <c r="S13"/>
      <c r="T13"/>
      <c r="U13"/>
      <c r="V13"/>
      <c r="W13"/>
      <c r="X13" s="60">
        <f t="shared" si="0"/>
        <v>1290</v>
      </c>
      <c r="Y13" s="60"/>
      <c r="Z13">
        <v>3650</v>
      </c>
      <c r="AA13"/>
      <c r="AB13">
        <v>4900</v>
      </c>
      <c r="AC13"/>
      <c r="AD13">
        <v>4680</v>
      </c>
      <c r="AE13"/>
      <c r="AF13">
        <v>4840</v>
      </c>
      <c r="AG13"/>
      <c r="AH13" s="24">
        <f t="shared" si="1"/>
        <v>4517.5</v>
      </c>
      <c r="AI13" s="60"/>
      <c r="AJ13" s="24">
        <v>293000</v>
      </c>
      <c r="AK13" s="24"/>
      <c r="AL13">
        <f>295000-153000</f>
        <v>142000</v>
      </c>
      <c r="AM13"/>
      <c r="AN13">
        <f>(2.22-1.59)*10^5</f>
        <v>63000.000000000015</v>
      </c>
      <c r="AO13"/>
      <c r="AP13">
        <f>232000-169000</f>
        <v>63000</v>
      </c>
      <c r="AQ13"/>
      <c r="AR13" s="24">
        <f aca="true" t="shared" si="3" ref="AR13:AR25">AVERAGE(AJ13:AP13)</f>
        <v>140250</v>
      </c>
      <c r="AS13" s="24"/>
      <c r="AT13" s="24">
        <v>0</v>
      </c>
      <c r="AU13" s="24"/>
      <c r="AV13" s="24">
        <v>153000</v>
      </c>
      <c r="AW13" s="24"/>
      <c r="AX13" s="24">
        <v>159000</v>
      </c>
      <c r="AY13" s="24"/>
      <c r="AZ13" s="24">
        <v>169000</v>
      </c>
      <c r="BA13" s="24"/>
      <c r="BB13" s="24">
        <f aca="true" t="shared" si="4" ref="BB13:BB20">AVERAGE(AT13:AZ13)</f>
        <v>120250</v>
      </c>
      <c r="BC13" s="50"/>
      <c r="BD13" s="50"/>
      <c r="BE13" s="50"/>
      <c r="BF13" s="50"/>
      <c r="BG13" s="50"/>
      <c r="BH13" s="50"/>
      <c r="BI13" s="50"/>
      <c r="BJ13" s="50"/>
      <c r="BK13" s="50"/>
    </row>
    <row r="14" spans="2:63" ht="12.75">
      <c r="B14" s="9" t="s">
        <v>102</v>
      </c>
      <c r="D14" s="9" t="s">
        <v>140</v>
      </c>
      <c r="F14" s="50">
        <v>68.4</v>
      </c>
      <c r="G14" s="50"/>
      <c r="H14" s="50">
        <v>71</v>
      </c>
      <c r="I14" s="50"/>
      <c r="J14" s="50">
        <v>69.3</v>
      </c>
      <c r="K14" s="50"/>
      <c r="L14" s="50">
        <v>67.5</v>
      </c>
      <c r="M14" s="50"/>
      <c r="N14" s="24">
        <f t="shared" si="2"/>
        <v>69.05</v>
      </c>
      <c r="O14" s="60"/>
      <c r="P14">
        <v>2.12</v>
      </c>
      <c r="Q14"/>
      <c r="R14"/>
      <c r="S14"/>
      <c r="T14"/>
      <c r="U14"/>
      <c r="V14"/>
      <c r="W14"/>
      <c r="X14" s="60">
        <f t="shared" si="0"/>
        <v>2.12</v>
      </c>
      <c r="Y14" s="60"/>
      <c r="Z14">
        <v>10.9</v>
      </c>
      <c r="AA14"/>
      <c r="AB14">
        <v>14.7</v>
      </c>
      <c r="AC14"/>
      <c r="AD14">
        <v>14</v>
      </c>
      <c r="AE14"/>
      <c r="AF14">
        <v>14.5</v>
      </c>
      <c r="AG14"/>
      <c r="AH14" s="24">
        <f t="shared" si="1"/>
        <v>13.525</v>
      </c>
      <c r="AI14" s="60"/>
      <c r="AJ14">
        <v>14.8</v>
      </c>
      <c r="AK14"/>
      <c r="AL14">
        <v>40.6</v>
      </c>
      <c r="AM14"/>
      <c r="AN14">
        <v>13.3</v>
      </c>
      <c r="AO14"/>
      <c r="AP14">
        <v>42.6</v>
      </c>
      <c r="AQ14"/>
      <c r="AR14" s="24">
        <f t="shared" si="3"/>
        <v>27.825000000000003</v>
      </c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50"/>
      <c r="BD14" s="50"/>
      <c r="BE14" s="50"/>
      <c r="BF14" s="50"/>
      <c r="BG14" s="50"/>
      <c r="BH14" s="50"/>
      <c r="BI14" s="50"/>
      <c r="BJ14" s="50"/>
      <c r="BK14" s="50"/>
    </row>
    <row r="15" spans="2:63" ht="12.75">
      <c r="B15" s="9" t="s">
        <v>98</v>
      </c>
      <c r="D15" s="9" t="s">
        <v>140</v>
      </c>
      <c r="F15" s="50">
        <v>146</v>
      </c>
      <c r="G15" s="50"/>
      <c r="H15" s="50">
        <v>108</v>
      </c>
      <c r="I15" s="50"/>
      <c r="J15" s="50">
        <v>140</v>
      </c>
      <c r="K15" s="50"/>
      <c r="L15" s="50">
        <v>121</v>
      </c>
      <c r="M15" s="50"/>
      <c r="N15" s="24">
        <f t="shared" si="2"/>
        <v>128.75</v>
      </c>
      <c r="O15" s="60"/>
      <c r="P15">
        <v>115</v>
      </c>
      <c r="Q15"/>
      <c r="R15"/>
      <c r="S15"/>
      <c r="T15"/>
      <c r="U15"/>
      <c r="V15"/>
      <c r="W15"/>
      <c r="X15" s="60">
        <f t="shared" si="0"/>
        <v>115</v>
      </c>
      <c r="Y15" s="60"/>
      <c r="Z15">
        <v>0.936</v>
      </c>
      <c r="AA15"/>
      <c r="AB15">
        <v>1.26</v>
      </c>
      <c r="AC15"/>
      <c r="AD15">
        <v>1.2</v>
      </c>
      <c r="AE15"/>
      <c r="AF15">
        <v>1.24</v>
      </c>
      <c r="AG15"/>
      <c r="AH15" s="24">
        <f t="shared" si="1"/>
        <v>1.159</v>
      </c>
      <c r="AI15" s="60"/>
      <c r="AJ15">
        <v>42.4</v>
      </c>
      <c r="AK15"/>
      <c r="AL15">
        <v>2520</v>
      </c>
      <c r="AM15"/>
      <c r="AN15">
        <v>20.1</v>
      </c>
      <c r="AO15"/>
      <c r="AP15">
        <v>63.4</v>
      </c>
      <c r="AQ15"/>
      <c r="AR15" s="24">
        <f t="shared" si="3"/>
        <v>661.475</v>
      </c>
      <c r="AS15" s="24"/>
      <c r="AT15" s="24">
        <v>11800</v>
      </c>
      <c r="AU15" s="24"/>
      <c r="AV15" s="24">
        <v>9380</v>
      </c>
      <c r="AW15" s="24"/>
      <c r="AX15" s="24">
        <v>10000</v>
      </c>
      <c r="AY15" s="24"/>
      <c r="AZ15" s="24">
        <v>9530</v>
      </c>
      <c r="BA15" s="24"/>
      <c r="BB15" s="24">
        <f t="shared" si="4"/>
        <v>10177.5</v>
      </c>
      <c r="BC15" s="50"/>
      <c r="BD15" s="50"/>
      <c r="BE15" s="50"/>
      <c r="BF15" s="50"/>
      <c r="BG15" s="50"/>
      <c r="BH15" s="50"/>
      <c r="BI15" s="50"/>
      <c r="BJ15" s="50"/>
      <c r="BK15" s="50"/>
    </row>
    <row r="16" spans="2:63" ht="12.75">
      <c r="B16" s="9" t="s">
        <v>99</v>
      </c>
      <c r="D16" s="9" t="s">
        <v>140</v>
      </c>
      <c r="F16" s="50">
        <v>2760</v>
      </c>
      <c r="G16" s="50"/>
      <c r="H16" s="50">
        <v>2200</v>
      </c>
      <c r="I16" s="50"/>
      <c r="J16" s="50">
        <v>2200</v>
      </c>
      <c r="K16" s="50"/>
      <c r="L16" s="50">
        <v>1980</v>
      </c>
      <c r="M16" s="50"/>
      <c r="N16" s="24">
        <f t="shared" si="2"/>
        <v>2285</v>
      </c>
      <c r="O16" s="60"/>
      <c r="P16">
        <v>66.9</v>
      </c>
      <c r="Q16"/>
      <c r="R16"/>
      <c r="S16"/>
      <c r="T16"/>
      <c r="U16"/>
      <c r="V16"/>
      <c r="W16"/>
      <c r="X16" s="60">
        <f t="shared" si="0"/>
        <v>66.9</v>
      </c>
      <c r="Y16" s="60"/>
      <c r="Z16">
        <v>4.98</v>
      </c>
      <c r="AA16"/>
      <c r="AB16">
        <v>6.69</v>
      </c>
      <c r="AC16"/>
      <c r="AD16">
        <v>6.4</v>
      </c>
      <c r="AE16"/>
      <c r="AF16">
        <v>6.62</v>
      </c>
      <c r="AG16"/>
      <c r="AH16" s="24">
        <f t="shared" si="1"/>
        <v>6.1725</v>
      </c>
      <c r="AI16" s="60"/>
      <c r="AJ16">
        <v>336</v>
      </c>
      <c r="AK16"/>
      <c r="AL16">
        <v>638</v>
      </c>
      <c r="AM16"/>
      <c r="AN16">
        <v>357</v>
      </c>
      <c r="AO16"/>
      <c r="AP16">
        <v>881</v>
      </c>
      <c r="AQ16"/>
      <c r="AR16" s="24">
        <f t="shared" si="3"/>
        <v>553</v>
      </c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50"/>
      <c r="BD16" s="50"/>
      <c r="BE16" s="50"/>
      <c r="BF16" s="50"/>
      <c r="BG16" s="50"/>
      <c r="BH16" s="50"/>
      <c r="BI16" s="50"/>
      <c r="BJ16" s="50"/>
      <c r="BK16" s="50"/>
    </row>
    <row r="17" spans="2:63" ht="12.75">
      <c r="B17" s="9" t="s">
        <v>100</v>
      </c>
      <c r="D17" s="9" t="s">
        <v>140</v>
      </c>
      <c r="F17" s="50">
        <v>17.1</v>
      </c>
      <c r="G17" s="50"/>
      <c r="H17" s="50">
        <v>17.7</v>
      </c>
      <c r="I17" s="50"/>
      <c r="J17" s="50">
        <v>17.4</v>
      </c>
      <c r="K17" s="50"/>
      <c r="L17" s="50">
        <v>16.8</v>
      </c>
      <c r="M17" s="50"/>
      <c r="N17" s="24">
        <f t="shared" si="2"/>
        <v>17.25</v>
      </c>
      <c r="O17" s="60"/>
      <c r="P17">
        <v>0.655</v>
      </c>
      <c r="Q17"/>
      <c r="R17"/>
      <c r="S17"/>
      <c r="T17"/>
      <c r="U17"/>
      <c r="V17"/>
      <c r="W17"/>
      <c r="X17" s="60">
        <f t="shared" si="0"/>
        <v>0.655</v>
      </c>
      <c r="Y17" s="60"/>
      <c r="Z17">
        <v>0.061</v>
      </c>
      <c r="AA17"/>
      <c r="AB17">
        <v>0.0816</v>
      </c>
      <c r="AC17"/>
      <c r="AD17">
        <v>0.078</v>
      </c>
      <c r="AE17"/>
      <c r="AF17">
        <v>0.0807</v>
      </c>
      <c r="AG17"/>
      <c r="AH17" s="24">
        <f t="shared" si="1"/>
        <v>0.075325</v>
      </c>
      <c r="AI17" s="60"/>
      <c r="AJ17">
        <v>1.53</v>
      </c>
      <c r="AK17"/>
      <c r="AL17">
        <v>1.45</v>
      </c>
      <c r="AM17"/>
      <c r="AN17">
        <v>1.38</v>
      </c>
      <c r="AO17"/>
      <c r="AP17">
        <v>1.41</v>
      </c>
      <c r="AQ17"/>
      <c r="AR17" s="24">
        <f t="shared" si="3"/>
        <v>1.4425</v>
      </c>
      <c r="AS17" s="24"/>
      <c r="AT17" s="24">
        <v>294</v>
      </c>
      <c r="AU17" s="24"/>
      <c r="AV17" s="24">
        <v>221</v>
      </c>
      <c r="AW17" s="24"/>
      <c r="AX17" s="24">
        <v>202</v>
      </c>
      <c r="AY17" s="24"/>
      <c r="AZ17" s="24">
        <v>208</v>
      </c>
      <c r="BA17" s="24"/>
      <c r="BB17" s="24">
        <f t="shared" si="4"/>
        <v>231.25</v>
      </c>
      <c r="BC17" s="50"/>
      <c r="BD17" s="50"/>
      <c r="BE17" s="50"/>
      <c r="BF17" s="50"/>
      <c r="BG17" s="50"/>
      <c r="BH17" s="50"/>
      <c r="BI17" s="50"/>
      <c r="BJ17" s="50"/>
      <c r="BK17" s="50"/>
    </row>
    <row r="18" spans="2:63" ht="12.75">
      <c r="B18" s="9" t="s">
        <v>105</v>
      </c>
      <c r="D18" s="9" t="s">
        <v>140</v>
      </c>
      <c r="F18" s="50">
        <v>32.6</v>
      </c>
      <c r="G18" s="50"/>
      <c r="H18" s="50">
        <v>30.3</v>
      </c>
      <c r="I18" s="50"/>
      <c r="J18" s="50">
        <v>28.9</v>
      </c>
      <c r="K18" s="50"/>
      <c r="L18" s="50">
        <v>27.7</v>
      </c>
      <c r="M18" s="50"/>
      <c r="N18" s="24">
        <f t="shared" si="2"/>
        <v>29.875000000000004</v>
      </c>
      <c r="O18" s="60"/>
      <c r="P18">
        <v>0.58</v>
      </c>
      <c r="Q18"/>
      <c r="R18"/>
      <c r="S18"/>
      <c r="T18"/>
      <c r="U18"/>
      <c r="V18"/>
      <c r="W18"/>
      <c r="X18" s="60">
        <f t="shared" si="0"/>
        <v>0.58</v>
      </c>
      <c r="Y18" s="60"/>
      <c r="Z18">
        <v>2.68</v>
      </c>
      <c r="AA18"/>
      <c r="AB18">
        <v>3.6</v>
      </c>
      <c r="AC18"/>
      <c r="AD18">
        <v>3.44</v>
      </c>
      <c r="AE18"/>
      <c r="AF18">
        <v>3.56</v>
      </c>
      <c r="AG18"/>
      <c r="AH18" s="24">
        <f t="shared" si="1"/>
        <v>3.3200000000000003</v>
      </c>
      <c r="AI18" s="60"/>
      <c r="AJ18">
        <v>292</v>
      </c>
      <c r="AK18"/>
      <c r="AL18">
        <v>94.9</v>
      </c>
      <c r="AM18"/>
      <c r="AN18">
        <v>12.3</v>
      </c>
      <c r="AO18"/>
      <c r="AP18">
        <v>87.3</v>
      </c>
      <c r="AQ18"/>
      <c r="AR18" s="24">
        <f t="shared" si="3"/>
        <v>121.625</v>
      </c>
      <c r="AS18" s="24"/>
      <c r="AT18" s="24">
        <v>1180</v>
      </c>
      <c r="AU18" s="24"/>
      <c r="AV18" s="24">
        <v>1030</v>
      </c>
      <c r="AW18" s="24"/>
      <c r="AX18" s="24">
        <v>1050</v>
      </c>
      <c r="AY18" s="24"/>
      <c r="AZ18" s="24">
        <v>1010</v>
      </c>
      <c r="BA18" s="24"/>
      <c r="BB18" s="24">
        <f t="shared" si="4"/>
        <v>1067.5</v>
      </c>
      <c r="BC18" s="50"/>
      <c r="BD18" s="50"/>
      <c r="BE18" s="50"/>
      <c r="BF18" s="50"/>
      <c r="BG18" s="50"/>
      <c r="BH18" s="50"/>
      <c r="BI18" s="50"/>
      <c r="BJ18" s="50"/>
      <c r="BK18" s="50"/>
    </row>
    <row r="19" spans="2:63" ht="12.75">
      <c r="B19" s="9" t="s">
        <v>107</v>
      </c>
      <c r="D19" s="9" t="s">
        <v>140</v>
      </c>
      <c r="F19" s="50">
        <v>416</v>
      </c>
      <c r="G19" s="50"/>
      <c r="H19" s="50">
        <v>387</v>
      </c>
      <c r="I19" s="50"/>
      <c r="J19" s="50">
        <v>369</v>
      </c>
      <c r="K19" s="50"/>
      <c r="L19" s="50">
        <v>356</v>
      </c>
      <c r="M19" s="50"/>
      <c r="N19" s="24">
        <f t="shared" si="2"/>
        <v>382</v>
      </c>
      <c r="O19" s="60"/>
      <c r="P19">
        <v>17.9</v>
      </c>
      <c r="Q19"/>
      <c r="R19"/>
      <c r="S19"/>
      <c r="T19"/>
      <c r="U19"/>
      <c r="V19"/>
      <c r="W19"/>
      <c r="X19" s="60">
        <f t="shared" si="0"/>
        <v>17.9</v>
      </c>
      <c r="Y19" s="60"/>
      <c r="Z19">
        <v>3.4</v>
      </c>
      <c r="AA19"/>
      <c r="AB19">
        <v>4.57</v>
      </c>
      <c r="AC19"/>
      <c r="AD19">
        <v>4.37</v>
      </c>
      <c r="AE19"/>
      <c r="AF19">
        <v>4.52</v>
      </c>
      <c r="AG19"/>
      <c r="AH19" s="24">
        <f t="shared" si="1"/>
        <v>4.215</v>
      </c>
      <c r="AI19" s="60"/>
      <c r="AJ19">
        <v>102</v>
      </c>
      <c r="AK19"/>
      <c r="AL19">
        <v>84.3</v>
      </c>
      <c r="AM19"/>
      <c r="AN19">
        <v>52.7</v>
      </c>
      <c r="AO19"/>
      <c r="AP19">
        <v>126</v>
      </c>
      <c r="AQ19"/>
      <c r="AR19" s="24">
        <f t="shared" si="3"/>
        <v>91.25</v>
      </c>
      <c r="AS19" s="24"/>
      <c r="AT19" s="24">
        <v>19000</v>
      </c>
      <c r="AU19" s="24"/>
      <c r="AV19" s="24">
        <v>18200</v>
      </c>
      <c r="AW19" s="24"/>
      <c r="AX19" s="24">
        <v>18100</v>
      </c>
      <c r="AY19" s="24"/>
      <c r="AZ19" s="24">
        <v>17400</v>
      </c>
      <c r="BA19" s="24"/>
      <c r="BB19" s="24">
        <f t="shared" si="4"/>
        <v>18175</v>
      </c>
      <c r="BC19" s="50"/>
      <c r="BD19" s="50"/>
      <c r="BE19" s="50"/>
      <c r="BF19" s="50"/>
      <c r="BG19" s="50"/>
      <c r="BH19" s="50"/>
      <c r="BI19" s="50"/>
      <c r="BJ19" s="50"/>
      <c r="BK19" s="50"/>
    </row>
    <row r="20" spans="2:63" ht="12.75">
      <c r="B20" s="9" t="s">
        <v>103</v>
      </c>
      <c r="D20" s="9" t="s">
        <v>140</v>
      </c>
      <c r="F20" s="50">
        <v>251</v>
      </c>
      <c r="G20" s="50"/>
      <c r="H20" s="50">
        <v>243</v>
      </c>
      <c r="I20" s="50"/>
      <c r="J20" s="50">
        <v>216</v>
      </c>
      <c r="K20" s="50"/>
      <c r="L20" s="50">
        <v>190</v>
      </c>
      <c r="M20" s="50"/>
      <c r="N20" s="24">
        <f t="shared" si="2"/>
        <v>225</v>
      </c>
      <c r="O20" s="60"/>
      <c r="P20">
        <v>10.9</v>
      </c>
      <c r="Q20"/>
      <c r="R20"/>
      <c r="S20"/>
      <c r="T20"/>
      <c r="U20"/>
      <c r="V20"/>
      <c r="W20"/>
      <c r="X20" s="60">
        <f t="shared" si="0"/>
        <v>10.9</v>
      </c>
      <c r="Y20" s="60"/>
      <c r="Z20">
        <v>17.8</v>
      </c>
      <c r="AA20"/>
      <c r="AB20">
        <v>23.9</v>
      </c>
      <c r="AC20"/>
      <c r="AD20">
        <v>22.9</v>
      </c>
      <c r="AE20"/>
      <c r="AF20">
        <v>23.7</v>
      </c>
      <c r="AG20"/>
      <c r="AH20" s="24">
        <f t="shared" si="1"/>
        <v>22.075</v>
      </c>
      <c r="AI20" s="60"/>
      <c r="AJ20">
        <v>169</v>
      </c>
      <c r="AK20"/>
      <c r="AL20">
        <v>172</v>
      </c>
      <c r="AM20"/>
      <c r="AN20">
        <v>110</v>
      </c>
      <c r="AO20"/>
      <c r="AP20">
        <v>203</v>
      </c>
      <c r="AQ20"/>
      <c r="AR20" s="24">
        <f t="shared" si="3"/>
        <v>163.5</v>
      </c>
      <c r="AS20" s="24"/>
      <c r="AT20" s="24">
        <v>19300</v>
      </c>
      <c r="AU20" s="24"/>
      <c r="AV20" s="24">
        <v>24000</v>
      </c>
      <c r="AW20" s="24"/>
      <c r="AX20" s="24">
        <v>23800</v>
      </c>
      <c r="AY20" s="24"/>
      <c r="AZ20" s="24">
        <v>23700</v>
      </c>
      <c r="BA20" s="24"/>
      <c r="BB20" s="24">
        <f t="shared" si="4"/>
        <v>22700</v>
      </c>
      <c r="BC20" s="50"/>
      <c r="BD20" s="50"/>
      <c r="BE20" s="50"/>
      <c r="BF20" s="50"/>
      <c r="BG20" s="50"/>
      <c r="BH20" s="50"/>
      <c r="BI20" s="50"/>
      <c r="BJ20" s="50"/>
      <c r="BK20" s="50"/>
    </row>
    <row r="21" spans="2:63" ht="12.75">
      <c r="B21" s="9" t="s">
        <v>111</v>
      </c>
      <c r="D21" s="9" t="s">
        <v>140</v>
      </c>
      <c r="F21" s="50">
        <v>7.82</v>
      </c>
      <c r="G21" s="50"/>
      <c r="H21" s="50">
        <v>9.25</v>
      </c>
      <c r="I21" s="50"/>
      <c r="J21" s="50">
        <v>8.69</v>
      </c>
      <c r="K21" s="50"/>
      <c r="L21" s="50">
        <v>8.39</v>
      </c>
      <c r="M21" s="50"/>
      <c r="N21" s="24">
        <f t="shared" si="2"/>
        <v>8.5375</v>
      </c>
      <c r="O21" s="60"/>
      <c r="P21">
        <v>0.25</v>
      </c>
      <c r="Q21"/>
      <c r="R21"/>
      <c r="S21"/>
      <c r="T21"/>
      <c r="U21"/>
      <c r="V21"/>
      <c r="W21"/>
      <c r="X21" s="60">
        <f t="shared" si="0"/>
        <v>0.25</v>
      </c>
      <c r="Y21" s="60"/>
      <c r="Z21">
        <v>0.122</v>
      </c>
      <c r="AA21"/>
      <c r="AB21">
        <v>0.163</v>
      </c>
      <c r="AC21"/>
      <c r="AD21">
        <v>0.156</v>
      </c>
      <c r="AE21"/>
      <c r="AF21">
        <v>0.161</v>
      </c>
      <c r="AG21"/>
      <c r="AH21" s="24">
        <f t="shared" si="1"/>
        <v>0.15050000000000002</v>
      </c>
      <c r="AI21" s="60"/>
      <c r="AJ21">
        <v>3.59</v>
      </c>
      <c r="AK21"/>
      <c r="AL21">
        <v>1.05</v>
      </c>
      <c r="AM21"/>
      <c r="AN21">
        <v>0.718</v>
      </c>
      <c r="AO21"/>
      <c r="AP21">
        <v>0.979</v>
      </c>
      <c r="AQ21"/>
      <c r="AR21" s="24">
        <f t="shared" si="3"/>
        <v>1.58425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50"/>
      <c r="BD21" s="50"/>
      <c r="BE21" s="50"/>
      <c r="BF21" s="50"/>
      <c r="BG21" s="50"/>
      <c r="BH21" s="50"/>
      <c r="BI21" s="50"/>
      <c r="BJ21" s="50"/>
      <c r="BK21" s="50"/>
    </row>
    <row r="22" spans="2:63" ht="12.75">
      <c r="B22" s="9" t="s">
        <v>104</v>
      </c>
      <c r="D22" s="9" t="s">
        <v>140</v>
      </c>
      <c r="F22" s="50">
        <v>464</v>
      </c>
      <c r="G22" s="50"/>
      <c r="H22" s="50">
        <v>421</v>
      </c>
      <c r="I22" s="50"/>
      <c r="J22" s="50">
        <v>406</v>
      </c>
      <c r="K22" s="50"/>
      <c r="L22" s="50">
        <v>390</v>
      </c>
      <c r="M22" s="50"/>
      <c r="N22" s="24">
        <f t="shared" si="2"/>
        <v>420.25</v>
      </c>
      <c r="O22" s="60"/>
      <c r="P22">
        <v>44.9</v>
      </c>
      <c r="Q22"/>
      <c r="R22"/>
      <c r="S22"/>
      <c r="T22"/>
      <c r="U22"/>
      <c r="V22"/>
      <c r="W22"/>
      <c r="X22" s="60">
        <f t="shared" si="0"/>
        <v>44.9</v>
      </c>
      <c r="Y22" s="60"/>
      <c r="Z22">
        <v>3.7</v>
      </c>
      <c r="AA22"/>
      <c r="AB22">
        <v>4.97</v>
      </c>
      <c r="AC22"/>
      <c r="AD22">
        <v>4.75</v>
      </c>
      <c r="AE22"/>
      <c r="AF22">
        <v>4.92</v>
      </c>
      <c r="AG22"/>
      <c r="AH22" s="24">
        <f t="shared" si="1"/>
        <v>4.585</v>
      </c>
      <c r="AI22" s="60"/>
      <c r="AJ22">
        <v>36.9</v>
      </c>
      <c r="AK22"/>
      <c r="AL22">
        <v>36.4</v>
      </c>
      <c r="AM22"/>
      <c r="AN22">
        <v>21.4</v>
      </c>
      <c r="AO22"/>
      <c r="AP22">
        <v>68.4</v>
      </c>
      <c r="AQ22"/>
      <c r="AR22" s="24">
        <f t="shared" si="3"/>
        <v>40.775</v>
      </c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50"/>
      <c r="BD22" s="50"/>
      <c r="BE22" s="50"/>
      <c r="BF22" s="50"/>
      <c r="BG22" s="50"/>
      <c r="BH22" s="50"/>
      <c r="BI22" s="50"/>
      <c r="BJ22" s="50"/>
      <c r="BK22" s="50"/>
    </row>
    <row r="23" spans="2:63" ht="12.75">
      <c r="B23" s="9" t="s">
        <v>106</v>
      </c>
      <c r="D23" s="9" t="s">
        <v>140</v>
      </c>
      <c r="F23" s="50">
        <v>17.1</v>
      </c>
      <c r="G23" s="50"/>
      <c r="H23" s="50">
        <v>17.7</v>
      </c>
      <c r="I23" s="50"/>
      <c r="J23" s="50">
        <v>17.4</v>
      </c>
      <c r="K23" s="50"/>
      <c r="L23" s="50">
        <v>16.8</v>
      </c>
      <c r="M23" s="50"/>
      <c r="N23" s="24">
        <f t="shared" si="2"/>
        <v>17.25</v>
      </c>
      <c r="O23" s="60"/>
      <c r="P23">
        <v>0.531</v>
      </c>
      <c r="Q23"/>
      <c r="R23"/>
      <c r="S23"/>
      <c r="T23"/>
      <c r="U23"/>
      <c r="V23"/>
      <c r="W23"/>
      <c r="X23" s="60">
        <f t="shared" si="0"/>
        <v>0.531</v>
      </c>
      <c r="Y23" s="60"/>
      <c r="Z23">
        <v>0.608</v>
      </c>
      <c r="AA23"/>
      <c r="AB23">
        <v>0.816</v>
      </c>
      <c r="AC23"/>
      <c r="AD23">
        <v>0.78</v>
      </c>
      <c r="AE23"/>
      <c r="AF23">
        <v>0.807</v>
      </c>
      <c r="AG23"/>
      <c r="AH23" s="24">
        <f t="shared" si="1"/>
        <v>0.7527499999999999</v>
      </c>
      <c r="AI23" s="60"/>
      <c r="AJ23">
        <v>1.53</v>
      </c>
      <c r="AK23"/>
      <c r="AL23">
        <v>1.45</v>
      </c>
      <c r="AM23"/>
      <c r="AN23">
        <v>1.38</v>
      </c>
      <c r="AO23"/>
      <c r="AP23">
        <v>2.04</v>
      </c>
      <c r="AQ23"/>
      <c r="AR23" s="24">
        <f t="shared" si="3"/>
        <v>1.5999999999999999</v>
      </c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50"/>
      <c r="BD23" s="50"/>
      <c r="BE23" s="50"/>
      <c r="BF23" s="50"/>
      <c r="BG23" s="50"/>
      <c r="BH23" s="50"/>
      <c r="BI23" s="50"/>
      <c r="BJ23" s="50"/>
      <c r="BK23" s="50"/>
    </row>
    <row r="24" spans="2:63" ht="12.75">
      <c r="B24" s="9" t="s">
        <v>101</v>
      </c>
      <c r="D24" s="9" t="s">
        <v>140</v>
      </c>
      <c r="F24" s="50">
        <v>85.3</v>
      </c>
      <c r="G24" s="50"/>
      <c r="H24" s="50">
        <v>88.9</v>
      </c>
      <c r="I24" s="50"/>
      <c r="J24" s="50">
        <v>86.9</v>
      </c>
      <c r="K24" s="50"/>
      <c r="L24" s="50">
        <v>83.9</v>
      </c>
      <c r="M24" s="50"/>
      <c r="N24" s="24">
        <f t="shared" si="2"/>
        <v>86.25</v>
      </c>
      <c r="O24" s="60"/>
      <c r="P24">
        <v>2.67</v>
      </c>
      <c r="Q24"/>
      <c r="R24"/>
      <c r="S24"/>
      <c r="T24"/>
      <c r="U24"/>
      <c r="V24"/>
      <c r="W24"/>
      <c r="X24" s="60">
        <f t="shared" si="0"/>
        <v>2.67</v>
      </c>
      <c r="Y24" s="60"/>
      <c r="Z24">
        <v>0.608</v>
      </c>
      <c r="AA24"/>
      <c r="AB24">
        <v>0.816</v>
      </c>
      <c r="AC24"/>
      <c r="AD24">
        <v>0.78</v>
      </c>
      <c r="AE24"/>
      <c r="AF24">
        <v>0.807</v>
      </c>
      <c r="AG24"/>
      <c r="AH24" s="24">
        <f t="shared" si="1"/>
        <v>0.7527499999999999</v>
      </c>
      <c r="AI24" s="60"/>
      <c r="AJ24">
        <v>7.65</v>
      </c>
      <c r="AK24"/>
      <c r="AL24">
        <v>7.23</v>
      </c>
      <c r="AM24"/>
      <c r="AN24">
        <v>6.91</v>
      </c>
      <c r="AO24"/>
      <c r="AP24">
        <v>7.05</v>
      </c>
      <c r="AQ24"/>
      <c r="AR24" s="24">
        <f t="shared" si="3"/>
        <v>7.21</v>
      </c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50"/>
      <c r="BD24" s="50"/>
      <c r="BE24" s="50"/>
      <c r="BF24" s="50"/>
      <c r="BG24" s="50"/>
      <c r="BH24" s="50"/>
      <c r="BI24" s="50"/>
      <c r="BJ24" s="50"/>
      <c r="BK24" s="50"/>
    </row>
    <row r="25" spans="2:63" ht="12.75">
      <c r="B25" s="9" t="s">
        <v>146</v>
      </c>
      <c r="D25" s="9" t="s">
        <v>140</v>
      </c>
      <c r="F25" s="50">
        <v>1570</v>
      </c>
      <c r="G25" s="50"/>
      <c r="H25" s="50">
        <v>1330</v>
      </c>
      <c r="I25" s="50"/>
      <c r="J25" s="50">
        <v>1310</v>
      </c>
      <c r="K25" s="50"/>
      <c r="L25" s="50">
        <v>1310</v>
      </c>
      <c r="M25" s="50"/>
      <c r="N25" s="24">
        <f t="shared" si="2"/>
        <v>1380</v>
      </c>
      <c r="O25" s="60"/>
      <c r="P25">
        <v>50.1</v>
      </c>
      <c r="Q25"/>
      <c r="R25"/>
      <c r="S25"/>
      <c r="T25"/>
      <c r="U25"/>
      <c r="V25"/>
      <c r="W25"/>
      <c r="X25" s="60">
        <f t="shared" si="0"/>
        <v>50.1</v>
      </c>
      <c r="Y25" s="60"/>
      <c r="Z25">
        <v>6100</v>
      </c>
      <c r="AA25"/>
      <c r="AB25">
        <v>8190</v>
      </c>
      <c r="AC25"/>
      <c r="AD25">
        <v>7830</v>
      </c>
      <c r="AE25"/>
      <c r="AF25">
        <v>8100</v>
      </c>
      <c r="AG25"/>
      <c r="AH25" s="24">
        <f t="shared" si="1"/>
        <v>7555</v>
      </c>
      <c r="AI25" s="60"/>
      <c r="AJ25">
        <v>2360</v>
      </c>
      <c r="AK25"/>
      <c r="AL25">
        <v>851</v>
      </c>
      <c r="AM25"/>
      <c r="AN25">
        <v>922</v>
      </c>
      <c r="AO25"/>
      <c r="AP25">
        <v>1300</v>
      </c>
      <c r="AQ25"/>
      <c r="AR25" s="24">
        <f t="shared" si="3"/>
        <v>1358.25</v>
      </c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50"/>
      <c r="BD25" s="50"/>
      <c r="BE25" s="50"/>
      <c r="BF25" s="50"/>
      <c r="BG25" s="50"/>
      <c r="BH25" s="50"/>
      <c r="BI25" s="50"/>
      <c r="BJ25" s="50"/>
      <c r="BK25" s="50"/>
    </row>
    <row r="27" spans="2:64" ht="12.75">
      <c r="B27" s="9" t="s">
        <v>71</v>
      </c>
      <c r="D27" s="9" t="s">
        <v>16</v>
      </c>
      <c r="F27" s="61">
        <f>'emiss 1'!$G$41</f>
        <v>82013</v>
      </c>
      <c r="G27" s="61"/>
      <c r="H27" s="50">
        <f>'emiss 1'!$I$41</f>
        <v>83219</v>
      </c>
      <c r="I27" s="50"/>
      <c r="J27" s="50">
        <f>'emiss 1'!$K$41</f>
        <v>83423</v>
      </c>
      <c r="K27" s="50"/>
      <c r="L27" s="50">
        <f>'emiss 1'!$M$41</f>
        <v>80974</v>
      </c>
      <c r="M27" s="50"/>
      <c r="N27" s="51">
        <f>'emiss 1'!$O$41</f>
        <v>82407.25</v>
      </c>
      <c r="O27" s="51"/>
      <c r="P27" s="61">
        <f>'emiss 1'!$G$41</f>
        <v>82013</v>
      </c>
      <c r="Q27" s="61"/>
      <c r="R27" s="50">
        <f>'emiss 1'!$I$41</f>
        <v>83219</v>
      </c>
      <c r="T27" s="50">
        <f>'emiss 1'!$K$41</f>
        <v>83423</v>
      </c>
      <c r="V27" s="50">
        <f>'emiss 1'!$M$41</f>
        <v>80974</v>
      </c>
      <c r="X27" s="51">
        <f>'emiss 1'!$O$41</f>
        <v>82407.25</v>
      </c>
      <c r="Y27" s="51"/>
      <c r="Z27" s="61">
        <f>'emiss 1'!$G$41</f>
        <v>82013</v>
      </c>
      <c r="AA27" s="61"/>
      <c r="AB27" s="50">
        <f>'emiss 1'!$I$41</f>
        <v>83219</v>
      </c>
      <c r="AC27" s="50"/>
      <c r="AD27" s="50">
        <f>'emiss 1'!$K$41</f>
        <v>83423</v>
      </c>
      <c r="AE27" s="50"/>
      <c r="AF27" s="50">
        <f>'emiss 1'!$M$41</f>
        <v>80974</v>
      </c>
      <c r="AG27" s="50"/>
      <c r="AH27" s="51">
        <f>'emiss 1'!$O$41</f>
        <v>82407.25</v>
      </c>
      <c r="AI27" s="51"/>
      <c r="AJ27" s="61">
        <f>'emiss 1'!$G$41</f>
        <v>82013</v>
      </c>
      <c r="AK27" s="61"/>
      <c r="AL27" s="50">
        <f>'emiss 1'!$I$41</f>
        <v>83219</v>
      </c>
      <c r="AM27" s="50"/>
      <c r="AN27" s="50">
        <f>'emiss 1'!$K$41</f>
        <v>83423</v>
      </c>
      <c r="AO27" s="50"/>
      <c r="AP27" s="50">
        <f>'emiss 1'!$M$41</f>
        <v>80974</v>
      </c>
      <c r="AQ27" s="50"/>
      <c r="AR27" s="51">
        <f>'emiss 1'!$O$41</f>
        <v>82407.25</v>
      </c>
      <c r="AS27" s="51"/>
      <c r="AT27" s="61">
        <f>'emiss 1'!$G$41</f>
        <v>82013</v>
      </c>
      <c r="AU27" s="61"/>
      <c r="AV27" s="50">
        <f>'emiss 1'!$I$41</f>
        <v>83219</v>
      </c>
      <c r="AW27" s="50"/>
      <c r="AX27" s="50">
        <f>'emiss 1'!$K$41</f>
        <v>83423</v>
      </c>
      <c r="AY27" s="50"/>
      <c r="AZ27" s="50">
        <f>'emiss 1'!$M$41</f>
        <v>80974</v>
      </c>
      <c r="BA27" s="50"/>
      <c r="BB27" s="51">
        <f>'emiss 1'!$O$41</f>
        <v>82407.25</v>
      </c>
      <c r="BD27" s="78">
        <f>AT27</f>
        <v>82013</v>
      </c>
      <c r="BF27" s="78">
        <f>AV27</f>
        <v>83219</v>
      </c>
      <c r="BH27" s="78">
        <f>AX27</f>
        <v>83423</v>
      </c>
      <c r="BJ27" s="78">
        <f>AZ27</f>
        <v>80974</v>
      </c>
      <c r="BL27" s="51">
        <f>'emiss 1'!$O$41</f>
        <v>82407.25</v>
      </c>
    </row>
    <row r="28" spans="2:64" ht="12.75">
      <c r="B28" s="9" t="s">
        <v>72</v>
      </c>
      <c r="D28" s="9" t="s">
        <v>14</v>
      </c>
      <c r="F28" s="50">
        <f>'emiss 1'!$G$42</f>
        <v>9.1</v>
      </c>
      <c r="G28" s="50"/>
      <c r="H28" s="50">
        <f>'emiss 1'!$I$42</f>
        <v>8.8</v>
      </c>
      <c r="I28" s="50"/>
      <c r="J28" s="50">
        <f>'emiss 1'!$K$42</f>
        <v>8.8</v>
      </c>
      <c r="K28" s="50"/>
      <c r="L28" s="50">
        <f>'emiss 1'!$M$42</f>
        <v>9.5</v>
      </c>
      <c r="M28" s="50"/>
      <c r="N28" s="51">
        <f>'emiss 1'!$O$42</f>
        <v>9.05</v>
      </c>
      <c r="O28" s="51"/>
      <c r="P28" s="50">
        <f>'emiss 1'!$G$42</f>
        <v>9.1</v>
      </c>
      <c r="R28" s="50">
        <f>'emiss 1'!$I$42</f>
        <v>8.8</v>
      </c>
      <c r="T28" s="50">
        <f>'emiss 1'!$K$42</f>
        <v>8.8</v>
      </c>
      <c r="V28" s="50">
        <f>'emiss 1'!$M$42</f>
        <v>9.5</v>
      </c>
      <c r="X28" s="51">
        <f>'emiss 1'!$O$42</f>
        <v>9.05</v>
      </c>
      <c r="Y28" s="51"/>
      <c r="Z28" s="50">
        <f>'emiss 1'!$G$42</f>
        <v>9.1</v>
      </c>
      <c r="AA28" s="50"/>
      <c r="AB28" s="50">
        <f>'emiss 1'!$I$42</f>
        <v>8.8</v>
      </c>
      <c r="AC28" s="50"/>
      <c r="AD28" s="50">
        <f>'emiss 1'!$K$42</f>
        <v>8.8</v>
      </c>
      <c r="AE28" s="50"/>
      <c r="AF28" s="50">
        <f>'emiss 1'!$M$42</f>
        <v>9.5</v>
      </c>
      <c r="AG28" s="50"/>
      <c r="AH28" s="51">
        <f>'emiss 1'!$O$42</f>
        <v>9.05</v>
      </c>
      <c r="AI28" s="51"/>
      <c r="AJ28" s="50">
        <f>'emiss 1'!$G$42</f>
        <v>9.1</v>
      </c>
      <c r="AK28" s="50"/>
      <c r="AL28" s="50">
        <f>'emiss 1'!$I$42</f>
        <v>8.8</v>
      </c>
      <c r="AM28" s="50"/>
      <c r="AN28" s="50">
        <f>'emiss 1'!$K$42</f>
        <v>8.8</v>
      </c>
      <c r="AO28" s="50"/>
      <c r="AP28" s="50">
        <f>'emiss 1'!$M$42</f>
        <v>9.5</v>
      </c>
      <c r="AQ28" s="50"/>
      <c r="AR28" s="51">
        <f>'emiss 1'!$O$42</f>
        <v>9.05</v>
      </c>
      <c r="AS28" s="51"/>
      <c r="AT28" s="50">
        <f>'emiss 1'!$G$42</f>
        <v>9.1</v>
      </c>
      <c r="AU28" s="50"/>
      <c r="AV28" s="50">
        <f>'emiss 1'!$I$42</f>
        <v>8.8</v>
      </c>
      <c r="AW28" s="50"/>
      <c r="AX28" s="50">
        <f>'emiss 1'!$K$42</f>
        <v>8.8</v>
      </c>
      <c r="AY28" s="50"/>
      <c r="AZ28" s="50">
        <f>'emiss 1'!$M$42</f>
        <v>9.5</v>
      </c>
      <c r="BA28" s="50"/>
      <c r="BB28" s="51">
        <f>'emiss 1'!$O$42</f>
        <v>9.05</v>
      </c>
      <c r="BD28" s="4">
        <f>AT28</f>
        <v>9.1</v>
      </c>
      <c r="BF28" s="4">
        <f>AV28</f>
        <v>8.8</v>
      </c>
      <c r="BH28" s="4">
        <f>AX28</f>
        <v>8.8</v>
      </c>
      <c r="BJ28" s="4">
        <f>AZ28</f>
        <v>9.5</v>
      </c>
      <c r="BL28" s="51">
        <f>'emiss 1'!$O$42</f>
        <v>9.05</v>
      </c>
    </row>
    <row r="29" ht="12.75">
      <c r="BL29" s="14"/>
    </row>
    <row r="30" spans="2:64" ht="12.75">
      <c r="B30" s="54" t="s">
        <v>88</v>
      </c>
      <c r="C30" s="54"/>
      <c r="BL30" s="14"/>
    </row>
    <row r="31" spans="2:65" ht="12.75">
      <c r="B31" s="9" t="s">
        <v>22</v>
      </c>
      <c r="D31" s="9" t="s">
        <v>69</v>
      </c>
      <c r="F31" s="51">
        <f aca="true" t="shared" si="5" ref="F31:L43">F13/F$27/60/0.0283*1000000*(21-7)/(21-F$28)</f>
        <v>59981.73704794014</v>
      </c>
      <c r="G31" s="51"/>
      <c r="H31" s="51">
        <f t="shared" si="5"/>
        <v>58146.16128680458</v>
      </c>
      <c r="I31" s="51"/>
      <c r="J31" s="51">
        <f t="shared" si="5"/>
        <v>59786.21744357414</v>
      </c>
      <c r="K31" s="51"/>
      <c r="L31" s="51">
        <f t="shared" si="5"/>
        <v>57197.81438727134</v>
      </c>
      <c r="M31" s="51"/>
      <c r="N31" s="51">
        <f aca="true" t="shared" si="6" ref="N31:N43">N13/N$27/60/0.0283*1000000*(21-7)/(21-N$28)</f>
        <v>58817.065304771175</v>
      </c>
      <c r="O31" s="51"/>
      <c r="P31" s="51">
        <f aca="true" t="shared" si="7" ref="P31:P43">P13/P$27/60/0.0283*1000000*(21-7)/(21-P$28)</f>
        <v>10898.09025237222</v>
      </c>
      <c r="Q31" s="51"/>
      <c r="R31" s="51"/>
      <c r="S31" s="51"/>
      <c r="T31" s="51"/>
      <c r="U31" s="51"/>
      <c r="V31" s="51"/>
      <c r="W31" s="51"/>
      <c r="X31" s="51">
        <f>X13/X$27/60/0.0283*1000000*(21-7)/(21-X$28)</f>
        <v>10800.571422513141</v>
      </c>
      <c r="Y31" s="51"/>
      <c r="Z31" s="51">
        <f>Z13/Z$27/60/0.0283*1000000*(21-7)/(21-Z$28)</f>
        <v>30835.68172182838</v>
      </c>
      <c r="AA31" s="51"/>
      <c r="AB31" s="51">
        <f>AB13/AB$27/60/0.0283*1000000*(21-7)/(21-AB$28)</f>
        <v>39792.76400912604</v>
      </c>
      <c r="AC31" s="51"/>
      <c r="AD31" s="51">
        <f>AD13/AD$27/60/0.0283*1000000*(21-7)/(21-AD$28)</f>
        <v>37913.211061778726</v>
      </c>
      <c r="AE31" s="51"/>
      <c r="AF31" s="51">
        <f>AF13/AF$27/60/0.0283*1000000*(21-7)/(21-AF$28)</f>
        <v>42854.0900362838</v>
      </c>
      <c r="AG31" s="51"/>
      <c r="AH31" s="51">
        <f>AH13/AH$27/60/0.0283*1000000*(21-7)/(21-AH$28)</f>
        <v>37822.9313187621</v>
      </c>
      <c r="AI31" s="51"/>
      <c r="AJ31" s="51">
        <f>AJ13/AJ$27/60/0.0283*1000000*(21-7)/(21-AJ$28)</f>
        <v>2475302.6697248532</v>
      </c>
      <c r="AK31" s="51"/>
      <c r="AL31" s="51">
        <f>AL13/AL$27/60/0.0283*1000000*(21-7)/(21-AL$28)</f>
        <v>1153178.0590399792</v>
      </c>
      <c r="AM31" s="51"/>
      <c r="AN31" s="51">
        <f>AN13/AN$27/60/0.0283*1000000*(21-7)/(21-AN$28)</f>
        <v>510370.1489085598</v>
      </c>
      <c r="AO31" s="51"/>
      <c r="AP31" s="51">
        <f>AP13/AP$27/60/0.0283*1000000*(21-7)/(21-AP$28)</f>
        <v>557811.5025384048</v>
      </c>
      <c r="AQ31" s="51"/>
      <c r="AR31" s="51">
        <f>AR13/AR$27/60/0.0283*1000000*(21-7)/(21-AR$28)</f>
        <v>1174248.1720988122</v>
      </c>
      <c r="AS31" s="51"/>
      <c r="AT31" s="51">
        <f>AT13/AT$27/60/0.0283*1000000*(21-7)/(21-AT$28)</f>
        <v>0</v>
      </c>
      <c r="AU31" s="51"/>
      <c r="AV31" s="51">
        <f>AV13/AV$27/60/0.0283*1000000*(21-7)/(21-AV$28)</f>
        <v>1242508.7537543438</v>
      </c>
      <c r="AW31" s="51"/>
      <c r="AX31" s="51">
        <f>AX13/AX$27/60/0.0283*1000000*(21-7)/(21-AX$28)</f>
        <v>1288077.0424835077</v>
      </c>
      <c r="AY31" s="51"/>
      <c r="AZ31" s="51">
        <f>AZ13/AZ$27/60/0.0283*1000000*(21-7)/(21-AZ$28)</f>
        <v>1496351.4909363554</v>
      </c>
      <c r="BA31" s="51"/>
      <c r="BB31" s="51">
        <f>BB13/BB$27/60/0.0283*1000000*(21-7)/(21-BB$28)</f>
        <v>1006797.4523699264</v>
      </c>
      <c r="BC31" s="51"/>
      <c r="BD31" s="14">
        <f aca="true" t="shared" si="8" ref="BD31:BD43">F31+P31+Z31+AJ31+AT31</f>
        <v>2577018.178746994</v>
      </c>
      <c r="BE31" s="14"/>
      <c r="BF31" s="14">
        <f aca="true" t="shared" si="9" ref="BF31:BF43">H31+R31+AB31+AL31+AV31</f>
        <v>2493625.7380902534</v>
      </c>
      <c r="BG31" s="14"/>
      <c r="BH31" s="14">
        <f aca="true" t="shared" si="10" ref="BH31:BH43">J31+T31+AD31+AN31+AX31</f>
        <v>1896146.6198974203</v>
      </c>
      <c r="BI31" s="14"/>
      <c r="BJ31" s="14">
        <f aca="true" t="shared" si="11" ref="BJ31:BJ43">L31+V31+AF31+AP31+AZ31</f>
        <v>2154214.8978983155</v>
      </c>
      <c r="BK31" s="14"/>
      <c r="BL31" s="14">
        <f>N31+X31+AH31+AR31+BB31</f>
        <v>2288486.192514785</v>
      </c>
      <c r="BM31" s="14">
        <f>AVERAGE(BD31:BJ31)</f>
        <v>2280251.3586582458</v>
      </c>
    </row>
    <row r="32" spans="2:64" ht="12.75">
      <c r="B32" s="9" t="s">
        <v>102</v>
      </c>
      <c r="D32" s="9" t="s">
        <v>69</v>
      </c>
      <c r="F32" s="51">
        <f t="shared" si="5"/>
        <v>577.8522273350852</v>
      </c>
      <c r="G32" s="51"/>
      <c r="H32" s="51">
        <f t="shared" si="5"/>
        <v>576.5890295199897</v>
      </c>
      <c r="I32" s="51"/>
      <c r="J32" s="51">
        <f t="shared" si="5"/>
        <v>561.4071637994157</v>
      </c>
      <c r="K32" s="51"/>
      <c r="L32" s="51">
        <f t="shared" si="5"/>
        <v>597.655181291148</v>
      </c>
      <c r="M32" s="51"/>
      <c r="N32" s="51">
        <f t="shared" si="6"/>
        <v>578.1236098639785</v>
      </c>
      <c r="O32" s="51"/>
      <c r="P32" s="51">
        <f t="shared" si="7"/>
        <v>17.91003979459621</v>
      </c>
      <c r="Q32" s="51"/>
      <c r="R32" s="51"/>
      <c r="S32" s="51"/>
      <c r="T32" s="51"/>
      <c r="U32" s="51"/>
      <c r="V32" s="51"/>
      <c r="W32" s="51"/>
      <c r="X32" s="51">
        <f aca="true" t="shared" si="12" ref="X32:AF43">X14/X$27/60/0.0283*1000000*(21-7)/(21-X$28)</f>
        <v>17.749776291261902</v>
      </c>
      <c r="Y32" s="51"/>
      <c r="Z32" s="51">
        <f t="shared" si="12"/>
        <v>92.08463856655598</v>
      </c>
      <c r="AA32" s="51"/>
      <c r="AB32" s="51">
        <f t="shared" si="12"/>
        <v>119.37829202737812</v>
      </c>
      <c r="AC32" s="51"/>
      <c r="AD32" s="51">
        <f t="shared" si="12"/>
        <v>113.41558864634662</v>
      </c>
      <c r="AE32" s="51"/>
      <c r="AF32" s="51">
        <f t="shared" si="12"/>
        <v>128.38518709217254</v>
      </c>
      <c r="AG32" s="51"/>
      <c r="AH32" s="51">
        <f aca="true" t="shared" si="13" ref="AH32:AP43">AH14/AH$27/60/0.0283*1000000*(21-7)/(21-AH$28)</f>
        <v>113.23854921665908</v>
      </c>
      <c r="AI32" s="51"/>
      <c r="AJ32" s="51">
        <f t="shared" si="13"/>
        <v>125.03235328303015</v>
      </c>
      <c r="AK32" s="51"/>
      <c r="AL32" s="51">
        <f t="shared" si="13"/>
        <v>329.7114732184729</v>
      </c>
      <c r="AM32" s="51"/>
      <c r="AN32" s="51">
        <f t="shared" si="13"/>
        <v>107.74480921402927</v>
      </c>
      <c r="AO32" s="51"/>
      <c r="AP32" s="51">
        <f t="shared" si="13"/>
        <v>377.18682552596897</v>
      </c>
      <c r="AQ32" s="51"/>
      <c r="AR32" s="51">
        <f aca="true" t="shared" si="14" ref="AR32:AZ43">AR14/AR$27/60/0.0283*1000000*(21-7)/(21-AR$28)</f>
        <v>232.96581382281252</v>
      </c>
      <c r="AS32" s="51"/>
      <c r="AT32" s="51">
        <f t="shared" si="14"/>
        <v>0</v>
      </c>
      <c r="AU32" s="51"/>
      <c r="AV32" s="51">
        <f t="shared" si="14"/>
        <v>0</v>
      </c>
      <c r="AW32" s="51"/>
      <c r="AX32" s="51">
        <f t="shared" si="14"/>
        <v>0</v>
      </c>
      <c r="AY32" s="51"/>
      <c r="AZ32" s="51">
        <f t="shared" si="14"/>
        <v>0</v>
      </c>
      <c r="BA32" s="51"/>
      <c r="BB32" s="51">
        <f aca="true" t="shared" si="15" ref="BB32:BB43">BB14/BB$27/60/0.0283*1000000*(21-7)/(21-BB$28)</f>
        <v>0</v>
      </c>
      <c r="BC32" s="51"/>
      <c r="BD32" s="14">
        <f t="shared" si="8"/>
        <v>812.8792589792675</v>
      </c>
      <c r="BE32" s="14"/>
      <c r="BF32" s="14">
        <f t="shared" si="9"/>
        <v>1025.6787947658408</v>
      </c>
      <c r="BG32" s="14"/>
      <c r="BH32" s="14">
        <f t="shared" si="10"/>
        <v>782.5675616597915</v>
      </c>
      <c r="BI32" s="14"/>
      <c r="BJ32" s="14">
        <f t="shared" si="11"/>
        <v>1103.2271939092896</v>
      </c>
      <c r="BK32" s="14"/>
      <c r="BL32" s="14">
        <f aca="true" t="shared" si="16" ref="BL32:BL43">N32+X32+AH32+AR32+BB32</f>
        <v>942.0777491947119</v>
      </c>
    </row>
    <row r="33" spans="2:64" ht="12.75">
      <c r="B33" s="9" t="s">
        <v>98</v>
      </c>
      <c r="D33" s="9" t="s">
        <v>69</v>
      </c>
      <c r="F33" s="51">
        <f t="shared" si="5"/>
        <v>1233.427268873135</v>
      </c>
      <c r="G33" s="51"/>
      <c r="H33" s="51">
        <f t="shared" si="5"/>
        <v>877.0650026501252</v>
      </c>
      <c r="I33" s="51"/>
      <c r="J33" s="51">
        <f t="shared" si="5"/>
        <v>1134.155886463466</v>
      </c>
      <c r="K33" s="51"/>
      <c r="L33" s="51">
        <f t="shared" si="5"/>
        <v>1071.352250907095</v>
      </c>
      <c r="M33" s="51"/>
      <c r="N33" s="51">
        <f t="shared" si="6"/>
        <v>1077.9640082547028</v>
      </c>
      <c r="O33" s="51"/>
      <c r="P33" s="51">
        <f t="shared" si="7"/>
        <v>971.5351775370584</v>
      </c>
      <c r="Q33" s="51"/>
      <c r="R33" s="51"/>
      <c r="S33" s="51"/>
      <c r="T33" s="51"/>
      <c r="U33" s="51"/>
      <c r="V33" s="51"/>
      <c r="W33" s="51"/>
      <c r="X33" s="51">
        <f t="shared" si="12"/>
        <v>962.8416384410937</v>
      </c>
      <c r="Y33" s="51"/>
      <c r="Z33" s="51">
        <f t="shared" si="12"/>
        <v>7.907451531953798</v>
      </c>
      <c r="AA33" s="51"/>
      <c r="AB33" s="51">
        <f t="shared" si="12"/>
        <v>10.232425030918128</v>
      </c>
      <c r="AC33" s="51"/>
      <c r="AD33" s="51">
        <f t="shared" si="12"/>
        <v>9.72133616968685</v>
      </c>
      <c r="AE33" s="51"/>
      <c r="AF33" s="51">
        <f t="shared" si="12"/>
        <v>10.979147034089237</v>
      </c>
      <c r="AG33" s="51"/>
      <c r="AH33" s="51">
        <f t="shared" si="13"/>
        <v>9.703769208288938</v>
      </c>
      <c r="AI33" s="51"/>
      <c r="AJ33" s="51">
        <f t="shared" si="13"/>
        <v>358.20079589192414</v>
      </c>
      <c r="AK33" s="51"/>
      <c r="AL33" s="51">
        <f t="shared" si="13"/>
        <v>20464.850061836256</v>
      </c>
      <c r="AM33" s="51"/>
      <c r="AN33" s="51">
        <f t="shared" si="13"/>
        <v>162.83238084225476</v>
      </c>
      <c r="AO33" s="51"/>
      <c r="AP33" s="51">
        <f t="shared" si="13"/>
        <v>561.353162871982</v>
      </c>
      <c r="AQ33" s="51"/>
      <c r="AR33" s="51">
        <f t="shared" si="14"/>
        <v>5538.223241633239</v>
      </c>
      <c r="AS33" s="51"/>
      <c r="AT33" s="51">
        <f t="shared" si="14"/>
        <v>99687.95734728075</v>
      </c>
      <c r="AU33" s="51"/>
      <c r="AV33" s="51">
        <f t="shared" si="14"/>
        <v>76174.71967461272</v>
      </c>
      <c r="AW33" s="51"/>
      <c r="AX33" s="51">
        <f t="shared" si="14"/>
        <v>81011.13474739045</v>
      </c>
      <c r="AY33" s="51"/>
      <c r="AZ33" s="51">
        <f t="shared" si="14"/>
        <v>84380.05744747614</v>
      </c>
      <c r="BA33" s="51"/>
      <c r="BB33" s="51">
        <f t="shared" si="15"/>
        <v>85211.4850020368</v>
      </c>
      <c r="BC33" s="51"/>
      <c r="BD33" s="14">
        <f t="shared" si="8"/>
        <v>102259.02804111483</v>
      </c>
      <c r="BE33" s="14"/>
      <c r="BF33" s="14">
        <f t="shared" si="9"/>
        <v>97526.86716413002</v>
      </c>
      <c r="BG33" s="14"/>
      <c r="BH33" s="14">
        <f t="shared" si="10"/>
        <v>82317.84435086585</v>
      </c>
      <c r="BI33" s="14"/>
      <c r="BJ33" s="14">
        <f t="shared" si="11"/>
        <v>86023.74200828931</v>
      </c>
      <c r="BK33" s="14"/>
      <c r="BL33" s="14">
        <f t="shared" si="16"/>
        <v>92800.21765957413</v>
      </c>
    </row>
    <row r="34" spans="2:64" ht="12.75">
      <c r="B34" s="9" t="s">
        <v>99</v>
      </c>
      <c r="D34" s="9" t="s">
        <v>69</v>
      </c>
      <c r="F34" s="51">
        <f t="shared" si="5"/>
        <v>23316.8442608894</v>
      </c>
      <c r="G34" s="51"/>
      <c r="H34" s="51">
        <f t="shared" si="5"/>
        <v>17866.138942872916</v>
      </c>
      <c r="I34" s="51"/>
      <c r="J34" s="51">
        <f t="shared" si="5"/>
        <v>17822.449644425895</v>
      </c>
      <c r="K34" s="51"/>
      <c r="L34" s="51">
        <f t="shared" si="5"/>
        <v>17531.218651207004</v>
      </c>
      <c r="M34" s="51"/>
      <c r="N34" s="51">
        <f t="shared" si="6"/>
        <v>19131.244729025213</v>
      </c>
      <c r="O34" s="51"/>
      <c r="P34" s="51">
        <f t="shared" si="7"/>
        <v>565.1800293672105</v>
      </c>
      <c r="Q34" s="51"/>
      <c r="R34" s="51"/>
      <c r="S34" s="51"/>
      <c r="T34" s="51"/>
      <c r="U34" s="51"/>
      <c r="V34" s="51"/>
      <c r="W34" s="51"/>
      <c r="X34" s="51">
        <f t="shared" si="12"/>
        <v>560.1226574931233</v>
      </c>
      <c r="Y34" s="51"/>
      <c r="Z34" s="51">
        <f t="shared" si="12"/>
        <v>42.071697253343935</v>
      </c>
      <c r="AA34" s="51"/>
      <c r="AB34" s="51">
        <f t="shared" si="12"/>
        <v>54.32930433082719</v>
      </c>
      <c r="AC34" s="51"/>
      <c r="AD34" s="51">
        <f t="shared" si="12"/>
        <v>51.84712623832988</v>
      </c>
      <c r="AE34" s="51"/>
      <c r="AF34" s="51">
        <f t="shared" si="12"/>
        <v>58.61447852070221</v>
      </c>
      <c r="AG34" s="51"/>
      <c r="AH34" s="51">
        <f t="shared" si="13"/>
        <v>51.6794783763274</v>
      </c>
      <c r="AI34" s="51"/>
      <c r="AJ34" s="51">
        <f t="shared" si="13"/>
        <v>2838.5723448039275</v>
      </c>
      <c r="AK34" s="51"/>
      <c r="AL34" s="51">
        <f t="shared" si="13"/>
        <v>5181.180293433147</v>
      </c>
      <c r="AM34" s="51"/>
      <c r="AN34" s="51">
        <f t="shared" si="13"/>
        <v>2892.0975104818385</v>
      </c>
      <c r="AO34" s="51"/>
      <c r="AP34" s="51">
        <f t="shared" si="13"/>
        <v>7800.5068847037255</v>
      </c>
      <c r="AQ34" s="51"/>
      <c r="AR34" s="51">
        <f t="shared" si="14"/>
        <v>4630.012400503695</v>
      </c>
      <c r="AS34" s="51"/>
      <c r="AT34" s="51">
        <f t="shared" si="14"/>
        <v>0</v>
      </c>
      <c r="AU34" s="51"/>
      <c r="AV34" s="51">
        <f t="shared" si="14"/>
        <v>0</v>
      </c>
      <c r="AW34" s="51"/>
      <c r="AX34" s="51">
        <f t="shared" si="14"/>
        <v>0</v>
      </c>
      <c r="AY34" s="51"/>
      <c r="AZ34" s="51">
        <f t="shared" si="14"/>
        <v>0</v>
      </c>
      <c r="BA34" s="51"/>
      <c r="BB34" s="51">
        <f t="shared" si="15"/>
        <v>0</v>
      </c>
      <c r="BC34" s="51"/>
      <c r="BD34" s="14">
        <f t="shared" si="8"/>
        <v>26762.668332313882</v>
      </c>
      <c r="BE34" s="14"/>
      <c r="BF34" s="14">
        <f t="shared" si="9"/>
        <v>23101.64854063689</v>
      </c>
      <c r="BG34" s="14"/>
      <c r="BH34" s="14">
        <f t="shared" si="10"/>
        <v>20766.394281146062</v>
      </c>
      <c r="BI34" s="14"/>
      <c r="BJ34" s="14">
        <f t="shared" si="11"/>
        <v>25390.340014431433</v>
      </c>
      <c r="BK34" s="14"/>
      <c r="BL34" s="14">
        <f t="shared" si="16"/>
        <v>24373.059265398362</v>
      </c>
    </row>
    <row r="35" spans="2:64" ht="12.75">
      <c r="B35" s="9" t="s">
        <v>100</v>
      </c>
      <c r="D35" s="9" t="s">
        <v>69</v>
      </c>
      <c r="F35" s="51">
        <f t="shared" si="5"/>
        <v>144.4630568337713</v>
      </c>
      <c r="G35" s="51"/>
      <c r="H35" s="51">
        <f t="shared" si="5"/>
        <v>143.7412087676594</v>
      </c>
      <c r="I35" s="51"/>
      <c r="J35" s="51">
        <f t="shared" si="5"/>
        <v>140.95937446045934</v>
      </c>
      <c r="K35" s="51"/>
      <c r="L35" s="51">
        <f t="shared" si="5"/>
        <v>148.74973401024127</v>
      </c>
      <c r="M35" s="51"/>
      <c r="N35" s="51">
        <f t="shared" si="6"/>
        <v>144.42624576616407</v>
      </c>
      <c r="O35" s="51"/>
      <c r="P35" s="51">
        <f t="shared" si="7"/>
        <v>5.533526445971944</v>
      </c>
      <c r="Q35" s="51"/>
      <c r="R35" s="51"/>
      <c r="S35" s="51"/>
      <c r="T35" s="51"/>
      <c r="U35" s="51"/>
      <c r="V35" s="51"/>
      <c r="W35" s="51"/>
      <c r="X35" s="51">
        <f t="shared" si="12"/>
        <v>5.484011071121014</v>
      </c>
      <c r="Y35" s="51"/>
      <c r="Z35" s="51">
        <f t="shared" si="12"/>
        <v>0.5153360506935701</v>
      </c>
      <c r="AA35" s="51"/>
      <c r="AB35" s="51">
        <f t="shared" si="12"/>
        <v>0.6626713353356501</v>
      </c>
      <c r="AC35" s="51"/>
      <c r="AD35" s="51">
        <f t="shared" si="12"/>
        <v>0.6318868510296454</v>
      </c>
      <c r="AE35" s="51"/>
      <c r="AF35" s="51">
        <f t="shared" si="12"/>
        <v>0.7145299722991948</v>
      </c>
      <c r="AG35" s="51"/>
      <c r="AH35" s="51">
        <f t="shared" si="13"/>
        <v>0.6306612731789164</v>
      </c>
      <c r="AI35" s="51"/>
      <c r="AJ35" s="51">
        <f t="shared" si="13"/>
        <v>12.925641927232167</v>
      </c>
      <c r="AK35" s="51"/>
      <c r="AL35" s="51">
        <f t="shared" si="13"/>
        <v>11.775409757802604</v>
      </c>
      <c r="AM35" s="51"/>
      <c r="AN35" s="51">
        <f t="shared" si="13"/>
        <v>11.179536595139883</v>
      </c>
      <c r="AO35" s="51"/>
      <c r="AP35" s="51">
        <f t="shared" si="13"/>
        <v>12.484352675859535</v>
      </c>
      <c r="AQ35" s="51"/>
      <c r="AR35" s="51">
        <f t="shared" si="14"/>
        <v>12.077383160445894</v>
      </c>
      <c r="AS35" s="51"/>
      <c r="AT35" s="51">
        <f t="shared" si="14"/>
        <v>2483.7508017034365</v>
      </c>
      <c r="AU35" s="51"/>
      <c r="AV35" s="51">
        <f t="shared" si="14"/>
        <v>1794.7348665340526</v>
      </c>
      <c r="AW35" s="51"/>
      <c r="AX35" s="51">
        <f t="shared" si="14"/>
        <v>1636.4249218972864</v>
      </c>
      <c r="AY35" s="51"/>
      <c r="AZ35" s="51">
        <f t="shared" si="14"/>
        <v>1841.6633734601305</v>
      </c>
      <c r="BA35" s="51"/>
      <c r="BB35" s="51">
        <f t="shared" si="15"/>
        <v>1936.148946865243</v>
      </c>
      <c r="BC35" s="51"/>
      <c r="BD35" s="14">
        <f t="shared" si="8"/>
        <v>2647.1883629611057</v>
      </c>
      <c r="BE35" s="14"/>
      <c r="BF35" s="14">
        <f t="shared" si="9"/>
        <v>1950.9141563948501</v>
      </c>
      <c r="BG35" s="14"/>
      <c r="BH35" s="14">
        <f t="shared" si="10"/>
        <v>1789.1957198039152</v>
      </c>
      <c r="BI35" s="14"/>
      <c r="BJ35" s="14">
        <f t="shared" si="11"/>
        <v>2003.6119901185305</v>
      </c>
      <c r="BK35" s="14"/>
      <c r="BL35" s="14">
        <f t="shared" si="16"/>
        <v>2098.767248136153</v>
      </c>
    </row>
    <row r="36" spans="2:64" ht="12.75">
      <c r="B36" s="9" t="s">
        <v>105</v>
      </c>
      <c r="D36" s="9" t="s">
        <v>69</v>
      </c>
      <c r="F36" s="51">
        <f t="shared" si="5"/>
        <v>275.4091025018096</v>
      </c>
      <c r="G36" s="51"/>
      <c r="H36" s="51">
        <f t="shared" si="5"/>
        <v>246.06545907684063</v>
      </c>
      <c r="I36" s="51"/>
      <c r="J36" s="51">
        <f t="shared" si="5"/>
        <v>234.12217941995831</v>
      </c>
      <c r="K36" s="51"/>
      <c r="L36" s="51">
        <f t="shared" si="5"/>
        <v>245.2599781002192</v>
      </c>
      <c r="M36" s="51"/>
      <c r="N36" s="51">
        <f t="shared" si="6"/>
        <v>250.12951259502333</v>
      </c>
      <c r="O36" s="51"/>
      <c r="P36" s="51">
        <f t="shared" si="7"/>
        <v>4.899916547578207</v>
      </c>
      <c r="Q36" s="51"/>
      <c r="R36" s="51"/>
      <c r="S36" s="51"/>
      <c r="T36" s="51"/>
      <c r="U36" s="51"/>
      <c r="V36" s="51"/>
      <c r="W36" s="51"/>
      <c r="X36" s="51">
        <f t="shared" si="12"/>
        <v>4.856070872137691</v>
      </c>
      <c r="Y36" s="51"/>
      <c r="Z36" s="51">
        <f t="shared" si="12"/>
        <v>22.64099370260276</v>
      </c>
      <c r="AA36" s="51"/>
      <c r="AB36" s="51">
        <f t="shared" si="12"/>
        <v>29.2355000883375</v>
      </c>
      <c r="AC36" s="51"/>
      <c r="AD36" s="51">
        <f t="shared" si="12"/>
        <v>27.867830353102303</v>
      </c>
      <c r="AE36" s="51"/>
      <c r="AF36" s="51">
        <f t="shared" si="12"/>
        <v>31.520776968836838</v>
      </c>
      <c r="AG36" s="51"/>
      <c r="AH36" s="51">
        <f t="shared" si="13"/>
        <v>27.796819474995058</v>
      </c>
      <c r="AI36" s="51"/>
      <c r="AJ36" s="51">
        <f t="shared" si="13"/>
        <v>2466.85453774627</v>
      </c>
      <c r="AK36" s="51"/>
      <c r="AL36" s="51">
        <f t="shared" si="13"/>
        <v>770.6802662175637</v>
      </c>
      <c r="AM36" s="51"/>
      <c r="AN36" s="51">
        <f t="shared" si="13"/>
        <v>99.64369573929022</v>
      </c>
      <c r="AO36" s="51"/>
      <c r="AP36" s="51">
        <f t="shared" si="13"/>
        <v>772.9673678032179</v>
      </c>
      <c r="AQ36" s="51"/>
      <c r="AR36" s="51">
        <f t="shared" si="14"/>
        <v>1018.3096893512874</v>
      </c>
      <c r="AS36" s="51"/>
      <c r="AT36" s="51">
        <f t="shared" si="14"/>
        <v>9968.795734728077</v>
      </c>
      <c r="AU36" s="51"/>
      <c r="AV36" s="51">
        <f t="shared" si="14"/>
        <v>8364.601414163231</v>
      </c>
      <c r="AW36" s="51"/>
      <c r="AX36" s="51">
        <f t="shared" si="14"/>
        <v>8506.169148475996</v>
      </c>
      <c r="AY36" s="51"/>
      <c r="AZ36" s="51">
        <f t="shared" si="14"/>
        <v>8942.692342282362</v>
      </c>
      <c r="BA36" s="51"/>
      <c r="BB36" s="51">
        <f t="shared" si="15"/>
        <v>8937.682165529284</v>
      </c>
      <c r="BC36" s="51"/>
      <c r="BD36" s="14">
        <f t="shared" si="8"/>
        <v>12738.600285226337</v>
      </c>
      <c r="BE36" s="14"/>
      <c r="BF36" s="14">
        <f t="shared" si="9"/>
        <v>9410.582639545974</v>
      </c>
      <c r="BG36" s="14"/>
      <c r="BH36" s="14">
        <f t="shared" si="10"/>
        <v>8867.802853988347</v>
      </c>
      <c r="BI36" s="14"/>
      <c r="BJ36" s="14">
        <f t="shared" si="11"/>
        <v>9992.440465154636</v>
      </c>
      <c r="BK36" s="14"/>
      <c r="BL36" s="14">
        <f t="shared" si="16"/>
        <v>10238.774257822728</v>
      </c>
    </row>
    <row r="37" spans="2:64" ht="12.75">
      <c r="B37" s="9" t="s">
        <v>107</v>
      </c>
      <c r="D37" s="9" t="s">
        <v>69</v>
      </c>
      <c r="F37" s="51">
        <f t="shared" si="5"/>
        <v>3514.4229030905767</v>
      </c>
      <c r="G37" s="51"/>
      <c r="H37" s="51">
        <f t="shared" si="5"/>
        <v>3142.816259496281</v>
      </c>
      <c r="I37" s="51"/>
      <c r="J37" s="51">
        <f t="shared" si="5"/>
        <v>2989.3108721787066</v>
      </c>
      <c r="K37" s="51"/>
      <c r="L37" s="51">
        <f t="shared" si="5"/>
        <v>3152.077696883684</v>
      </c>
      <c r="M37" s="51"/>
      <c r="N37" s="51">
        <f t="shared" si="6"/>
        <v>3198.308746821721</v>
      </c>
      <c r="O37" s="51"/>
      <c r="P37" s="51">
        <f t="shared" si="7"/>
        <v>151.22156241663782</v>
      </c>
      <c r="Q37" s="51"/>
      <c r="R37" s="51"/>
      <c r="S37" s="51"/>
      <c r="T37" s="51"/>
      <c r="U37" s="51"/>
      <c r="V37" s="51"/>
      <c r="W37" s="51"/>
      <c r="X37" s="51">
        <f t="shared" si="12"/>
        <v>149.86839415735284</v>
      </c>
      <c r="Y37" s="51"/>
      <c r="Z37" s="51">
        <f t="shared" si="12"/>
        <v>28.723648727182596</v>
      </c>
      <c r="AA37" s="51"/>
      <c r="AB37" s="51">
        <f t="shared" si="12"/>
        <v>37.11284316769511</v>
      </c>
      <c r="AC37" s="51"/>
      <c r="AD37" s="51">
        <f t="shared" si="12"/>
        <v>35.40186588460961</v>
      </c>
      <c r="AE37" s="51"/>
      <c r="AF37" s="51">
        <f t="shared" si="12"/>
        <v>40.02076176942206</v>
      </c>
      <c r="AG37" s="51"/>
      <c r="AH37" s="51">
        <f t="shared" si="13"/>
        <v>35.2902391828627</v>
      </c>
      <c r="AI37" s="51"/>
      <c r="AJ37" s="51">
        <f t="shared" si="13"/>
        <v>861.7094618154779</v>
      </c>
      <c r="AK37" s="51"/>
      <c r="AL37" s="51">
        <f t="shared" si="13"/>
        <v>684.5979604019033</v>
      </c>
      <c r="AM37" s="51"/>
      <c r="AN37" s="51">
        <f t="shared" si="13"/>
        <v>426.9286801187476</v>
      </c>
      <c r="AO37" s="51"/>
      <c r="AP37" s="51">
        <f t="shared" si="13"/>
        <v>1115.6230050768097</v>
      </c>
      <c r="AQ37" s="51"/>
      <c r="AR37" s="51">
        <f t="shared" si="14"/>
        <v>763.9939087630418</v>
      </c>
      <c r="AS37" s="51"/>
      <c r="AT37" s="51">
        <f t="shared" si="14"/>
        <v>160514.50759307924</v>
      </c>
      <c r="AU37" s="51"/>
      <c r="AV37" s="51">
        <f t="shared" si="14"/>
        <v>147801.69489103957</v>
      </c>
      <c r="AW37" s="51"/>
      <c r="AX37" s="51">
        <f t="shared" si="14"/>
        <v>146630.15389277667</v>
      </c>
      <c r="AY37" s="51"/>
      <c r="AZ37" s="51">
        <f t="shared" si="14"/>
        <v>154062.22451060702</v>
      </c>
      <c r="BA37" s="51"/>
      <c r="BB37" s="51">
        <f t="shared" si="15"/>
        <v>152170.84155362507</v>
      </c>
      <c r="BC37" s="51"/>
      <c r="BD37" s="14">
        <f t="shared" si="8"/>
        <v>165070.5851691291</v>
      </c>
      <c r="BE37" s="14"/>
      <c r="BF37" s="14">
        <f t="shared" si="9"/>
        <v>151666.22195410545</v>
      </c>
      <c r="BG37" s="14"/>
      <c r="BH37" s="14">
        <f t="shared" si="10"/>
        <v>150081.79531095873</v>
      </c>
      <c r="BI37" s="14"/>
      <c r="BJ37" s="14">
        <f t="shared" si="11"/>
        <v>158369.94597433694</v>
      </c>
      <c r="BK37" s="14"/>
      <c r="BL37" s="14">
        <f t="shared" si="16"/>
        <v>156318.30284255004</v>
      </c>
    </row>
    <row r="38" spans="2:64" ht="12.75">
      <c r="B38" s="9" t="s">
        <v>103</v>
      </c>
      <c r="D38" s="9" t="s">
        <v>69</v>
      </c>
      <c r="F38" s="51">
        <f t="shared" si="5"/>
        <v>2120.4811266243623</v>
      </c>
      <c r="G38" s="51"/>
      <c r="H38" s="51">
        <f t="shared" si="5"/>
        <v>1973.3962559627812</v>
      </c>
      <c r="I38" s="51"/>
      <c r="J38" s="51">
        <f t="shared" si="5"/>
        <v>1749.8405105436334</v>
      </c>
      <c r="K38" s="51"/>
      <c r="L38" s="51">
        <f t="shared" si="5"/>
        <v>1682.288658449157</v>
      </c>
      <c r="M38" s="51"/>
      <c r="N38" s="51">
        <f t="shared" si="6"/>
        <v>1883.8205969499663</v>
      </c>
      <c r="O38" s="51"/>
      <c r="P38" s="51">
        <f t="shared" si="7"/>
        <v>92.08463856655598</v>
      </c>
      <c r="Q38" s="51"/>
      <c r="R38" s="51"/>
      <c r="S38" s="51"/>
      <c r="T38" s="51"/>
      <c r="U38" s="51"/>
      <c r="V38" s="51"/>
      <c r="W38" s="51"/>
      <c r="X38" s="51">
        <f t="shared" si="12"/>
        <v>91.26064225224282</v>
      </c>
      <c r="Y38" s="51"/>
      <c r="Z38" s="51">
        <f t="shared" si="12"/>
        <v>150.3767492187795</v>
      </c>
      <c r="AA38" s="51"/>
      <c r="AB38" s="51">
        <f t="shared" si="12"/>
        <v>194.09123669757395</v>
      </c>
      <c r="AC38" s="51"/>
      <c r="AD38" s="51">
        <f t="shared" si="12"/>
        <v>185.51549857152412</v>
      </c>
      <c r="AE38" s="51"/>
      <c r="AF38" s="51">
        <f t="shared" si="12"/>
        <v>209.84337476444745</v>
      </c>
      <c r="AG38" s="51"/>
      <c r="AH38" s="51">
        <f t="shared" si="13"/>
        <v>184.8237319007578</v>
      </c>
      <c r="AI38" s="51"/>
      <c r="AJ38" s="51">
        <f t="shared" si="13"/>
        <v>1427.734304380547</v>
      </c>
      <c r="AK38" s="51"/>
      <c r="AL38" s="51">
        <f t="shared" si="13"/>
        <v>1396.8072264427917</v>
      </c>
      <c r="AM38" s="51"/>
      <c r="AN38" s="51">
        <f t="shared" si="13"/>
        <v>891.1224822212948</v>
      </c>
      <c r="AO38" s="51"/>
      <c r="AP38" s="51">
        <f t="shared" si="13"/>
        <v>1797.3926192904153</v>
      </c>
      <c r="AQ38" s="51"/>
      <c r="AR38" s="51">
        <f t="shared" si="14"/>
        <v>1368.9096337836422</v>
      </c>
      <c r="AS38" s="51"/>
      <c r="AT38" s="51">
        <f t="shared" si="14"/>
        <v>163048.94718665417</v>
      </c>
      <c r="AU38" s="51"/>
      <c r="AV38" s="51">
        <f t="shared" si="14"/>
        <v>194903.33392225002</v>
      </c>
      <c r="AW38" s="51"/>
      <c r="AX38" s="51">
        <f t="shared" si="14"/>
        <v>192806.50069878923</v>
      </c>
      <c r="AY38" s="51"/>
      <c r="AZ38" s="51">
        <f t="shared" si="14"/>
        <v>209843.3747644475</v>
      </c>
      <c r="BA38" s="51"/>
      <c r="BB38" s="51">
        <f t="shared" si="15"/>
        <v>190056.56689228545</v>
      </c>
      <c r="BC38" s="51"/>
      <c r="BD38" s="14">
        <f t="shared" si="8"/>
        <v>166839.6240054444</v>
      </c>
      <c r="BE38" s="14"/>
      <c r="BF38" s="14">
        <f t="shared" si="9"/>
        <v>198467.62864135316</v>
      </c>
      <c r="BG38" s="14"/>
      <c r="BH38" s="14">
        <f t="shared" si="10"/>
        <v>195632.97919012568</v>
      </c>
      <c r="BI38" s="14"/>
      <c r="BJ38" s="14">
        <f t="shared" si="11"/>
        <v>213532.89941695152</v>
      </c>
      <c r="BK38" s="14"/>
      <c r="BL38" s="14">
        <f t="shared" si="16"/>
        <v>193585.38149717206</v>
      </c>
    </row>
    <row r="39" spans="2:64" ht="12.75">
      <c r="B39" s="9" t="s">
        <v>111</v>
      </c>
      <c r="D39" s="9" t="s">
        <v>69</v>
      </c>
      <c r="F39" s="51">
        <f t="shared" si="5"/>
        <v>66.06439207251996</v>
      </c>
      <c r="G39" s="51"/>
      <c r="H39" s="51">
        <f t="shared" si="5"/>
        <v>75.11899328253386</v>
      </c>
      <c r="I39" s="51"/>
      <c r="J39" s="51">
        <f t="shared" si="5"/>
        <v>70.39867609548229</v>
      </c>
      <c r="K39" s="51"/>
      <c r="L39" s="51">
        <f t="shared" si="5"/>
        <v>74.28632549678122</v>
      </c>
      <c r="M39" s="51"/>
      <c r="N39" s="51">
        <f t="shared" si="6"/>
        <v>71.48052598426816</v>
      </c>
      <c r="O39" s="51"/>
      <c r="P39" s="51">
        <f t="shared" si="7"/>
        <v>2.112032994645779</v>
      </c>
      <c r="Q39" s="51"/>
      <c r="R39" s="51"/>
      <c r="S39" s="51"/>
      <c r="T39" s="51"/>
      <c r="U39" s="51"/>
      <c r="V39" s="51"/>
      <c r="W39" s="51"/>
      <c r="X39" s="51">
        <f t="shared" si="12"/>
        <v>2.0931339966110736</v>
      </c>
      <c r="Y39" s="51"/>
      <c r="Z39" s="51">
        <f t="shared" si="12"/>
        <v>1.0306721013871403</v>
      </c>
      <c r="AA39" s="51"/>
      <c r="AB39" s="51">
        <f t="shared" si="12"/>
        <v>1.323718476221948</v>
      </c>
      <c r="AC39" s="51"/>
      <c r="AD39" s="51">
        <f t="shared" si="12"/>
        <v>1.2637737020592907</v>
      </c>
      <c r="AE39" s="51"/>
      <c r="AF39" s="51">
        <f t="shared" si="12"/>
        <v>1.4255182842648124</v>
      </c>
      <c r="AG39" s="51"/>
      <c r="AH39" s="51">
        <f t="shared" si="13"/>
        <v>1.2600666659598663</v>
      </c>
      <c r="AI39" s="51"/>
      <c r="AJ39" s="51">
        <f t="shared" si="13"/>
        <v>30.32879380311339</v>
      </c>
      <c r="AK39" s="51"/>
      <c r="AL39" s="51">
        <f t="shared" si="13"/>
        <v>8.527020859098439</v>
      </c>
      <c r="AM39" s="51"/>
      <c r="AN39" s="51">
        <f t="shared" si="13"/>
        <v>5.816599474862632</v>
      </c>
      <c r="AO39" s="51"/>
      <c r="AP39" s="51">
        <f t="shared" si="13"/>
        <v>8.66821366643013</v>
      </c>
      <c r="AQ39" s="51"/>
      <c r="AR39" s="51">
        <f t="shared" si="14"/>
        <v>13.264190136524373</v>
      </c>
      <c r="AS39" s="51"/>
      <c r="AT39" s="51">
        <f t="shared" si="14"/>
        <v>0</v>
      </c>
      <c r="AU39" s="51"/>
      <c r="AV39" s="51">
        <f t="shared" si="14"/>
        <v>0</v>
      </c>
      <c r="AW39" s="51"/>
      <c r="AX39" s="51">
        <f t="shared" si="14"/>
        <v>0</v>
      </c>
      <c r="AY39" s="51"/>
      <c r="AZ39" s="51">
        <f t="shared" si="14"/>
        <v>0</v>
      </c>
      <c r="BA39" s="51"/>
      <c r="BB39" s="51">
        <f t="shared" si="15"/>
        <v>0</v>
      </c>
      <c r="BC39" s="51"/>
      <c r="BD39" s="14">
        <f t="shared" si="8"/>
        <v>99.53589097166626</v>
      </c>
      <c r="BE39" s="14"/>
      <c r="BF39" s="14">
        <f t="shared" si="9"/>
        <v>84.96973261785425</v>
      </c>
      <c r="BG39" s="14"/>
      <c r="BH39" s="14">
        <f t="shared" si="10"/>
        <v>77.47904927240421</v>
      </c>
      <c r="BI39" s="14"/>
      <c r="BJ39" s="14">
        <f t="shared" si="11"/>
        <v>84.38005744747616</v>
      </c>
      <c r="BK39" s="14"/>
      <c r="BL39" s="14">
        <f t="shared" si="16"/>
        <v>88.09791678336347</v>
      </c>
    </row>
    <row r="40" spans="2:64" ht="12.75">
      <c r="B40" s="9" t="s">
        <v>104</v>
      </c>
      <c r="D40" s="9" t="s">
        <v>69</v>
      </c>
      <c r="F40" s="51">
        <f t="shared" si="5"/>
        <v>3919.9332380625665</v>
      </c>
      <c r="G40" s="51"/>
      <c r="H40" s="51">
        <f t="shared" si="5"/>
        <v>3418.929315886135</v>
      </c>
      <c r="I40" s="51"/>
      <c r="J40" s="51">
        <f t="shared" si="5"/>
        <v>3289.0520707440514</v>
      </c>
      <c r="K40" s="51"/>
      <c r="L40" s="51">
        <f t="shared" si="5"/>
        <v>3453.1188252377437</v>
      </c>
      <c r="M40" s="51"/>
      <c r="N40" s="51">
        <f t="shared" si="6"/>
        <v>3518.5582483032144</v>
      </c>
      <c r="O40" s="51"/>
      <c r="P40" s="51">
        <f t="shared" si="7"/>
        <v>379.32112583838193</v>
      </c>
      <c r="Q40" s="51"/>
      <c r="R40" s="51"/>
      <c r="S40" s="51"/>
      <c r="T40" s="51"/>
      <c r="U40" s="51"/>
      <c r="V40" s="51"/>
      <c r="W40" s="51"/>
      <c r="X40" s="51">
        <f t="shared" si="12"/>
        <v>375.92686579134875</v>
      </c>
      <c r="Y40" s="51"/>
      <c r="Z40" s="51">
        <f t="shared" si="12"/>
        <v>31.258088320757537</v>
      </c>
      <c r="AA40" s="51"/>
      <c r="AB40" s="51">
        <f t="shared" si="12"/>
        <v>40.361232066399275</v>
      </c>
      <c r="AC40" s="51"/>
      <c r="AD40" s="51">
        <f t="shared" si="12"/>
        <v>38.480289005010455</v>
      </c>
      <c r="AE40" s="51"/>
      <c r="AF40" s="51">
        <f t="shared" si="12"/>
        <v>43.56242210299923</v>
      </c>
      <c r="AG40" s="51"/>
      <c r="AH40" s="51">
        <f t="shared" si="13"/>
        <v>38.388077497847085</v>
      </c>
      <c r="AI40" s="51"/>
      <c r="AJ40" s="51">
        <f t="shared" si="13"/>
        <v>311.736070009717</v>
      </c>
      <c r="AK40" s="51"/>
      <c r="AL40" s="51">
        <f t="shared" si="13"/>
        <v>295.60338978207915</v>
      </c>
      <c r="AM40" s="51"/>
      <c r="AN40" s="51">
        <f t="shared" si="13"/>
        <v>173.3638283594155</v>
      </c>
      <c r="AO40" s="51"/>
      <c r="AP40" s="51">
        <f t="shared" si="13"/>
        <v>605.6239170416966</v>
      </c>
      <c r="AQ40" s="51"/>
      <c r="AR40" s="51">
        <f t="shared" si="14"/>
        <v>341.3901548472661</v>
      </c>
      <c r="AS40" s="51"/>
      <c r="AT40" s="51">
        <f t="shared" si="14"/>
        <v>0</v>
      </c>
      <c r="AU40" s="51"/>
      <c r="AV40" s="51">
        <f t="shared" si="14"/>
        <v>0</v>
      </c>
      <c r="AW40" s="51"/>
      <c r="AX40" s="51">
        <f t="shared" si="14"/>
        <v>0</v>
      </c>
      <c r="AY40" s="51"/>
      <c r="AZ40" s="51">
        <f t="shared" si="14"/>
        <v>0</v>
      </c>
      <c r="BA40" s="51"/>
      <c r="BB40" s="51">
        <f t="shared" si="15"/>
        <v>0</v>
      </c>
      <c r="BC40" s="51"/>
      <c r="BD40" s="14">
        <f t="shared" si="8"/>
        <v>4642.248522231423</v>
      </c>
      <c r="BE40" s="14"/>
      <c r="BF40" s="14">
        <f t="shared" si="9"/>
        <v>3754.8939377346132</v>
      </c>
      <c r="BG40" s="14"/>
      <c r="BH40" s="14">
        <f t="shared" si="10"/>
        <v>3500.8961881084774</v>
      </c>
      <c r="BI40" s="14"/>
      <c r="BJ40" s="14">
        <f t="shared" si="11"/>
        <v>4102.30516438244</v>
      </c>
      <c r="BK40" s="14"/>
      <c r="BL40" s="14">
        <f t="shared" si="16"/>
        <v>4274.263346439676</v>
      </c>
    </row>
    <row r="41" spans="2:64" ht="12.75">
      <c r="B41" s="9" t="s">
        <v>106</v>
      </c>
      <c r="D41" s="9" t="s">
        <v>69</v>
      </c>
      <c r="F41" s="51">
        <f t="shared" si="5"/>
        <v>144.4630568337713</v>
      </c>
      <c r="G41" s="51"/>
      <c r="H41" s="51">
        <f t="shared" si="5"/>
        <v>143.7412087676594</v>
      </c>
      <c r="I41" s="51"/>
      <c r="J41" s="51">
        <f t="shared" si="5"/>
        <v>140.95937446045934</v>
      </c>
      <c r="K41" s="51"/>
      <c r="L41" s="51">
        <f t="shared" si="5"/>
        <v>148.74973401024127</v>
      </c>
      <c r="M41" s="51"/>
      <c r="N41" s="51">
        <f t="shared" si="6"/>
        <v>144.42624576616407</v>
      </c>
      <c r="O41" s="51"/>
      <c r="P41" s="51">
        <f t="shared" si="7"/>
        <v>4.485958080627636</v>
      </c>
      <c r="Q41" s="51"/>
      <c r="R41" s="51"/>
      <c r="S41" s="51"/>
      <c r="T41" s="51"/>
      <c r="U41" s="51"/>
      <c r="V41" s="51"/>
      <c r="W41" s="51"/>
      <c r="X41" s="51">
        <f t="shared" si="12"/>
        <v>4.445816608801921</v>
      </c>
      <c r="Y41" s="51"/>
      <c r="Z41" s="51">
        <f t="shared" si="12"/>
        <v>5.136464242978535</v>
      </c>
      <c r="AA41" s="51"/>
      <c r="AB41" s="51">
        <f t="shared" si="12"/>
        <v>6.626713353356501</v>
      </c>
      <c r="AC41" s="51"/>
      <c r="AD41" s="51">
        <f t="shared" si="12"/>
        <v>6.318868510296454</v>
      </c>
      <c r="AE41" s="51"/>
      <c r="AF41" s="51">
        <f t="shared" si="12"/>
        <v>7.145299722991948</v>
      </c>
      <c r="AG41" s="51"/>
      <c r="AH41" s="51">
        <f t="shared" si="13"/>
        <v>6.302426463795942</v>
      </c>
      <c r="AI41" s="51"/>
      <c r="AJ41" s="51">
        <f t="shared" si="13"/>
        <v>12.925641927232167</v>
      </c>
      <c r="AK41" s="51"/>
      <c r="AL41" s="51">
        <f t="shared" si="13"/>
        <v>11.775409757802604</v>
      </c>
      <c r="AM41" s="51"/>
      <c r="AN41" s="51">
        <f t="shared" si="13"/>
        <v>11.179536595139883</v>
      </c>
      <c r="AO41" s="51"/>
      <c r="AP41" s="51">
        <f t="shared" si="13"/>
        <v>18.062467701243584</v>
      </c>
      <c r="AQ41" s="51"/>
      <c r="AR41" s="51">
        <f t="shared" si="14"/>
        <v>13.396057578310868</v>
      </c>
      <c r="AS41" s="51"/>
      <c r="AT41" s="51">
        <f t="shared" si="14"/>
        <v>0</v>
      </c>
      <c r="AU41" s="51"/>
      <c r="AV41" s="51">
        <f t="shared" si="14"/>
        <v>0</v>
      </c>
      <c r="AW41" s="51"/>
      <c r="AX41" s="51">
        <f t="shared" si="14"/>
        <v>0</v>
      </c>
      <c r="AY41" s="51"/>
      <c r="AZ41" s="51">
        <f t="shared" si="14"/>
        <v>0</v>
      </c>
      <c r="BA41" s="51"/>
      <c r="BB41" s="51">
        <f t="shared" si="15"/>
        <v>0</v>
      </c>
      <c r="BC41" s="51"/>
      <c r="BD41" s="14">
        <f t="shared" si="8"/>
        <v>167.01112108460964</v>
      </c>
      <c r="BE41" s="14"/>
      <c r="BF41" s="14">
        <f t="shared" si="9"/>
        <v>162.14333187881851</v>
      </c>
      <c r="BG41" s="14"/>
      <c r="BH41" s="14">
        <f t="shared" si="10"/>
        <v>158.4577795658957</v>
      </c>
      <c r="BI41" s="14"/>
      <c r="BJ41" s="14">
        <f t="shared" si="11"/>
        <v>173.9575014344768</v>
      </c>
      <c r="BK41" s="14"/>
      <c r="BL41" s="14">
        <f t="shared" si="16"/>
        <v>168.5705464170728</v>
      </c>
    </row>
    <row r="42" spans="2:64" ht="12.75">
      <c r="B42" s="9" t="s">
        <v>101</v>
      </c>
      <c r="D42" s="9" t="s">
        <v>69</v>
      </c>
      <c r="F42" s="51">
        <f t="shared" si="5"/>
        <v>720.6256577731399</v>
      </c>
      <c r="G42" s="51"/>
      <c r="H42" s="51">
        <f t="shared" si="5"/>
        <v>721.9544327370012</v>
      </c>
      <c r="I42" s="51"/>
      <c r="J42" s="51">
        <f t="shared" si="5"/>
        <v>703.9867609548228</v>
      </c>
      <c r="K42" s="51"/>
      <c r="L42" s="51">
        <f t="shared" si="5"/>
        <v>742.8632549678122</v>
      </c>
      <c r="M42" s="51"/>
      <c r="N42" s="51">
        <f t="shared" si="6"/>
        <v>722.1312288308202</v>
      </c>
      <c r="O42" s="51"/>
      <c r="P42" s="51">
        <f t="shared" si="7"/>
        <v>22.556512382816923</v>
      </c>
      <c r="Q42" s="51"/>
      <c r="R42" s="51"/>
      <c r="S42" s="51"/>
      <c r="T42" s="51"/>
      <c r="U42" s="51"/>
      <c r="V42" s="51"/>
      <c r="W42" s="51"/>
      <c r="X42" s="51">
        <f t="shared" si="12"/>
        <v>22.354671083806263</v>
      </c>
      <c r="Y42" s="51"/>
      <c r="Z42" s="51">
        <f t="shared" si="12"/>
        <v>5.136464242978535</v>
      </c>
      <c r="AA42" s="51"/>
      <c r="AB42" s="51">
        <f t="shared" si="12"/>
        <v>6.626713353356501</v>
      </c>
      <c r="AC42" s="51"/>
      <c r="AD42" s="51">
        <f t="shared" si="12"/>
        <v>6.318868510296454</v>
      </c>
      <c r="AE42" s="51"/>
      <c r="AF42" s="51">
        <f t="shared" si="12"/>
        <v>7.145299722991948</v>
      </c>
      <c r="AG42" s="51"/>
      <c r="AH42" s="51">
        <f t="shared" si="13"/>
        <v>6.302426463795942</v>
      </c>
      <c r="AI42" s="51"/>
      <c r="AJ42" s="51">
        <f t="shared" si="13"/>
        <v>64.62820963616086</v>
      </c>
      <c r="AK42" s="51"/>
      <c r="AL42" s="51">
        <f t="shared" si="13"/>
        <v>58.71462934407783</v>
      </c>
      <c r="AM42" s="51"/>
      <c r="AN42" s="51">
        <f t="shared" si="13"/>
        <v>55.97869411044678</v>
      </c>
      <c r="AO42" s="51"/>
      <c r="AP42" s="51">
        <f t="shared" si="13"/>
        <v>62.42176337929767</v>
      </c>
      <c r="AQ42" s="51"/>
      <c r="AR42" s="51">
        <f t="shared" si="14"/>
        <v>60.36598446226336</v>
      </c>
      <c r="AS42" s="51"/>
      <c r="AT42" s="51">
        <f t="shared" si="14"/>
        <v>0</v>
      </c>
      <c r="AU42" s="51"/>
      <c r="AV42" s="51">
        <f t="shared" si="14"/>
        <v>0</v>
      </c>
      <c r="AW42" s="51"/>
      <c r="AX42" s="51">
        <f t="shared" si="14"/>
        <v>0</v>
      </c>
      <c r="AY42" s="51"/>
      <c r="AZ42" s="51">
        <f t="shared" si="14"/>
        <v>0</v>
      </c>
      <c r="BA42" s="51"/>
      <c r="BB42" s="51">
        <f t="shared" si="15"/>
        <v>0</v>
      </c>
      <c r="BC42" s="51"/>
      <c r="BD42" s="14">
        <f t="shared" si="8"/>
        <v>812.9468440350961</v>
      </c>
      <c r="BE42" s="14"/>
      <c r="BF42" s="14">
        <f t="shared" si="9"/>
        <v>787.2957754344355</v>
      </c>
      <c r="BG42" s="14"/>
      <c r="BH42" s="14">
        <f t="shared" si="10"/>
        <v>766.284323575566</v>
      </c>
      <c r="BI42" s="14"/>
      <c r="BJ42" s="14">
        <f t="shared" si="11"/>
        <v>812.4303180701017</v>
      </c>
      <c r="BK42" s="14"/>
      <c r="BL42" s="14">
        <f t="shared" si="16"/>
        <v>811.1543108406858</v>
      </c>
    </row>
    <row r="43" spans="2:64" ht="12.75">
      <c r="B43" s="9" t="s">
        <v>146</v>
      </c>
      <c r="D43" s="9" t="s">
        <v>69</v>
      </c>
      <c r="F43" s="51">
        <f t="shared" si="5"/>
        <v>13263.567206375494</v>
      </c>
      <c r="G43" s="51"/>
      <c r="H43" s="51">
        <f t="shared" si="5"/>
        <v>10800.893088191355</v>
      </c>
      <c r="I43" s="51"/>
      <c r="J43" s="51">
        <f t="shared" si="5"/>
        <v>10612.458651908148</v>
      </c>
      <c r="K43" s="51"/>
      <c r="L43" s="51">
        <f t="shared" si="5"/>
        <v>11598.937592465243</v>
      </c>
      <c r="M43" s="51"/>
      <c r="N43" s="51">
        <f t="shared" si="6"/>
        <v>11554.099661293123</v>
      </c>
      <c r="O43" s="51"/>
      <c r="P43" s="51">
        <f t="shared" si="7"/>
        <v>423.25141212701413</v>
      </c>
      <c r="Q43" s="51"/>
      <c r="R43" s="51"/>
      <c r="S43" s="51"/>
      <c r="T43" s="51"/>
      <c r="U43" s="51"/>
      <c r="V43" s="51"/>
      <c r="W43" s="51"/>
      <c r="X43" s="51">
        <f t="shared" si="12"/>
        <v>419.46405292085916</v>
      </c>
      <c r="Y43" s="51"/>
      <c r="Z43" s="51">
        <f t="shared" si="12"/>
        <v>51533.605069357014</v>
      </c>
      <c r="AA43" s="51"/>
      <c r="AB43" s="51">
        <f t="shared" si="12"/>
        <v>66510.76270096781</v>
      </c>
      <c r="AC43" s="51"/>
      <c r="AD43" s="51">
        <f t="shared" si="12"/>
        <v>63431.71850720671</v>
      </c>
      <c r="AE43" s="51"/>
      <c r="AF43" s="51">
        <f t="shared" si="12"/>
        <v>71718.62175493776</v>
      </c>
      <c r="AG43" s="51"/>
      <c r="AH43" s="51">
        <f t="shared" si="13"/>
        <v>63254.50937758665</v>
      </c>
      <c r="AI43" s="51"/>
      <c r="AJ43" s="51">
        <f t="shared" si="13"/>
        <v>19937.591469456154</v>
      </c>
      <c r="AK43" s="51"/>
      <c r="AL43" s="51">
        <f t="shared" si="13"/>
        <v>6910.9473819931145</v>
      </c>
      <c r="AM43" s="51"/>
      <c r="AN43" s="51">
        <f t="shared" si="13"/>
        <v>7469.226623709396</v>
      </c>
      <c r="AO43" s="51"/>
      <c r="AP43" s="51">
        <f t="shared" si="13"/>
        <v>11510.396084125809</v>
      </c>
      <c r="AQ43" s="51"/>
      <c r="AR43" s="51">
        <f t="shared" si="14"/>
        <v>11371.997003587963</v>
      </c>
      <c r="AS43" s="51"/>
      <c r="AT43" s="51">
        <f t="shared" si="14"/>
        <v>0</v>
      </c>
      <c r="AU43" s="51"/>
      <c r="AV43" s="51">
        <f t="shared" si="14"/>
        <v>0</v>
      </c>
      <c r="AW43" s="51"/>
      <c r="AX43" s="51">
        <f t="shared" si="14"/>
        <v>0</v>
      </c>
      <c r="AY43" s="51"/>
      <c r="AZ43" s="51">
        <f t="shared" si="14"/>
        <v>0</v>
      </c>
      <c r="BA43" s="51"/>
      <c r="BB43" s="51">
        <f t="shared" si="15"/>
        <v>0</v>
      </c>
      <c r="BC43" s="51"/>
      <c r="BD43" s="14">
        <f t="shared" si="8"/>
        <v>85158.01515731568</v>
      </c>
      <c r="BE43" s="14"/>
      <c r="BF43" s="14">
        <f t="shared" si="9"/>
        <v>84222.60317115228</v>
      </c>
      <c r="BG43" s="14"/>
      <c r="BH43" s="14">
        <f t="shared" si="10"/>
        <v>81513.40378282426</v>
      </c>
      <c r="BI43" s="14"/>
      <c r="BJ43" s="14">
        <f t="shared" si="11"/>
        <v>94827.95543152881</v>
      </c>
      <c r="BK43" s="14"/>
      <c r="BL43" s="14">
        <f t="shared" si="16"/>
        <v>86600.0700953886</v>
      </c>
    </row>
    <row r="44" spans="6:54" ht="12.75">
      <c r="F44" s="50"/>
      <c r="G44" s="50"/>
      <c r="H44" s="50"/>
      <c r="I44" s="50"/>
      <c r="J44" s="50"/>
      <c r="K44" s="50"/>
      <c r="L44" s="50"/>
      <c r="M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</row>
    <row r="45" spans="2:64" ht="12.75">
      <c r="B45" s="9" t="s">
        <v>76</v>
      </c>
      <c r="D45" s="9" t="s">
        <v>69</v>
      </c>
      <c r="F45" s="51">
        <f>F36+F38</f>
        <v>2395.890229126172</v>
      </c>
      <c r="G45" s="51"/>
      <c r="H45" s="51">
        <f>H36+H38</f>
        <v>2219.4617150396216</v>
      </c>
      <c r="I45" s="51"/>
      <c r="J45" s="51">
        <f>J36+J38</f>
        <v>1983.9626899635916</v>
      </c>
      <c r="K45" s="51"/>
      <c r="L45" s="51">
        <f>L36+L38</f>
        <v>1927.5486365493762</v>
      </c>
      <c r="M45" s="51"/>
      <c r="N45" s="51">
        <f>N36+N38</f>
        <v>2133.9501095449896</v>
      </c>
      <c r="O45" s="51"/>
      <c r="P45" s="51">
        <f>P36+P38</f>
        <v>96.98455511413418</v>
      </c>
      <c r="Q45" s="51"/>
      <c r="R45" s="51"/>
      <c r="S45" s="51"/>
      <c r="T45" s="51"/>
      <c r="U45" s="51"/>
      <c r="V45" s="51"/>
      <c r="W45" s="51"/>
      <c r="X45" s="51">
        <f>X36+X38</f>
        <v>96.11671312438051</v>
      </c>
      <c r="Y45" s="51"/>
      <c r="Z45" s="51">
        <f>Z36+Z38</f>
        <v>173.01774292138228</v>
      </c>
      <c r="AA45" s="51"/>
      <c r="AB45" s="51">
        <f>AB36+AB38</f>
        <v>223.32673678591144</v>
      </c>
      <c r="AC45" s="51"/>
      <c r="AD45" s="51">
        <f>AD36+AD38</f>
        <v>213.38332892462643</v>
      </c>
      <c r="AE45" s="51"/>
      <c r="AF45" s="51">
        <f>AF36+AF38</f>
        <v>241.36415173328427</v>
      </c>
      <c r="AG45" s="51"/>
      <c r="AH45" s="51">
        <f>AH36+AH38</f>
        <v>212.62055137575285</v>
      </c>
      <c r="AI45" s="51"/>
      <c r="AJ45" s="51">
        <f>AJ36+AJ38</f>
        <v>3894.5888421268173</v>
      </c>
      <c r="AK45" s="51"/>
      <c r="AL45" s="51">
        <f>AL36+AL38</f>
        <v>2167.487492660355</v>
      </c>
      <c r="AM45" s="51"/>
      <c r="AN45" s="51">
        <f>AN36+AN38</f>
        <v>990.7661779605851</v>
      </c>
      <c r="AO45" s="51"/>
      <c r="AP45" s="51">
        <f>AP36+AP38</f>
        <v>2570.359987093633</v>
      </c>
      <c r="AQ45" s="51"/>
      <c r="AR45" s="51">
        <f>AR36+AR38</f>
        <v>2387.2193231349297</v>
      </c>
      <c r="AS45" s="51"/>
      <c r="AT45" s="51">
        <f>AT36+AT38</f>
        <v>173017.74292138225</v>
      </c>
      <c r="AU45" s="51"/>
      <c r="AV45" s="51">
        <f>AV36+AV38</f>
        <v>203267.93533641324</v>
      </c>
      <c r="AW45" s="51"/>
      <c r="AX45" s="51">
        <f>AX36+AX38</f>
        <v>201312.66984726524</v>
      </c>
      <c r="AY45" s="51"/>
      <c r="AZ45" s="51">
        <f>AZ36+AZ38</f>
        <v>218786.06710672987</v>
      </c>
      <c r="BA45" s="51"/>
      <c r="BB45" s="51">
        <f>BB36+BB38</f>
        <v>198994.24905781474</v>
      </c>
      <c r="BD45" s="51">
        <f>BD36+BD38</f>
        <v>179578.22429067074</v>
      </c>
      <c r="BE45" s="51"/>
      <c r="BF45" s="51">
        <f>BF36+BF38</f>
        <v>207878.21128089912</v>
      </c>
      <c r="BG45" s="51"/>
      <c r="BH45" s="51">
        <f>BH36+BH38</f>
        <v>204500.78204411402</v>
      </c>
      <c r="BI45" s="51"/>
      <c r="BJ45" s="51">
        <f>BJ36+BJ38</f>
        <v>223525.33988210617</v>
      </c>
      <c r="BK45" s="51"/>
      <c r="BL45" s="51">
        <f>BL36+BL38</f>
        <v>203824.15575499478</v>
      </c>
    </row>
    <row r="46" spans="2:64" ht="12.75">
      <c r="B46" s="9" t="s">
        <v>77</v>
      </c>
      <c r="D46" s="9" t="s">
        <v>69</v>
      </c>
      <c r="F46" s="51">
        <f>F33+F35+F37</f>
        <v>4892.313228797483</v>
      </c>
      <c r="G46" s="51"/>
      <c r="H46" s="51">
        <f>H33+H35+H37</f>
        <v>4163.622470914065</v>
      </c>
      <c r="I46" s="51"/>
      <c r="J46" s="51">
        <f>J33+J35+J37</f>
        <v>4264.426133102632</v>
      </c>
      <c r="K46" s="51"/>
      <c r="L46" s="51">
        <f>L33+L35+L37</f>
        <v>4372.179681801021</v>
      </c>
      <c r="M46" s="51"/>
      <c r="N46" s="51">
        <f>N33+N35+N37</f>
        <v>4420.699000842587</v>
      </c>
      <c r="O46" s="51"/>
      <c r="P46" s="51">
        <f>P33+P35+P37</f>
        <v>1128.290266399668</v>
      </c>
      <c r="Q46" s="51"/>
      <c r="R46" s="51"/>
      <c r="S46" s="51"/>
      <c r="T46" s="51"/>
      <c r="U46" s="51"/>
      <c r="V46" s="51"/>
      <c r="W46" s="51"/>
      <c r="X46" s="51">
        <f>X33+X35+X37</f>
        <v>1118.1940436695675</v>
      </c>
      <c r="Y46" s="51"/>
      <c r="Z46" s="51">
        <f>Z33+Z35+Z37</f>
        <v>37.146436309829966</v>
      </c>
      <c r="AA46" s="51"/>
      <c r="AB46" s="51">
        <f>AB33+AB35+AB37</f>
        <v>48.007939533948885</v>
      </c>
      <c r="AC46" s="51"/>
      <c r="AD46" s="51">
        <f>AD33+AD35+AD37</f>
        <v>45.755088905326105</v>
      </c>
      <c r="AE46" s="51"/>
      <c r="AF46" s="51">
        <f>AF33+AF35+AF37</f>
        <v>51.71443877581049</v>
      </c>
      <c r="AG46" s="51"/>
      <c r="AH46" s="51">
        <f>AH33+AH35+AH37</f>
        <v>45.624669664330554</v>
      </c>
      <c r="AI46" s="51"/>
      <c r="AJ46" s="51">
        <f>AJ33+AJ35+AJ37</f>
        <v>1232.8358996346342</v>
      </c>
      <c r="AK46" s="51"/>
      <c r="AL46" s="51">
        <f>AL33+AL35+AL37</f>
        <v>21161.223431995964</v>
      </c>
      <c r="AM46" s="51"/>
      <c r="AN46" s="51">
        <f>AN33+AN35+AN37</f>
        <v>600.9405975561423</v>
      </c>
      <c r="AO46" s="51"/>
      <c r="AP46" s="51">
        <f>AP33+AP35+AP37</f>
        <v>1689.4605206246513</v>
      </c>
      <c r="AQ46" s="51"/>
      <c r="AR46" s="51">
        <f>AR33+AR35+AR37</f>
        <v>6314.2945335567265</v>
      </c>
      <c r="AS46" s="51"/>
      <c r="AT46" s="51">
        <f>AT33+AT35+AT37</f>
        <v>262686.2157420634</v>
      </c>
      <c r="AU46" s="51"/>
      <c r="AV46" s="51">
        <f>AV33+AV35+AV37</f>
        <v>225771.14943218633</v>
      </c>
      <c r="AW46" s="51"/>
      <c r="AX46" s="51">
        <f>AX33+AX35+AX37</f>
        <v>229277.7135620644</v>
      </c>
      <c r="AY46" s="51"/>
      <c r="AZ46" s="51">
        <f>AZ33+AZ35+AZ37</f>
        <v>240283.94533154328</v>
      </c>
      <c r="BA46" s="51"/>
      <c r="BB46" s="51">
        <f>BB33+BB35+BB37</f>
        <v>239318.47550252712</v>
      </c>
      <c r="BD46" s="51">
        <f>BD33+BD35+BD37</f>
        <v>269976.80157320504</v>
      </c>
      <c r="BE46" s="51"/>
      <c r="BF46" s="51">
        <f>BF33+BF35+BF37</f>
        <v>251144.00327463032</v>
      </c>
      <c r="BG46" s="51"/>
      <c r="BH46" s="51">
        <f>BH33+BH35+BH37</f>
        <v>234188.83538162848</v>
      </c>
      <c r="BI46" s="51"/>
      <c r="BJ46" s="51">
        <f>BJ33+BJ35+BJ37</f>
        <v>246397.29997274478</v>
      </c>
      <c r="BK46" s="51"/>
      <c r="BL46" s="51">
        <f>BL33+BL35+BL37</f>
        <v>251217.28775026032</v>
      </c>
    </row>
    <row r="48" spans="2:64" ht="12.75">
      <c r="B48" s="49" t="s">
        <v>145</v>
      </c>
      <c r="F48" s="5" t="s">
        <v>147</v>
      </c>
      <c r="H48" s="5" t="s">
        <v>148</v>
      </c>
      <c r="J48" s="5" t="s">
        <v>149</v>
      </c>
      <c r="L48" s="5" t="s">
        <v>150</v>
      </c>
      <c r="N48" s="5" t="s">
        <v>70</v>
      </c>
      <c r="O48" s="5"/>
      <c r="P48" s="5" t="s">
        <v>147</v>
      </c>
      <c r="Q48" s="5"/>
      <c r="R48" s="5" t="s">
        <v>148</v>
      </c>
      <c r="S48" s="5"/>
      <c r="T48" s="5" t="s">
        <v>149</v>
      </c>
      <c r="U48" s="5"/>
      <c r="V48" s="5" t="s">
        <v>150</v>
      </c>
      <c r="W48" s="5"/>
      <c r="X48" s="5" t="s">
        <v>70</v>
      </c>
      <c r="Y48" s="5"/>
      <c r="Z48" s="5" t="s">
        <v>147</v>
      </c>
      <c r="AB48" s="5" t="s">
        <v>148</v>
      </c>
      <c r="AD48" s="5" t="s">
        <v>149</v>
      </c>
      <c r="AF48" s="5" t="s">
        <v>150</v>
      </c>
      <c r="AH48" s="5" t="s">
        <v>70</v>
      </c>
      <c r="AI48" s="5"/>
      <c r="AJ48" s="5" t="s">
        <v>147</v>
      </c>
      <c r="AL48" s="5" t="s">
        <v>148</v>
      </c>
      <c r="AN48" s="5" t="s">
        <v>149</v>
      </c>
      <c r="AP48" s="5" t="s">
        <v>150</v>
      </c>
      <c r="AR48" s="5" t="s">
        <v>70</v>
      </c>
      <c r="AS48" s="5"/>
      <c r="AT48" s="5" t="s">
        <v>147</v>
      </c>
      <c r="AV48" s="5" t="s">
        <v>148</v>
      </c>
      <c r="AX48" s="5" t="s">
        <v>149</v>
      </c>
      <c r="AZ48" s="5" t="s">
        <v>150</v>
      </c>
      <c r="BB48" s="5" t="s">
        <v>70</v>
      </c>
      <c r="BC48" s="5"/>
      <c r="BD48" s="5" t="s">
        <v>147</v>
      </c>
      <c r="BE48" s="5"/>
      <c r="BF48" s="5" t="s">
        <v>148</v>
      </c>
      <c r="BG48" s="5"/>
      <c r="BH48" s="5" t="s">
        <v>149</v>
      </c>
      <c r="BI48" s="5"/>
      <c r="BJ48" s="5" t="s">
        <v>150</v>
      </c>
      <c r="BK48" s="5"/>
      <c r="BL48" s="5" t="s">
        <v>70</v>
      </c>
    </row>
    <row r="49" ht="12.75">
      <c r="B49" s="49"/>
    </row>
    <row r="50" spans="2:64" ht="12.75">
      <c r="B50" s="9" t="s">
        <v>298</v>
      </c>
      <c r="F50" s="5" t="s">
        <v>300</v>
      </c>
      <c r="H50" s="5" t="s">
        <v>300</v>
      </c>
      <c r="J50" s="5" t="s">
        <v>300</v>
      </c>
      <c r="L50" s="5" t="s">
        <v>300</v>
      </c>
      <c r="N50" s="5" t="s">
        <v>300</v>
      </c>
      <c r="P50" s="50" t="s">
        <v>302</v>
      </c>
      <c r="R50" s="50" t="s">
        <v>302</v>
      </c>
      <c r="T50" s="50" t="s">
        <v>302</v>
      </c>
      <c r="V50" s="50" t="s">
        <v>302</v>
      </c>
      <c r="X50" s="50" t="s">
        <v>302</v>
      </c>
      <c r="Z50" s="5" t="s">
        <v>303</v>
      </c>
      <c r="AB50" s="5" t="s">
        <v>303</v>
      </c>
      <c r="AD50" s="5" t="s">
        <v>303</v>
      </c>
      <c r="AF50" s="5" t="s">
        <v>303</v>
      </c>
      <c r="AH50" s="5" t="s">
        <v>303</v>
      </c>
      <c r="AJ50" s="5" t="s">
        <v>305</v>
      </c>
      <c r="AL50" s="5" t="s">
        <v>305</v>
      </c>
      <c r="AN50" s="5" t="s">
        <v>305</v>
      </c>
      <c r="AP50" s="5" t="s">
        <v>305</v>
      </c>
      <c r="AR50" s="5" t="s">
        <v>305</v>
      </c>
      <c r="AT50" s="5" t="s">
        <v>307</v>
      </c>
      <c r="AV50" s="5" t="s">
        <v>307</v>
      </c>
      <c r="AX50" s="5" t="s">
        <v>307</v>
      </c>
      <c r="AZ50" s="5" t="s">
        <v>307</v>
      </c>
      <c r="BB50" s="5" t="s">
        <v>307</v>
      </c>
      <c r="BD50" s="5" t="s">
        <v>308</v>
      </c>
      <c r="BF50" s="5" t="s">
        <v>308</v>
      </c>
      <c r="BH50" s="5" t="s">
        <v>308</v>
      </c>
      <c r="BJ50" s="5" t="s">
        <v>308</v>
      </c>
      <c r="BL50" s="5" t="s">
        <v>308</v>
      </c>
    </row>
    <row r="51" spans="2:64" ht="12.75">
      <c r="B51" s="9" t="s">
        <v>299</v>
      </c>
      <c r="F51" s="5" t="s">
        <v>301</v>
      </c>
      <c r="H51" s="5" t="s">
        <v>301</v>
      </c>
      <c r="J51" s="5" t="s">
        <v>301</v>
      </c>
      <c r="L51" s="5" t="s">
        <v>301</v>
      </c>
      <c r="N51" s="5" t="s">
        <v>301</v>
      </c>
      <c r="P51" s="50" t="s">
        <v>142</v>
      </c>
      <c r="R51" s="50" t="s">
        <v>142</v>
      </c>
      <c r="T51" s="50" t="s">
        <v>142</v>
      </c>
      <c r="V51" s="50" t="s">
        <v>142</v>
      </c>
      <c r="X51" s="50" t="s">
        <v>142</v>
      </c>
      <c r="Z51" s="5" t="s">
        <v>304</v>
      </c>
      <c r="AB51" s="5" t="s">
        <v>304</v>
      </c>
      <c r="AD51" s="5" t="s">
        <v>304</v>
      </c>
      <c r="AF51" s="5" t="s">
        <v>304</v>
      </c>
      <c r="AH51" s="5" t="s">
        <v>304</v>
      </c>
      <c r="AJ51" s="5" t="s">
        <v>306</v>
      </c>
      <c r="AL51" s="5" t="s">
        <v>306</v>
      </c>
      <c r="AN51" s="5" t="s">
        <v>306</v>
      </c>
      <c r="AP51" s="5" t="s">
        <v>306</v>
      </c>
      <c r="AR51" s="5" t="s">
        <v>306</v>
      </c>
      <c r="AT51" s="5" t="s">
        <v>67</v>
      </c>
      <c r="AV51" s="5" t="s">
        <v>67</v>
      </c>
      <c r="AX51" s="5" t="s">
        <v>67</v>
      </c>
      <c r="AZ51" s="5" t="s">
        <v>67</v>
      </c>
      <c r="BB51" s="5" t="s">
        <v>67</v>
      </c>
      <c r="BD51" s="5" t="s">
        <v>31</v>
      </c>
      <c r="BF51" s="5" t="s">
        <v>31</v>
      </c>
      <c r="BH51" s="5" t="s">
        <v>31</v>
      </c>
      <c r="BJ51" s="5" t="s">
        <v>31</v>
      </c>
      <c r="BL51" s="5" t="s">
        <v>31</v>
      </c>
    </row>
    <row r="52" spans="2:64" ht="12.75">
      <c r="B52" s="66" t="s">
        <v>314</v>
      </c>
      <c r="F52" s="5" t="s">
        <v>316</v>
      </c>
      <c r="H52" s="5" t="s">
        <v>316</v>
      </c>
      <c r="J52" s="5" t="s">
        <v>316</v>
      </c>
      <c r="L52" s="5" t="s">
        <v>316</v>
      </c>
      <c r="N52" s="5" t="s">
        <v>316</v>
      </c>
      <c r="P52" s="50" t="s">
        <v>142</v>
      </c>
      <c r="R52" s="50" t="s">
        <v>142</v>
      </c>
      <c r="T52" s="50" t="s">
        <v>142</v>
      </c>
      <c r="V52" s="50" t="s">
        <v>142</v>
      </c>
      <c r="X52" s="50" t="s">
        <v>142</v>
      </c>
      <c r="Z52" s="5" t="s">
        <v>317</v>
      </c>
      <c r="AB52" s="5" t="s">
        <v>317</v>
      </c>
      <c r="AD52" s="5" t="s">
        <v>317</v>
      </c>
      <c r="AF52" s="5" t="s">
        <v>317</v>
      </c>
      <c r="AH52" s="5" t="s">
        <v>317</v>
      </c>
      <c r="AJ52" s="5" t="s">
        <v>78</v>
      </c>
      <c r="AL52" s="5" t="s">
        <v>78</v>
      </c>
      <c r="AN52" s="5" t="s">
        <v>78</v>
      </c>
      <c r="AP52" s="5" t="s">
        <v>78</v>
      </c>
      <c r="AR52" s="5" t="s">
        <v>78</v>
      </c>
      <c r="AT52" s="5" t="s">
        <v>67</v>
      </c>
      <c r="AV52" s="5" t="s">
        <v>67</v>
      </c>
      <c r="AX52" s="5" t="s">
        <v>67</v>
      </c>
      <c r="AZ52" s="5" t="s">
        <v>67</v>
      </c>
      <c r="BB52" s="5" t="s">
        <v>67</v>
      </c>
      <c r="BD52" s="5" t="s">
        <v>31</v>
      </c>
      <c r="BF52" s="5" t="s">
        <v>31</v>
      </c>
      <c r="BH52" s="5" t="s">
        <v>31</v>
      </c>
      <c r="BJ52" s="5" t="s">
        <v>31</v>
      </c>
      <c r="BL52" s="5" t="s">
        <v>31</v>
      </c>
    </row>
    <row r="53" spans="2:64" ht="12.75">
      <c r="B53" s="9" t="s">
        <v>108</v>
      </c>
      <c r="F53" s="50" t="s">
        <v>141</v>
      </c>
      <c r="G53" s="50"/>
      <c r="H53" s="50" t="s">
        <v>141</v>
      </c>
      <c r="I53" s="50"/>
      <c r="J53" s="50" t="s">
        <v>141</v>
      </c>
      <c r="K53" s="50"/>
      <c r="L53" s="50" t="s">
        <v>141</v>
      </c>
      <c r="M53" s="50"/>
      <c r="N53" s="50" t="s">
        <v>141</v>
      </c>
      <c r="P53" s="50" t="s">
        <v>142</v>
      </c>
      <c r="R53" s="50" t="s">
        <v>142</v>
      </c>
      <c r="T53" s="50" t="s">
        <v>142</v>
      </c>
      <c r="V53" s="50" t="s">
        <v>142</v>
      </c>
      <c r="X53" s="50" t="s">
        <v>142</v>
      </c>
      <c r="Y53" s="50"/>
      <c r="Z53" s="50" t="s">
        <v>143</v>
      </c>
      <c r="AA53" s="50"/>
      <c r="AB53" s="50" t="s">
        <v>143</v>
      </c>
      <c r="AC53" s="50"/>
      <c r="AD53" s="50" t="s">
        <v>143</v>
      </c>
      <c r="AE53" s="50"/>
      <c r="AF53" s="50" t="s">
        <v>143</v>
      </c>
      <c r="AG53" s="50"/>
      <c r="AH53" s="50" t="s">
        <v>143</v>
      </c>
      <c r="AI53" s="50"/>
      <c r="AJ53" s="50" t="s">
        <v>144</v>
      </c>
      <c r="AK53" s="50"/>
      <c r="AL53" s="50" t="s">
        <v>144</v>
      </c>
      <c r="AM53" s="50"/>
      <c r="AN53" s="50" t="s">
        <v>144</v>
      </c>
      <c r="AO53" s="50"/>
      <c r="AP53" s="50" t="s">
        <v>144</v>
      </c>
      <c r="AQ53" s="50"/>
      <c r="AR53" s="50" t="s">
        <v>144</v>
      </c>
      <c r="AS53" s="50"/>
      <c r="AT53" s="50" t="s">
        <v>67</v>
      </c>
      <c r="AU53" s="50"/>
      <c r="AV53" s="50" t="s">
        <v>67</v>
      </c>
      <c r="AW53" s="50"/>
      <c r="AX53" s="50" t="s">
        <v>67</v>
      </c>
      <c r="AY53" s="50"/>
      <c r="AZ53" s="50" t="s">
        <v>67</v>
      </c>
      <c r="BA53" s="50"/>
      <c r="BB53" s="50" t="s">
        <v>67</v>
      </c>
      <c r="BC53" s="50"/>
      <c r="BD53" s="50" t="s">
        <v>31</v>
      </c>
      <c r="BE53" s="50"/>
      <c r="BF53" s="50" t="s">
        <v>31</v>
      </c>
      <c r="BG53" s="50"/>
      <c r="BH53" s="50" t="s">
        <v>31</v>
      </c>
      <c r="BI53" s="50"/>
      <c r="BJ53" s="50" t="s">
        <v>31</v>
      </c>
      <c r="BK53" s="50"/>
      <c r="BL53" s="50" t="s">
        <v>31</v>
      </c>
    </row>
    <row r="54" spans="2:50" ht="12.75">
      <c r="B54" s="9" t="s">
        <v>112</v>
      </c>
      <c r="D54" s="9" t="s">
        <v>140</v>
      </c>
      <c r="F54" s="78">
        <v>54300000</v>
      </c>
      <c r="G54" s="78"/>
      <c r="H54" s="13">
        <v>51300000</v>
      </c>
      <c r="I54" s="13"/>
      <c r="J54" s="13">
        <v>50300000</v>
      </c>
      <c r="K54" s="13"/>
      <c r="L54" s="13"/>
      <c r="M54" s="13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78"/>
      <c r="Y54" s="78"/>
      <c r="Z54" s="78">
        <v>807000</v>
      </c>
      <c r="AA54" s="78"/>
      <c r="AB54" s="13">
        <v>889000</v>
      </c>
      <c r="AC54" s="13"/>
      <c r="AD54" s="13">
        <v>689000</v>
      </c>
      <c r="AE54" s="13"/>
      <c r="AF54" s="13"/>
      <c r="AG54" s="13"/>
      <c r="AH54" s="78"/>
      <c r="AI54" s="78"/>
      <c r="AJ54" s="13">
        <v>7350000</v>
      </c>
      <c r="AK54" s="13"/>
      <c r="AL54" s="13">
        <v>7080000</v>
      </c>
      <c r="AM54" s="13"/>
      <c r="AN54" s="13">
        <v>6890000</v>
      </c>
      <c r="AO54" s="13"/>
      <c r="AP54" s="13"/>
      <c r="AQ54" s="13"/>
      <c r="AR54" s="78"/>
      <c r="AS54" s="78"/>
      <c r="AT54" s="13"/>
      <c r="AU54" s="13"/>
      <c r="AV54" s="13"/>
      <c r="AW54" s="13"/>
      <c r="AX54" s="13"/>
    </row>
    <row r="55" spans="2:50" ht="12.75">
      <c r="B55" s="9" t="s">
        <v>64</v>
      </c>
      <c r="D55" s="9" t="s">
        <v>151</v>
      </c>
      <c r="F55" s="78"/>
      <c r="G55" s="78"/>
      <c r="H55" s="13"/>
      <c r="I55" s="13"/>
      <c r="J55" s="13"/>
      <c r="K55" s="13"/>
      <c r="L55" s="13"/>
      <c r="M55" s="13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78"/>
      <c r="Y55" s="78"/>
      <c r="Z55" s="78"/>
      <c r="AA55" s="78"/>
      <c r="AB55" s="13"/>
      <c r="AC55" s="13"/>
      <c r="AD55" s="13"/>
      <c r="AE55" s="13"/>
      <c r="AF55" s="13"/>
      <c r="AG55" s="13"/>
      <c r="AH55" s="78"/>
      <c r="AI55" s="78"/>
      <c r="AJ55" s="78"/>
      <c r="AK55" s="78"/>
      <c r="AL55" s="13"/>
      <c r="AM55" s="13"/>
      <c r="AN55" s="13"/>
      <c r="AO55" s="13"/>
      <c r="AP55" s="13"/>
      <c r="AQ55" s="13"/>
      <c r="AR55" s="78"/>
      <c r="AS55" s="78"/>
      <c r="AT55" s="13"/>
      <c r="AU55" s="13"/>
      <c r="AV55" s="13"/>
      <c r="AW55" s="13"/>
      <c r="AX55" s="13"/>
    </row>
    <row r="56" spans="2:51" ht="12.75">
      <c r="B56" s="9" t="s">
        <v>22</v>
      </c>
      <c r="D56" s="9" t="s">
        <v>140</v>
      </c>
      <c r="F56" s="78">
        <v>6520</v>
      </c>
      <c r="G56" s="78"/>
      <c r="H56" s="13">
        <v>6660</v>
      </c>
      <c r="I56" s="13"/>
      <c r="J56" s="13">
        <v>6530</v>
      </c>
      <c r="K56" s="13"/>
      <c r="L56" s="13"/>
      <c r="M56" s="13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78"/>
      <c r="Y56" s="78"/>
      <c r="Z56" s="78">
        <v>484</v>
      </c>
      <c r="AA56" s="78"/>
      <c r="AB56" s="13">
        <v>533</v>
      </c>
      <c r="AC56" s="13"/>
      <c r="AD56" s="13">
        <v>412</v>
      </c>
      <c r="AE56" s="13"/>
      <c r="AF56" s="13"/>
      <c r="AG56" s="13"/>
      <c r="AH56" s="78"/>
      <c r="AI56" s="78"/>
      <c r="AJ56" s="78">
        <f>172000-104000</f>
        <v>68000</v>
      </c>
      <c r="AK56" s="78"/>
      <c r="AL56" s="61">
        <f>206000-111000</f>
        <v>95000</v>
      </c>
      <c r="AM56" s="61"/>
      <c r="AN56" s="61">
        <f>135000-113000</f>
        <v>22000</v>
      </c>
      <c r="AO56" s="61"/>
      <c r="AP56" s="13"/>
      <c r="AQ56" s="13"/>
      <c r="AR56" s="78"/>
      <c r="AS56" s="78"/>
      <c r="AT56" s="78">
        <v>104000</v>
      </c>
      <c r="AU56" s="78"/>
      <c r="AV56" s="13">
        <v>111000</v>
      </c>
      <c r="AW56" s="13"/>
      <c r="AX56" s="13">
        <v>113000</v>
      </c>
      <c r="AY56" s="8"/>
    </row>
    <row r="58" spans="2:64" ht="12.75">
      <c r="B58" s="9" t="s">
        <v>71</v>
      </c>
      <c r="D58" s="9" t="s">
        <v>16</v>
      </c>
      <c r="F58" s="61">
        <f>'emiss 1'!G87</f>
        <v>73998</v>
      </c>
      <c r="G58" s="61"/>
      <c r="H58" s="61">
        <f>'emiss 1'!I87</f>
        <v>75687</v>
      </c>
      <c r="I58" s="61"/>
      <c r="J58" s="61">
        <f>'emiss 1'!K87</f>
        <v>74026</v>
      </c>
      <c r="Z58" s="61">
        <f>F58</f>
        <v>73998</v>
      </c>
      <c r="AB58" s="61">
        <f>H58</f>
        <v>75687</v>
      </c>
      <c r="AD58" s="61">
        <f>J58</f>
        <v>74026</v>
      </c>
      <c r="AJ58" s="61">
        <f>Z58</f>
        <v>73998</v>
      </c>
      <c r="AL58" s="61">
        <f>AB58</f>
        <v>75687</v>
      </c>
      <c r="AN58" s="61">
        <f>AD58</f>
        <v>74026</v>
      </c>
      <c r="AP58" s="61"/>
      <c r="AT58" s="61">
        <f>AJ58</f>
        <v>73998</v>
      </c>
      <c r="AV58" s="61">
        <f>AL58</f>
        <v>75687</v>
      </c>
      <c r="AX58" s="61">
        <f>AN58</f>
        <v>74026</v>
      </c>
      <c r="BD58" s="78">
        <f>AT58</f>
        <v>73998</v>
      </c>
      <c r="BF58" s="78">
        <f>AV58</f>
        <v>75687</v>
      </c>
      <c r="BH58" s="78">
        <f>AX58</f>
        <v>74026</v>
      </c>
      <c r="BL58" s="78">
        <f>AVERAGE(BD58,BF58,BH58)</f>
        <v>74570.33333333333</v>
      </c>
    </row>
    <row r="59" spans="2:64" ht="12.75">
      <c r="B59" s="9" t="s">
        <v>72</v>
      </c>
      <c r="D59" s="9" t="s">
        <v>14</v>
      </c>
      <c r="F59" s="51">
        <f>'emiss 1'!G88</f>
        <v>8.8</v>
      </c>
      <c r="G59" s="51"/>
      <c r="H59" s="51">
        <f>'emiss 1'!I88</f>
        <v>9.8</v>
      </c>
      <c r="I59" s="51"/>
      <c r="J59" s="51">
        <f>'emiss 1'!K88</f>
        <v>9</v>
      </c>
      <c r="Z59" s="51">
        <f>F59</f>
        <v>8.8</v>
      </c>
      <c r="AB59" s="51">
        <f>H59</f>
        <v>9.8</v>
      </c>
      <c r="AD59" s="51">
        <f>J59</f>
        <v>9</v>
      </c>
      <c r="AJ59" s="51">
        <f>Z59</f>
        <v>8.8</v>
      </c>
      <c r="AL59" s="51">
        <f>AB59</f>
        <v>9.8</v>
      </c>
      <c r="AN59" s="51">
        <f>AD59</f>
        <v>9</v>
      </c>
      <c r="AP59" s="51"/>
      <c r="AT59" s="51">
        <f>AJ59</f>
        <v>8.8</v>
      </c>
      <c r="AV59" s="51">
        <f>AL59</f>
        <v>9.8</v>
      </c>
      <c r="AX59" s="51">
        <f>AN59</f>
        <v>9</v>
      </c>
      <c r="BD59" s="14">
        <f>AT59</f>
        <v>8.8</v>
      </c>
      <c r="BF59" s="14">
        <f>AV59</f>
        <v>9.8</v>
      </c>
      <c r="BH59" s="14">
        <f>AX59</f>
        <v>9</v>
      </c>
      <c r="BL59" s="14">
        <f>AVERAGE(BD59,BF59,BH59)</f>
        <v>9.200000000000001</v>
      </c>
    </row>
    <row r="61" spans="2:3" ht="12.75">
      <c r="B61" s="54" t="s">
        <v>88</v>
      </c>
      <c r="C61" s="54"/>
    </row>
    <row r="62" spans="2:64" ht="12.75">
      <c r="B62" s="9" t="s">
        <v>22</v>
      </c>
      <c r="D62" s="9" t="s">
        <v>69</v>
      </c>
      <c r="F62" s="61">
        <f>F56/60/F58/0.0283*1000000*(21-7)/(21-F59)</f>
        <v>59546.75957334755</v>
      </c>
      <c r="H62" s="61">
        <f>H56/60/H58/0.0283*1000000*(21-7)/(21-H59)</f>
        <v>64777.66135695264</v>
      </c>
      <c r="J62" s="61">
        <f>J56/60/J58/0.0283*1000000*(21-7)/(21-J59)</f>
        <v>60609.1233068919</v>
      </c>
      <c r="Z62" s="61">
        <f>Z56/60/Z58/0.0283*1000000*(21-7)/(21-Z59)</f>
        <v>4420.3422750767195</v>
      </c>
      <c r="AB62" s="61">
        <f>AB56/60/AB58/0.0283*1000000*(21-7)/(21-AB59)</f>
        <v>5184.158183672036</v>
      </c>
      <c r="AD62" s="61">
        <f>AD56/60/AD58/0.0283*1000000*(21-7)/(21-AD59)</f>
        <v>3824.0365700519847</v>
      </c>
      <c r="AJ62" s="61">
        <f>AJ56/60/AJ58/0.0283*1000000*(21-7)/(21-AJ59)</f>
        <v>621039.8237711093</v>
      </c>
      <c r="AL62" s="61">
        <f>AL56/60/AL58/0.0283*1000000*(21-7)/(21-AL59)</f>
        <v>924005.6800165919</v>
      </c>
      <c r="AN62" s="61">
        <f>AN56/60/AN58/0.0283*1000000*(21-7)/(21-AN59)</f>
        <v>204196.12752704773</v>
      </c>
      <c r="AT62" s="61">
        <f>AT56/60/AT58/0.0283*1000000*(21-7)/(21-AT59)</f>
        <v>949825.6128264025</v>
      </c>
      <c r="AV62" s="61">
        <f>AV56/60/AV58/0.0283*1000000*(21-7)/(21-AV59)</f>
        <v>1079627.6892825442</v>
      </c>
      <c r="AX62" s="61">
        <f>AX56/60/AX58/0.0283*1000000*(21-7)/(21-AX59)</f>
        <v>1048825.5641161997</v>
      </c>
      <c r="BD62" s="78">
        <f>F62+P62+Z62+AJ62+AT62</f>
        <v>1634832.538445936</v>
      </c>
      <c r="BF62" s="78">
        <f>H62+R62+AB62+AL62+AV62</f>
        <v>2073595.1888397608</v>
      </c>
      <c r="BH62" s="78">
        <f>J62+T62+AD62+AN62+AX62</f>
        <v>1317454.8515201914</v>
      </c>
      <c r="BL62" s="78">
        <f>AVERAGE(BD62,BF62,BH62)</f>
        <v>1675294.192935296</v>
      </c>
    </row>
    <row r="66" spans="2:64" ht="12.75">
      <c r="B66" s="49" t="s">
        <v>176</v>
      </c>
      <c r="F66" s="5" t="s">
        <v>147</v>
      </c>
      <c r="H66" s="5" t="s">
        <v>148</v>
      </c>
      <c r="J66" s="5" t="s">
        <v>149</v>
      </c>
      <c r="L66" s="5" t="s">
        <v>150</v>
      </c>
      <c r="N66" s="5" t="s">
        <v>70</v>
      </c>
      <c r="O66" s="5"/>
      <c r="P66" s="5" t="s">
        <v>147</v>
      </c>
      <c r="Q66" s="5"/>
      <c r="R66" s="5" t="s">
        <v>148</v>
      </c>
      <c r="S66" s="5"/>
      <c r="T66" s="5" t="s">
        <v>149</v>
      </c>
      <c r="U66" s="5"/>
      <c r="V66" s="5" t="s">
        <v>150</v>
      </c>
      <c r="W66" s="5"/>
      <c r="X66" s="5" t="s">
        <v>70</v>
      </c>
      <c r="Y66" s="5"/>
      <c r="Z66" s="5" t="s">
        <v>147</v>
      </c>
      <c r="AB66" s="5" t="s">
        <v>148</v>
      </c>
      <c r="AD66" s="5" t="s">
        <v>149</v>
      </c>
      <c r="AF66" s="5" t="s">
        <v>150</v>
      </c>
      <c r="AH66" s="5" t="s">
        <v>70</v>
      </c>
      <c r="AI66" s="5"/>
      <c r="AJ66" s="5" t="s">
        <v>147</v>
      </c>
      <c r="AL66" s="5" t="s">
        <v>148</v>
      </c>
      <c r="AN66" s="5" t="s">
        <v>149</v>
      </c>
      <c r="AP66" s="5" t="s">
        <v>150</v>
      </c>
      <c r="AR66" s="5" t="s">
        <v>70</v>
      </c>
      <c r="AS66" s="5"/>
      <c r="AT66" s="5" t="s">
        <v>147</v>
      </c>
      <c r="AV66" s="5" t="s">
        <v>148</v>
      </c>
      <c r="AX66" s="5" t="s">
        <v>149</v>
      </c>
      <c r="AZ66" s="5" t="s">
        <v>150</v>
      </c>
      <c r="BB66" s="5" t="s">
        <v>70</v>
      </c>
      <c r="BC66" s="5"/>
      <c r="BD66" s="5" t="s">
        <v>147</v>
      </c>
      <c r="BE66" s="5"/>
      <c r="BF66" s="5" t="s">
        <v>148</v>
      </c>
      <c r="BG66" s="5"/>
      <c r="BH66" s="5" t="s">
        <v>149</v>
      </c>
      <c r="BI66" s="5"/>
      <c r="BJ66" s="5" t="s">
        <v>150</v>
      </c>
      <c r="BK66" s="5"/>
      <c r="BL66" s="5" t="s">
        <v>70</v>
      </c>
    </row>
    <row r="68" spans="2:64" ht="12.75">
      <c r="B68" s="9" t="s">
        <v>298</v>
      </c>
      <c r="F68" s="5" t="s">
        <v>300</v>
      </c>
      <c r="H68" s="5" t="s">
        <v>300</v>
      </c>
      <c r="J68" s="5" t="s">
        <v>300</v>
      </c>
      <c r="L68" s="5" t="s">
        <v>300</v>
      </c>
      <c r="N68" s="5" t="s">
        <v>300</v>
      </c>
      <c r="P68" s="50" t="s">
        <v>302</v>
      </c>
      <c r="R68" s="50" t="s">
        <v>302</v>
      </c>
      <c r="T68" s="50" t="s">
        <v>302</v>
      </c>
      <c r="V68" s="50" t="s">
        <v>302</v>
      </c>
      <c r="X68" s="50" t="s">
        <v>302</v>
      </c>
      <c r="Z68" s="5" t="s">
        <v>303</v>
      </c>
      <c r="AB68" s="5" t="s">
        <v>303</v>
      </c>
      <c r="AD68" s="5" t="s">
        <v>303</v>
      </c>
      <c r="AF68" s="5" t="s">
        <v>303</v>
      </c>
      <c r="AH68" s="5" t="s">
        <v>303</v>
      </c>
      <c r="AJ68" s="5" t="s">
        <v>305</v>
      </c>
      <c r="AL68" s="5" t="s">
        <v>305</v>
      </c>
      <c r="AN68" s="5" t="s">
        <v>305</v>
      </c>
      <c r="AP68" s="5" t="s">
        <v>305</v>
      </c>
      <c r="AR68" s="5" t="s">
        <v>305</v>
      </c>
      <c r="AT68" s="5" t="s">
        <v>307</v>
      </c>
      <c r="AV68" s="5" t="s">
        <v>307</v>
      </c>
      <c r="AX68" s="5" t="s">
        <v>307</v>
      </c>
      <c r="AZ68" s="5" t="s">
        <v>307</v>
      </c>
      <c r="BB68" s="5" t="s">
        <v>307</v>
      </c>
      <c r="BD68" s="5" t="s">
        <v>308</v>
      </c>
      <c r="BF68" s="5" t="s">
        <v>308</v>
      </c>
      <c r="BH68" s="5" t="s">
        <v>308</v>
      </c>
      <c r="BJ68" s="5" t="s">
        <v>308</v>
      </c>
      <c r="BL68" s="5" t="s">
        <v>308</v>
      </c>
    </row>
    <row r="69" spans="2:64" ht="12.75">
      <c r="B69" s="9" t="s">
        <v>299</v>
      </c>
      <c r="F69" s="5" t="s">
        <v>301</v>
      </c>
      <c r="H69" s="5" t="s">
        <v>301</v>
      </c>
      <c r="J69" s="5" t="s">
        <v>301</v>
      </c>
      <c r="L69" s="5" t="s">
        <v>301</v>
      </c>
      <c r="N69" s="5" t="s">
        <v>301</v>
      </c>
      <c r="P69" s="50" t="s">
        <v>142</v>
      </c>
      <c r="R69" s="50" t="s">
        <v>142</v>
      </c>
      <c r="T69" s="50" t="s">
        <v>142</v>
      </c>
      <c r="V69" s="50" t="s">
        <v>142</v>
      </c>
      <c r="X69" s="50" t="s">
        <v>142</v>
      </c>
      <c r="Z69" s="5" t="s">
        <v>304</v>
      </c>
      <c r="AB69" s="5" t="s">
        <v>304</v>
      </c>
      <c r="AD69" s="5" t="s">
        <v>304</v>
      </c>
      <c r="AF69" s="5" t="s">
        <v>304</v>
      </c>
      <c r="AH69" s="5" t="s">
        <v>304</v>
      </c>
      <c r="AJ69" s="5" t="s">
        <v>306</v>
      </c>
      <c r="AL69" s="5" t="s">
        <v>306</v>
      </c>
      <c r="AN69" s="5" t="s">
        <v>306</v>
      </c>
      <c r="AP69" s="5" t="s">
        <v>306</v>
      </c>
      <c r="AR69" s="5" t="s">
        <v>306</v>
      </c>
      <c r="AT69" s="5" t="s">
        <v>67</v>
      </c>
      <c r="AV69" s="5" t="s">
        <v>67</v>
      </c>
      <c r="AX69" s="5" t="s">
        <v>67</v>
      </c>
      <c r="AZ69" s="5" t="s">
        <v>67</v>
      </c>
      <c r="BB69" s="5" t="s">
        <v>67</v>
      </c>
      <c r="BD69" s="5" t="s">
        <v>31</v>
      </c>
      <c r="BF69" s="5" t="s">
        <v>31</v>
      </c>
      <c r="BH69" s="5" t="s">
        <v>31</v>
      </c>
      <c r="BJ69" s="5" t="s">
        <v>31</v>
      </c>
      <c r="BL69" s="5" t="s">
        <v>31</v>
      </c>
    </row>
    <row r="70" spans="2:64" ht="12.75">
      <c r="B70" s="9" t="s">
        <v>108</v>
      </c>
      <c r="F70" s="50" t="s">
        <v>141</v>
      </c>
      <c r="G70" s="50"/>
      <c r="H70" s="50" t="s">
        <v>141</v>
      </c>
      <c r="I70" s="50"/>
      <c r="J70" s="50" t="s">
        <v>141</v>
      </c>
      <c r="K70" s="50"/>
      <c r="L70" s="50" t="s">
        <v>141</v>
      </c>
      <c r="M70" s="50"/>
      <c r="N70" s="50" t="s">
        <v>141</v>
      </c>
      <c r="P70" s="50" t="s">
        <v>142</v>
      </c>
      <c r="R70" s="50" t="s">
        <v>142</v>
      </c>
      <c r="T70" s="50" t="s">
        <v>142</v>
      </c>
      <c r="V70" s="50" t="s">
        <v>142</v>
      </c>
      <c r="X70" s="50" t="s">
        <v>142</v>
      </c>
      <c r="Y70" s="50"/>
      <c r="Z70" s="50" t="s">
        <v>143</v>
      </c>
      <c r="AA70" s="50"/>
      <c r="AB70" s="50" t="s">
        <v>143</v>
      </c>
      <c r="AC70" s="50"/>
      <c r="AD70" s="50" t="s">
        <v>143</v>
      </c>
      <c r="AE70" s="50"/>
      <c r="AF70" s="50" t="s">
        <v>143</v>
      </c>
      <c r="AG70" s="50"/>
      <c r="AH70" s="50" t="s">
        <v>143</v>
      </c>
      <c r="AI70" s="50"/>
      <c r="AJ70" s="50" t="s">
        <v>144</v>
      </c>
      <c r="AK70" s="50"/>
      <c r="AL70" s="50" t="s">
        <v>144</v>
      </c>
      <c r="AM70" s="50"/>
      <c r="AN70" s="50" t="s">
        <v>144</v>
      </c>
      <c r="AO70" s="50"/>
      <c r="AP70" s="50" t="s">
        <v>144</v>
      </c>
      <c r="AQ70" s="50"/>
      <c r="AR70" s="50" t="s">
        <v>144</v>
      </c>
      <c r="AS70" s="50"/>
      <c r="AT70" s="50" t="s">
        <v>67</v>
      </c>
      <c r="AU70" s="50"/>
      <c r="AV70" s="50" t="s">
        <v>67</v>
      </c>
      <c r="AW70" s="50"/>
      <c r="AX70" s="50" t="s">
        <v>67</v>
      </c>
      <c r="AY70" s="50"/>
      <c r="AZ70" s="50" t="s">
        <v>67</v>
      </c>
      <c r="BA70" s="50"/>
      <c r="BB70" s="50" t="s">
        <v>67</v>
      </c>
      <c r="BC70" s="50"/>
      <c r="BD70" s="50" t="s">
        <v>31</v>
      </c>
      <c r="BE70" s="50"/>
      <c r="BF70" s="50" t="s">
        <v>31</v>
      </c>
      <c r="BG70" s="50"/>
      <c r="BH70" s="50" t="s">
        <v>31</v>
      </c>
      <c r="BI70" s="50"/>
      <c r="BJ70" s="50" t="s">
        <v>31</v>
      </c>
      <c r="BK70" s="50"/>
      <c r="BL70" s="50" t="s">
        <v>31</v>
      </c>
    </row>
    <row r="71" spans="2:50" ht="12.75">
      <c r="B71" s="9" t="s">
        <v>112</v>
      </c>
      <c r="D71" s="9" t="s">
        <v>140</v>
      </c>
      <c r="F71" s="61">
        <v>49900000</v>
      </c>
      <c r="G71" s="61"/>
      <c r="H71" s="61">
        <v>51000000</v>
      </c>
      <c r="I71" s="61"/>
      <c r="J71" s="61">
        <v>50600000</v>
      </c>
      <c r="K71" s="13"/>
      <c r="L71" s="13"/>
      <c r="M71" s="13"/>
      <c r="N71" s="61"/>
      <c r="O71" s="61"/>
      <c r="P71" s="61">
        <v>2900000</v>
      </c>
      <c r="Q71" s="61"/>
      <c r="R71" s="61">
        <v>2810000</v>
      </c>
      <c r="S71" s="61"/>
      <c r="T71" s="61">
        <v>3450000</v>
      </c>
      <c r="U71" s="61"/>
      <c r="V71" s="61"/>
      <c r="W71" s="61"/>
      <c r="X71" s="78"/>
      <c r="Y71" s="78"/>
      <c r="Z71" s="61">
        <v>562000</v>
      </c>
      <c r="AA71" s="61"/>
      <c r="AB71" s="61">
        <v>680000</v>
      </c>
      <c r="AC71" s="61"/>
      <c r="AD71" s="61">
        <v>635000</v>
      </c>
      <c r="AE71" s="13"/>
      <c r="AF71" s="13"/>
      <c r="AG71" s="13"/>
      <c r="AH71" s="78"/>
      <c r="AI71" s="78"/>
      <c r="AJ71" s="13">
        <v>5620000</v>
      </c>
      <c r="AK71" s="13"/>
      <c r="AL71" s="61">
        <v>5080000</v>
      </c>
      <c r="AM71" s="61"/>
      <c r="AN71" s="61">
        <v>5440000</v>
      </c>
      <c r="AO71" s="61"/>
      <c r="AP71" s="61"/>
      <c r="AQ71" s="61"/>
      <c r="AR71" s="61"/>
      <c r="AS71" s="61"/>
      <c r="AT71" s="61"/>
      <c r="AU71" s="61"/>
      <c r="AV71" s="61"/>
      <c r="AW71" s="61"/>
      <c r="AX71" s="61"/>
    </row>
    <row r="72" spans="2:50" ht="12.75">
      <c r="B72" s="9" t="s">
        <v>64</v>
      </c>
      <c r="D72" s="9" t="s">
        <v>151</v>
      </c>
      <c r="F72" s="61"/>
      <c r="G72" s="61"/>
      <c r="H72" s="61"/>
      <c r="I72" s="61"/>
      <c r="J72" s="61"/>
      <c r="K72" s="13"/>
      <c r="L72" s="13"/>
      <c r="M72" s="13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78"/>
      <c r="Y72" s="78"/>
      <c r="Z72" s="61"/>
      <c r="AA72" s="61"/>
      <c r="AB72" s="61"/>
      <c r="AC72" s="61"/>
      <c r="AD72" s="61"/>
      <c r="AE72" s="13"/>
      <c r="AF72" s="13"/>
      <c r="AG72" s="13"/>
      <c r="AH72" s="78"/>
      <c r="AI72" s="78"/>
      <c r="AJ72" s="13"/>
      <c r="AK72" s="13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</row>
    <row r="73" spans="2:51" ht="12.75">
      <c r="B73" s="9" t="s">
        <v>22</v>
      </c>
      <c r="D73" s="9" t="s">
        <v>140</v>
      </c>
      <c r="F73" s="61">
        <v>7480</v>
      </c>
      <c r="G73" s="61"/>
      <c r="H73" s="61">
        <v>7140</v>
      </c>
      <c r="I73" s="61"/>
      <c r="J73" s="61">
        <v>13700</v>
      </c>
      <c r="K73" s="13"/>
      <c r="L73" s="13"/>
      <c r="M73" s="13"/>
      <c r="N73" s="61"/>
      <c r="O73" s="61"/>
      <c r="P73" s="61">
        <v>2030</v>
      </c>
      <c r="Q73" s="61"/>
      <c r="R73" s="61">
        <v>560</v>
      </c>
      <c r="S73" s="61"/>
      <c r="T73" s="61">
        <v>1810</v>
      </c>
      <c r="U73" s="61"/>
      <c r="V73" s="61"/>
      <c r="W73" s="61"/>
      <c r="X73" s="78"/>
      <c r="Y73" s="78"/>
      <c r="Z73" s="61">
        <v>337</v>
      </c>
      <c r="AA73" s="61"/>
      <c r="AB73" s="61">
        <v>408</v>
      </c>
      <c r="AC73" s="61"/>
      <c r="AD73" s="61">
        <v>381</v>
      </c>
      <c r="AE73" s="13"/>
      <c r="AF73" s="13"/>
      <c r="AG73" s="13"/>
      <c r="AH73" s="78"/>
      <c r="AI73" s="78"/>
      <c r="AJ73" s="61">
        <f>108000</f>
        <v>108000</v>
      </c>
      <c r="AK73" s="61"/>
      <c r="AL73" s="61">
        <f>99600-53600</f>
        <v>46000</v>
      </c>
      <c r="AM73" s="61"/>
      <c r="AN73" s="61">
        <f>117000-58300</f>
        <v>58700</v>
      </c>
      <c r="AO73" s="61"/>
      <c r="AP73" s="61"/>
      <c r="AQ73" s="61"/>
      <c r="AR73" s="61"/>
      <c r="AS73" s="61"/>
      <c r="AT73" s="61">
        <v>0</v>
      </c>
      <c r="AU73" s="61"/>
      <c r="AV73" s="61">
        <v>53600</v>
      </c>
      <c r="AW73" s="61"/>
      <c r="AX73" s="61">
        <v>58300</v>
      </c>
      <c r="AY73" s="8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F119"/>
  <sheetViews>
    <sheetView zoomScale="75" zoomScaleNormal="75" workbookViewId="0" topLeftCell="B65">
      <pane xSplit="3480" ySplit="1545" topLeftCell="AK60" activePane="bottomRight" state="split"/>
      <selection pane="topLeft" activeCell="B64" sqref="B64"/>
      <selection pane="topRight" activeCell="AL103" sqref="AL103"/>
      <selection pane="bottomLeft" activeCell="B103" sqref="A103:IV103"/>
      <selection pane="bottomRight" activeCell="AO118" sqref="AO118"/>
    </sheetView>
  </sheetViews>
  <sheetFormatPr defaultColWidth="9.140625" defaultRowHeight="12.75"/>
  <cols>
    <col min="1" max="1" width="9.140625" style="66" hidden="1" customWidth="1"/>
    <col min="2" max="2" width="23.140625" style="66" customWidth="1"/>
    <col min="3" max="3" width="6.28125" style="66" customWidth="1"/>
    <col min="4" max="4" width="10.00390625" style="66" customWidth="1"/>
    <col min="5" max="5" width="4.140625" style="66" customWidth="1"/>
    <col min="6" max="6" width="13.00390625" style="66" customWidth="1"/>
    <col min="7" max="7" width="3.7109375" style="66" customWidth="1"/>
    <col min="8" max="8" width="11.8515625" style="66" customWidth="1"/>
    <col min="9" max="9" width="4.421875" style="66" customWidth="1"/>
    <col min="10" max="10" width="11.8515625" style="66" customWidth="1"/>
    <col min="11" max="11" width="3.7109375" style="66" customWidth="1"/>
    <col min="12" max="12" width="13.8515625" style="66" customWidth="1"/>
    <col min="13" max="13" width="3.8515625" style="66" customWidth="1"/>
    <col min="14" max="14" width="12.8515625" style="66" customWidth="1"/>
    <col min="15" max="15" width="3.8515625" style="66" customWidth="1"/>
    <col min="16" max="16" width="9.7109375" style="66" customWidth="1"/>
    <col min="17" max="17" width="3.8515625" style="66" customWidth="1"/>
    <col min="18" max="18" width="12.00390625" style="66" bestFit="1" customWidth="1"/>
    <col min="19" max="19" width="3.8515625" style="66" customWidth="1"/>
    <col min="20" max="20" width="9.7109375" style="66" customWidth="1"/>
    <col min="21" max="21" width="4.00390625" style="66" customWidth="1"/>
    <col min="22" max="22" width="11.00390625" style="66" customWidth="1"/>
    <col min="23" max="23" width="4.00390625" style="66" customWidth="1"/>
    <col min="24" max="24" width="9.7109375" style="66" customWidth="1"/>
    <col min="25" max="25" width="4.00390625" style="66" customWidth="1"/>
    <col min="26" max="26" width="9.7109375" style="66" customWidth="1"/>
    <col min="27" max="27" width="4.00390625" style="66" customWidth="1"/>
    <col min="28" max="28" width="12.00390625" style="66" bestFit="1" customWidth="1"/>
    <col min="29" max="29" width="3.57421875" style="66" customWidth="1"/>
    <col min="30" max="30" width="12.00390625" style="66" customWidth="1"/>
    <col min="31" max="31" width="2.7109375" style="66" customWidth="1"/>
    <col min="32" max="32" width="12.00390625" style="66" customWidth="1"/>
    <col min="33" max="33" width="2.7109375" style="66" customWidth="1"/>
    <col min="34" max="34" width="12.00390625" style="66" customWidth="1"/>
    <col min="35" max="35" width="3.8515625" style="66" customWidth="1"/>
    <col min="36" max="36" width="12.00390625" style="66" customWidth="1"/>
    <col min="37" max="37" width="3.7109375" style="66" customWidth="1"/>
    <col min="38" max="38" width="12.00390625" style="66" customWidth="1"/>
    <col min="39" max="39" width="3.7109375" style="66" customWidth="1"/>
    <col min="40" max="40" width="12.00390625" style="66" customWidth="1"/>
    <col min="41" max="41" width="3.7109375" style="66" customWidth="1"/>
    <col min="42" max="42" width="12.00390625" style="66" customWidth="1"/>
    <col min="43" max="43" width="3.7109375" style="66" customWidth="1"/>
    <col min="44" max="44" width="12.00390625" style="66" customWidth="1"/>
    <col min="45" max="45" width="3.7109375" style="66" customWidth="1"/>
    <col min="46" max="46" width="12.00390625" style="66" bestFit="1" customWidth="1"/>
    <col min="47" max="47" width="3.7109375" style="66" customWidth="1"/>
    <col min="48" max="48" width="12.00390625" style="66" bestFit="1" customWidth="1"/>
    <col min="49" max="49" width="3.7109375" style="66" customWidth="1"/>
    <col min="50" max="50" width="12.00390625" style="66" bestFit="1" customWidth="1"/>
    <col min="51" max="51" width="3.7109375" style="66" customWidth="1"/>
    <col min="52" max="52" width="12.00390625" style="66" bestFit="1" customWidth="1"/>
    <col min="53" max="53" width="2.7109375" style="66" customWidth="1"/>
    <col min="54" max="54" width="11.00390625" style="66" bestFit="1" customWidth="1"/>
    <col min="55" max="55" width="2.7109375" style="66" customWidth="1"/>
    <col min="56" max="56" width="11.00390625" style="66" bestFit="1" customWidth="1"/>
    <col min="57" max="57" width="2.7109375" style="66" customWidth="1"/>
    <col min="58" max="58" width="11.00390625" style="66" bestFit="1" customWidth="1"/>
    <col min="59" max="59" width="2.28125" style="66" customWidth="1"/>
    <col min="60" max="60" width="11.00390625" style="66" bestFit="1" customWidth="1"/>
    <col min="61" max="61" width="2.421875" style="66" customWidth="1"/>
    <col min="62" max="62" width="11.140625" style="66" customWidth="1"/>
    <col min="63" max="63" width="2.421875" style="66" customWidth="1"/>
    <col min="64" max="64" width="12.00390625" style="66" bestFit="1" customWidth="1"/>
    <col min="65" max="65" width="2.421875" style="66" customWidth="1"/>
    <col min="66" max="66" width="9.8515625" style="66" customWidth="1"/>
    <col min="67" max="67" width="2.8515625" style="66" customWidth="1"/>
    <col min="68" max="68" width="12.00390625" style="66" bestFit="1" customWidth="1"/>
    <col min="69" max="69" width="4.57421875" style="66" customWidth="1"/>
    <col min="70" max="70" width="14.140625" style="66" customWidth="1"/>
    <col min="71" max="71" width="3.8515625" style="66" customWidth="1"/>
    <col min="72" max="72" width="12.7109375" style="66" customWidth="1"/>
    <col min="73" max="73" width="4.28125" style="66" customWidth="1"/>
    <col min="74" max="74" width="12.28125" style="66" customWidth="1"/>
    <col min="75" max="75" width="3.57421875" style="66" customWidth="1"/>
    <col min="76" max="76" width="12.7109375" style="66" customWidth="1"/>
    <col min="77" max="77" width="3.7109375" style="66" customWidth="1"/>
    <col min="78" max="85" width="10.00390625" style="66" customWidth="1"/>
    <col min="86" max="16384" width="9.140625" style="66" customWidth="1"/>
  </cols>
  <sheetData>
    <row r="1" spans="2:3" ht="12.75">
      <c r="B1" s="2" t="s">
        <v>264</v>
      </c>
      <c r="C1" s="2"/>
    </row>
    <row r="4" spans="2:78" ht="12.75">
      <c r="B4" s="28" t="s">
        <v>181</v>
      </c>
      <c r="C4" s="28"/>
      <c r="D4" s="28"/>
      <c r="F4" s="73" t="s">
        <v>147</v>
      </c>
      <c r="G4" s="73"/>
      <c r="H4" s="73" t="s">
        <v>148</v>
      </c>
      <c r="I4" s="73"/>
      <c r="J4" s="73" t="s">
        <v>149</v>
      </c>
      <c r="K4" s="73"/>
      <c r="L4" s="73" t="s">
        <v>150</v>
      </c>
      <c r="M4" s="73"/>
      <c r="N4" s="73" t="s">
        <v>147</v>
      </c>
      <c r="O4" s="73"/>
      <c r="P4" s="73" t="s">
        <v>148</v>
      </c>
      <c r="Q4" s="73"/>
      <c r="R4" s="73" t="s">
        <v>149</v>
      </c>
      <c r="S4" s="73"/>
      <c r="T4" s="73" t="s">
        <v>150</v>
      </c>
      <c r="U4" s="73"/>
      <c r="V4" s="73" t="s">
        <v>147</v>
      </c>
      <c r="W4" s="73"/>
      <c r="X4" s="73" t="s">
        <v>148</v>
      </c>
      <c r="Y4" s="73"/>
      <c r="Z4" s="73" t="s">
        <v>149</v>
      </c>
      <c r="AA4" s="73"/>
      <c r="AB4" s="73" t="s">
        <v>150</v>
      </c>
      <c r="AC4" s="73"/>
      <c r="AD4" s="73" t="s">
        <v>147</v>
      </c>
      <c r="AE4" s="73"/>
      <c r="AF4" s="73" t="s">
        <v>148</v>
      </c>
      <c r="AG4" s="73"/>
      <c r="AH4" s="73" t="s">
        <v>149</v>
      </c>
      <c r="AI4" s="73"/>
      <c r="AJ4" s="73" t="s">
        <v>150</v>
      </c>
      <c r="AK4" s="73"/>
      <c r="AL4" s="73" t="str">
        <f>N4</f>
        <v>R1</v>
      </c>
      <c r="AM4" s="73"/>
      <c r="AN4" s="73" t="str">
        <f>P4</f>
        <v>R2</v>
      </c>
      <c r="AO4" s="73"/>
      <c r="AP4" s="73" t="str">
        <f>AH4</f>
        <v>R3</v>
      </c>
      <c r="AQ4" s="73"/>
      <c r="AR4" s="73" t="str">
        <f>AJ4</f>
        <v>R4</v>
      </c>
      <c r="AS4" s="73"/>
      <c r="AT4" s="73" t="s">
        <v>147</v>
      </c>
      <c r="AU4" s="73"/>
      <c r="AV4" s="73" t="s">
        <v>148</v>
      </c>
      <c r="AW4" s="73"/>
      <c r="AX4" s="73" t="s">
        <v>149</v>
      </c>
      <c r="AY4" s="73"/>
      <c r="AZ4" s="73" t="s">
        <v>150</v>
      </c>
      <c r="BA4" s="73"/>
      <c r="BB4" s="73" t="s">
        <v>147</v>
      </c>
      <c r="BC4" s="73"/>
      <c r="BD4" s="73" t="s">
        <v>148</v>
      </c>
      <c r="BE4" s="73"/>
      <c r="BF4" s="73" t="s">
        <v>149</v>
      </c>
      <c r="BG4" s="73"/>
      <c r="BH4" s="73" t="s">
        <v>150</v>
      </c>
      <c r="BI4" s="73"/>
      <c r="BJ4" s="73" t="s">
        <v>147</v>
      </c>
      <c r="BK4" s="73"/>
      <c r="BL4" s="73" t="s">
        <v>148</v>
      </c>
      <c r="BM4" s="73"/>
      <c r="BN4" s="73" t="s">
        <v>149</v>
      </c>
      <c r="BO4" s="73"/>
      <c r="BP4" s="73" t="s">
        <v>150</v>
      </c>
      <c r="BQ4" s="73"/>
      <c r="BR4" s="73" t="s">
        <v>147</v>
      </c>
      <c r="BS4" s="73"/>
      <c r="BT4" s="73" t="s">
        <v>148</v>
      </c>
      <c r="BU4" s="73"/>
      <c r="BV4" s="73" t="s">
        <v>149</v>
      </c>
      <c r="BW4" s="73"/>
      <c r="BX4" s="73" t="s">
        <v>150</v>
      </c>
      <c r="BY4" s="73"/>
      <c r="BZ4" s="73" t="s">
        <v>70</v>
      </c>
    </row>
    <row r="6" spans="2:78" ht="12.75">
      <c r="B6" s="66" t="s">
        <v>298</v>
      </c>
      <c r="F6" s="66" t="s">
        <v>300</v>
      </c>
      <c r="H6" s="66" t="s">
        <v>300</v>
      </c>
      <c r="J6" s="66" t="s">
        <v>300</v>
      </c>
      <c r="L6" s="66" t="s">
        <v>300</v>
      </c>
      <c r="N6" s="66" t="s">
        <v>302</v>
      </c>
      <c r="P6" s="66" t="s">
        <v>302</v>
      </c>
      <c r="R6" s="66" t="s">
        <v>302</v>
      </c>
      <c r="T6" s="66" t="s">
        <v>302</v>
      </c>
      <c r="V6" s="66" t="s">
        <v>303</v>
      </c>
      <c r="X6" s="66" t="s">
        <v>303</v>
      </c>
      <c r="Z6" s="66" t="s">
        <v>303</v>
      </c>
      <c r="AB6" s="66" t="s">
        <v>303</v>
      </c>
      <c r="AD6" s="66" t="s">
        <v>305</v>
      </c>
      <c r="AF6" s="66" t="s">
        <v>305</v>
      </c>
      <c r="AH6" s="66" t="s">
        <v>305</v>
      </c>
      <c r="AJ6" s="66" t="s">
        <v>305</v>
      </c>
      <c r="AT6" s="66" t="s">
        <v>307</v>
      </c>
      <c r="AV6" s="66" t="s">
        <v>307</v>
      </c>
      <c r="AX6" s="66" t="s">
        <v>307</v>
      </c>
      <c r="AZ6" s="66" t="s">
        <v>307</v>
      </c>
      <c r="BR6" s="66" t="s">
        <v>308</v>
      </c>
      <c r="BT6" s="66" t="s">
        <v>308</v>
      </c>
      <c r="BV6" s="66" t="s">
        <v>308</v>
      </c>
      <c r="BX6" s="66" t="s">
        <v>308</v>
      </c>
      <c r="BZ6" s="66" t="s">
        <v>308</v>
      </c>
    </row>
    <row r="7" spans="2:78" ht="12.75">
      <c r="B7" s="66" t="s">
        <v>299</v>
      </c>
      <c r="F7" s="66" t="s">
        <v>142</v>
      </c>
      <c r="H7" s="66" t="s">
        <v>142</v>
      </c>
      <c r="J7" s="66" t="s">
        <v>142</v>
      </c>
      <c r="L7" s="66" t="s">
        <v>142</v>
      </c>
      <c r="N7" s="66" t="s">
        <v>67</v>
      </c>
      <c r="P7" s="66" t="s">
        <v>67</v>
      </c>
      <c r="R7" s="66" t="s">
        <v>67</v>
      </c>
      <c r="T7" s="66" t="s">
        <v>67</v>
      </c>
      <c r="V7" s="66" t="s">
        <v>309</v>
      </c>
      <c r="X7" s="66" t="s">
        <v>309</v>
      </c>
      <c r="Z7" s="66" t="s">
        <v>309</v>
      </c>
      <c r="AB7" s="66" t="s">
        <v>309</v>
      </c>
      <c r="AD7" s="66" t="s">
        <v>67</v>
      </c>
      <c r="AF7" s="66" t="s">
        <v>67</v>
      </c>
      <c r="AH7" s="66" t="s">
        <v>67</v>
      </c>
      <c r="AJ7" s="66" t="s">
        <v>67</v>
      </c>
      <c r="AT7" s="66" t="s">
        <v>310</v>
      </c>
      <c r="AV7" s="66" t="s">
        <v>310</v>
      </c>
      <c r="AX7" s="66" t="s">
        <v>310</v>
      </c>
      <c r="AZ7" s="66" t="s">
        <v>310</v>
      </c>
      <c r="BR7" s="66" t="s">
        <v>31</v>
      </c>
      <c r="BT7" s="66" t="s">
        <v>31</v>
      </c>
      <c r="BV7" s="66" t="s">
        <v>31</v>
      </c>
      <c r="BX7" s="66" t="s">
        <v>31</v>
      </c>
      <c r="BZ7" s="66" t="s">
        <v>31</v>
      </c>
    </row>
    <row r="8" spans="2:78" ht="12.75">
      <c r="B8" s="66" t="s">
        <v>314</v>
      </c>
      <c r="F8" s="66" t="s">
        <v>142</v>
      </c>
      <c r="H8" s="66" t="s">
        <v>142</v>
      </c>
      <c r="J8" s="66" t="s">
        <v>142</v>
      </c>
      <c r="L8" s="66" t="s">
        <v>142</v>
      </c>
      <c r="AL8" s="66" t="s">
        <v>67</v>
      </c>
      <c r="AN8" s="66" t="s">
        <v>67</v>
      </c>
      <c r="AP8" s="66" t="s">
        <v>67</v>
      </c>
      <c r="AR8" s="66" t="s">
        <v>67</v>
      </c>
      <c r="AT8" s="66" t="s">
        <v>316</v>
      </c>
      <c r="AV8" s="66" t="s">
        <v>316</v>
      </c>
      <c r="AX8" s="66" t="s">
        <v>316</v>
      </c>
      <c r="AZ8" s="66" t="s">
        <v>316</v>
      </c>
      <c r="BR8" s="66" t="s">
        <v>31</v>
      </c>
      <c r="BT8" s="66" t="s">
        <v>31</v>
      </c>
      <c r="BV8" s="66" t="s">
        <v>31</v>
      </c>
      <c r="BX8" s="66" t="s">
        <v>31</v>
      </c>
      <c r="BZ8" s="66" t="s">
        <v>31</v>
      </c>
    </row>
    <row r="9" spans="2:84" ht="12.75">
      <c r="B9" s="66" t="s">
        <v>108</v>
      </c>
      <c r="F9" s="66" t="s">
        <v>142</v>
      </c>
      <c r="N9" s="66" t="s">
        <v>198</v>
      </c>
      <c r="V9" s="66" t="s">
        <v>199</v>
      </c>
      <c r="AD9" s="66" t="s">
        <v>67</v>
      </c>
      <c r="AT9" s="66" t="s">
        <v>200</v>
      </c>
      <c r="BB9" s="66" t="s">
        <v>201</v>
      </c>
      <c r="BJ9" s="66" t="s">
        <v>202</v>
      </c>
      <c r="BR9" s="66" t="s">
        <v>31</v>
      </c>
      <c r="CC9" s="66" t="s">
        <v>78</v>
      </c>
      <c r="CD9" s="66" t="s">
        <v>67</v>
      </c>
      <c r="CE9" s="66" t="s">
        <v>81</v>
      </c>
      <c r="CF9" s="66" t="s">
        <v>31</v>
      </c>
    </row>
    <row r="10" spans="1:68" ht="12.75">
      <c r="A10" s="66" t="s">
        <v>181</v>
      </c>
      <c r="B10" s="66" t="s">
        <v>203</v>
      </c>
      <c r="D10" s="66" t="s">
        <v>204</v>
      </c>
      <c r="E10" s="64"/>
      <c r="F10" s="64">
        <v>8680</v>
      </c>
      <c r="G10" s="64"/>
      <c r="H10" s="64">
        <v>8280</v>
      </c>
      <c r="I10" s="64"/>
      <c r="J10" s="64">
        <v>7780</v>
      </c>
      <c r="K10" s="64"/>
      <c r="L10" s="64">
        <v>6640</v>
      </c>
      <c r="M10" s="64"/>
      <c r="N10" s="64">
        <v>3420</v>
      </c>
      <c r="O10" s="64"/>
      <c r="P10" s="64">
        <v>3280</v>
      </c>
      <c r="Q10" s="64"/>
      <c r="R10" s="64">
        <v>3300</v>
      </c>
      <c r="S10" s="64"/>
      <c r="T10" s="64">
        <v>3260</v>
      </c>
      <c r="U10" s="64"/>
      <c r="V10" s="64">
        <v>12280</v>
      </c>
      <c r="W10" s="64"/>
      <c r="X10" s="64">
        <v>12280</v>
      </c>
      <c r="Y10" s="64"/>
      <c r="Z10" s="64">
        <v>12280</v>
      </c>
      <c r="AA10" s="64"/>
      <c r="AB10" s="64">
        <v>12300</v>
      </c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>
        <v>117920</v>
      </c>
      <c r="AV10">
        <v>117880</v>
      </c>
      <c r="AX10">
        <v>117160</v>
      </c>
      <c r="AY10" s="64"/>
      <c r="AZ10">
        <v>117420</v>
      </c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</row>
    <row r="11" spans="1:68" ht="12.75">
      <c r="A11" s="66" t="s">
        <v>181</v>
      </c>
      <c r="B11" s="66" t="s">
        <v>205</v>
      </c>
      <c r="D11" s="66" t="s">
        <v>206</v>
      </c>
      <c r="E11" s="64"/>
      <c r="F11" s="69">
        <v>13594.470046083</v>
      </c>
      <c r="G11" s="69"/>
      <c r="H11" s="69">
        <v>13647.342995169</v>
      </c>
      <c r="I11" s="69"/>
      <c r="J11" s="69">
        <v>13624.678663239</v>
      </c>
      <c r="K11" s="69"/>
      <c r="L11" s="69">
        <v>13614.4578313253</v>
      </c>
      <c r="M11" s="64"/>
      <c r="N11" s="68">
        <v>8304.093567251462</v>
      </c>
      <c r="O11" s="68"/>
      <c r="P11" s="68">
        <v>8628.0487804878</v>
      </c>
      <c r="Q11" s="68"/>
      <c r="R11" s="68">
        <v>8090.9090909091</v>
      </c>
      <c r="S11" s="68"/>
      <c r="T11" s="68">
        <v>8159.509202453988</v>
      </c>
      <c r="U11" s="64"/>
      <c r="V11" s="69">
        <v>14006.514657980457</v>
      </c>
      <c r="W11" s="69"/>
      <c r="X11" s="69">
        <v>15472.312703583</v>
      </c>
      <c r="Y11" s="69"/>
      <c r="Z11" s="69">
        <v>16938.110749185667</v>
      </c>
      <c r="AA11" s="69"/>
      <c r="AB11" s="69">
        <v>16991.869918699187</v>
      </c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</row>
    <row r="12" spans="1:68" ht="12.75">
      <c r="A12" s="66" t="s">
        <v>181</v>
      </c>
      <c r="B12" s="66" t="s">
        <v>22</v>
      </c>
      <c r="D12" s="66" t="s">
        <v>204</v>
      </c>
      <c r="E12" s="64"/>
      <c r="F12" s="64">
        <v>9</v>
      </c>
      <c r="G12" s="64"/>
      <c r="H12" s="64">
        <v>8</v>
      </c>
      <c r="I12" s="64"/>
      <c r="J12" s="64">
        <v>8</v>
      </c>
      <c r="K12" s="64"/>
      <c r="L12" s="64">
        <v>7</v>
      </c>
      <c r="M12" s="64"/>
      <c r="N12" s="64">
        <v>41</v>
      </c>
      <c r="O12" s="64"/>
      <c r="P12" s="64">
        <v>33</v>
      </c>
      <c r="Q12" s="64"/>
      <c r="R12" s="64">
        <v>110</v>
      </c>
      <c r="S12" s="64"/>
      <c r="T12" s="64">
        <v>36</v>
      </c>
      <c r="U12" s="64"/>
      <c r="V12" s="64">
        <v>491</v>
      </c>
      <c r="W12" s="64"/>
      <c r="X12" s="64">
        <v>393</v>
      </c>
      <c r="Y12" s="64"/>
      <c r="Z12" s="64">
        <v>282</v>
      </c>
      <c r="AA12" s="64"/>
      <c r="AB12" s="64">
        <v>369</v>
      </c>
      <c r="AC12" s="64"/>
      <c r="AD12" s="64"/>
      <c r="AE12" s="64"/>
      <c r="AF12" s="64"/>
      <c r="AG12" s="64"/>
      <c r="AH12" s="64"/>
      <c r="AI12" s="64"/>
      <c r="AJ12" s="64"/>
      <c r="AK12" s="64">
        <v>1</v>
      </c>
      <c r="AL12" s="64"/>
      <c r="AM12" s="64"/>
      <c r="AN12" s="64"/>
      <c r="AO12" s="64"/>
      <c r="AP12" s="64"/>
      <c r="AQ12" s="64"/>
      <c r="AR12" s="64"/>
      <c r="AS12" s="64"/>
      <c r="AT12" s="64">
        <v>118</v>
      </c>
      <c r="AU12" s="64">
        <v>1</v>
      </c>
      <c r="AV12" s="64">
        <v>118</v>
      </c>
      <c r="AW12" s="64">
        <v>1</v>
      </c>
      <c r="AX12" s="64">
        <v>117</v>
      </c>
      <c r="AY12" s="64">
        <v>1</v>
      </c>
      <c r="AZ12" s="64">
        <v>117</v>
      </c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</row>
    <row r="13" spans="1:68" ht="12.75">
      <c r="A13" s="66" t="s">
        <v>181</v>
      </c>
      <c r="B13" s="66" t="s">
        <v>102</v>
      </c>
      <c r="D13" s="66" t="s">
        <v>204</v>
      </c>
      <c r="E13" s="64">
        <v>1</v>
      </c>
      <c r="F13" s="71">
        <v>0.05208</v>
      </c>
      <c r="G13" s="64">
        <v>1</v>
      </c>
      <c r="H13" s="71">
        <v>0.04968</v>
      </c>
      <c r="I13" s="64">
        <v>1</v>
      </c>
      <c r="J13" s="64">
        <v>0.04668</v>
      </c>
      <c r="K13" s="64">
        <v>1</v>
      </c>
      <c r="L13" s="71">
        <v>0.03984</v>
      </c>
      <c r="M13" s="64"/>
      <c r="N13" s="71">
        <v>15.732</v>
      </c>
      <c r="O13" s="64"/>
      <c r="P13" s="64">
        <v>10.496</v>
      </c>
      <c r="Q13" s="64"/>
      <c r="R13" s="64">
        <v>0.1881</v>
      </c>
      <c r="S13" s="64"/>
      <c r="T13" s="64">
        <v>0.5216</v>
      </c>
      <c r="U13" s="64"/>
      <c r="V13" s="64">
        <v>0.09824</v>
      </c>
      <c r="W13" s="64"/>
      <c r="X13" s="64">
        <v>0.09824</v>
      </c>
      <c r="Y13" s="64"/>
      <c r="Z13" s="64">
        <v>0.07368</v>
      </c>
      <c r="AA13" s="64"/>
      <c r="AB13" s="64">
        <v>0.0738</v>
      </c>
      <c r="AC13" s="64"/>
      <c r="AD13" s="64"/>
      <c r="AE13" s="64"/>
      <c r="AF13" s="64"/>
      <c r="AG13" s="64"/>
      <c r="AH13" s="64"/>
      <c r="AI13" s="64"/>
      <c r="AJ13" s="64"/>
      <c r="AK13" s="64">
        <v>1</v>
      </c>
      <c r="AL13" s="64"/>
      <c r="AM13" s="64"/>
      <c r="AN13" s="64"/>
      <c r="AO13" s="64"/>
      <c r="AP13" s="64"/>
      <c r="AQ13" s="64"/>
      <c r="AR13" s="64"/>
      <c r="AS13" s="64"/>
      <c r="AT13" s="64">
        <v>0.70752</v>
      </c>
      <c r="AU13" s="64">
        <v>1</v>
      </c>
      <c r="AV13" s="64">
        <v>0.70728</v>
      </c>
      <c r="AW13" s="64">
        <v>1</v>
      </c>
      <c r="AX13" s="64">
        <v>0.70296</v>
      </c>
      <c r="AY13" s="64">
        <v>1</v>
      </c>
      <c r="AZ13" s="64">
        <v>0.70452</v>
      </c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</row>
    <row r="14" spans="1:68" ht="12.75">
      <c r="A14" s="66" t="s">
        <v>181</v>
      </c>
      <c r="B14" s="66" t="s">
        <v>98</v>
      </c>
      <c r="D14" s="66" t="s">
        <v>204</v>
      </c>
      <c r="E14" s="64"/>
      <c r="F14" s="71">
        <v>0.64232</v>
      </c>
      <c r="G14" s="64"/>
      <c r="H14" s="71">
        <v>0.39744</v>
      </c>
      <c r="I14" s="64"/>
      <c r="J14" s="71">
        <v>0.389</v>
      </c>
      <c r="K14" s="64"/>
      <c r="L14" s="71">
        <v>0.45152</v>
      </c>
      <c r="M14" s="64">
        <v>1</v>
      </c>
      <c r="N14" s="71">
        <v>0.00513</v>
      </c>
      <c r="O14" s="64"/>
      <c r="P14" s="64">
        <v>0.012136</v>
      </c>
      <c r="Q14" s="64"/>
      <c r="R14" s="64">
        <v>0.01452</v>
      </c>
      <c r="S14" s="64"/>
      <c r="T14" s="64">
        <v>0.018908</v>
      </c>
      <c r="U14" s="64"/>
      <c r="V14" s="64">
        <v>2.7016</v>
      </c>
      <c r="W14" s="64"/>
      <c r="X14" s="64">
        <v>2.2104</v>
      </c>
      <c r="Y14" s="64"/>
      <c r="Z14" s="64">
        <v>2.3332</v>
      </c>
      <c r="AA14" s="64"/>
      <c r="AB14" s="64">
        <v>1.968</v>
      </c>
      <c r="AC14" s="64"/>
      <c r="AD14" s="64">
        <v>9.87</v>
      </c>
      <c r="AE14" s="64"/>
      <c r="AF14" s="64">
        <v>10.8</v>
      </c>
      <c r="AG14" s="64"/>
      <c r="AH14" s="64">
        <v>11</v>
      </c>
      <c r="AI14" s="64"/>
      <c r="AJ14" s="64">
        <v>11</v>
      </c>
      <c r="AK14" s="64">
        <v>1</v>
      </c>
      <c r="AL14" s="64"/>
      <c r="AM14" s="64"/>
      <c r="AN14" s="64"/>
      <c r="AO14" s="64"/>
      <c r="AP14" s="64"/>
      <c r="AQ14" s="64"/>
      <c r="AR14" s="64"/>
      <c r="AS14" s="64"/>
      <c r="AT14" s="64">
        <v>0.35376</v>
      </c>
      <c r="AU14" s="64">
        <v>1</v>
      </c>
      <c r="AV14" s="64">
        <v>0.35364</v>
      </c>
      <c r="AW14" s="64">
        <v>1</v>
      </c>
      <c r="AX14" s="64">
        <v>0.35148</v>
      </c>
      <c r="AY14" s="64">
        <v>1</v>
      </c>
      <c r="AZ14" s="64">
        <v>0.35226</v>
      </c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</row>
    <row r="15" spans="1:68" ht="12.75">
      <c r="A15" s="66" t="s">
        <v>181</v>
      </c>
      <c r="B15" s="66" t="s">
        <v>99</v>
      </c>
      <c r="D15" s="66" t="s">
        <v>204</v>
      </c>
      <c r="E15" s="64"/>
      <c r="F15" s="71">
        <v>0.31248</v>
      </c>
      <c r="G15" s="64"/>
      <c r="H15" s="71">
        <v>0.29808</v>
      </c>
      <c r="I15" s="64"/>
      <c r="J15" s="71">
        <v>0.24896</v>
      </c>
      <c r="K15" s="64"/>
      <c r="L15" s="71">
        <v>0.25232</v>
      </c>
      <c r="M15" s="64"/>
      <c r="N15" s="71">
        <v>11.628</v>
      </c>
      <c r="O15" s="64"/>
      <c r="P15" s="64">
        <v>2.624</v>
      </c>
      <c r="Q15" s="64"/>
      <c r="R15" s="64">
        <v>1.815</v>
      </c>
      <c r="S15" s="64"/>
      <c r="T15" s="64">
        <v>1.8256</v>
      </c>
      <c r="U15" s="64"/>
      <c r="V15" s="64">
        <v>14.736</v>
      </c>
      <c r="W15" s="64"/>
      <c r="X15" s="64">
        <v>14.736</v>
      </c>
      <c r="Y15" s="64"/>
      <c r="Z15" s="64">
        <v>9.3328</v>
      </c>
      <c r="AA15" s="64"/>
      <c r="AB15" s="64">
        <v>7.38</v>
      </c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>
        <v>3.41968</v>
      </c>
      <c r="AU15" s="64"/>
      <c r="AV15" s="64">
        <v>2.59336</v>
      </c>
      <c r="AW15" s="64"/>
      <c r="AX15" s="64">
        <v>3.04616</v>
      </c>
      <c r="AY15" s="64"/>
      <c r="AZ15" s="64">
        <v>2.9355</v>
      </c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</row>
    <row r="16" spans="1:68" ht="12.75">
      <c r="A16" s="66" t="s">
        <v>181</v>
      </c>
      <c r="B16" s="66" t="s">
        <v>100</v>
      </c>
      <c r="D16" s="66" t="s">
        <v>204</v>
      </c>
      <c r="E16" s="64"/>
      <c r="F16" s="71">
        <v>0.003472</v>
      </c>
      <c r="G16" s="64"/>
      <c r="H16" s="71">
        <v>0.00414</v>
      </c>
      <c r="I16" s="64"/>
      <c r="J16" s="71">
        <v>0.002334</v>
      </c>
      <c r="K16" s="64"/>
      <c r="L16" s="71">
        <v>0.002656</v>
      </c>
      <c r="M16" s="64">
        <v>1</v>
      </c>
      <c r="N16" s="71">
        <v>0.000171</v>
      </c>
      <c r="O16" s="64"/>
      <c r="P16" s="64">
        <v>0.0014432</v>
      </c>
      <c r="Q16" s="64"/>
      <c r="R16" s="64">
        <v>0.000264</v>
      </c>
      <c r="S16" s="64">
        <v>1</v>
      </c>
      <c r="T16" s="64">
        <v>0.000163</v>
      </c>
      <c r="U16" s="64"/>
      <c r="V16" s="64">
        <v>0.1228</v>
      </c>
      <c r="W16" s="64"/>
      <c r="X16" s="64">
        <v>0.1228</v>
      </c>
      <c r="Y16" s="64"/>
      <c r="Z16" s="64">
        <v>0.120344</v>
      </c>
      <c r="AA16" s="64"/>
      <c r="AB16" s="64">
        <v>0.11931</v>
      </c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>
        <v>0.023584</v>
      </c>
      <c r="AU16" s="64"/>
      <c r="AV16" s="64">
        <v>0.011788</v>
      </c>
      <c r="AW16" s="64"/>
      <c r="AX16" s="64">
        <v>0.023432</v>
      </c>
      <c r="AY16" s="64"/>
      <c r="AZ16" s="64">
        <v>0.023484</v>
      </c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</row>
    <row r="17" spans="1:68" ht="12.75">
      <c r="A17" s="66" t="s">
        <v>181</v>
      </c>
      <c r="B17" s="66" t="s">
        <v>105</v>
      </c>
      <c r="D17" s="66" t="s">
        <v>204</v>
      </c>
      <c r="E17" s="64">
        <v>1</v>
      </c>
      <c r="F17" s="71">
        <v>0.003472</v>
      </c>
      <c r="G17" s="64">
        <v>1</v>
      </c>
      <c r="H17" s="71">
        <v>0.003312</v>
      </c>
      <c r="I17" s="64">
        <v>1</v>
      </c>
      <c r="J17" s="71">
        <v>0.003112</v>
      </c>
      <c r="K17" s="64">
        <v>1</v>
      </c>
      <c r="L17" s="71">
        <v>0.002656</v>
      </c>
      <c r="M17" s="64"/>
      <c r="N17" s="71">
        <v>0.009576</v>
      </c>
      <c r="O17" s="64"/>
      <c r="P17" s="64">
        <v>0.04592</v>
      </c>
      <c r="Q17" s="64"/>
      <c r="R17" s="64">
        <v>0.0099</v>
      </c>
      <c r="S17" s="64"/>
      <c r="T17" s="64">
        <v>0.00489</v>
      </c>
      <c r="U17" s="64"/>
      <c r="V17" s="64">
        <v>0.69996</v>
      </c>
      <c r="W17" s="64"/>
      <c r="X17" s="64">
        <v>0.65084</v>
      </c>
      <c r="Y17" s="64"/>
      <c r="Z17" s="64">
        <v>0.66312</v>
      </c>
      <c r="AA17" s="64"/>
      <c r="AB17" s="64">
        <v>0.6519</v>
      </c>
      <c r="AC17" s="64"/>
      <c r="AD17" s="64"/>
      <c r="AE17" s="64"/>
      <c r="AF17" s="64"/>
      <c r="AG17" s="64"/>
      <c r="AH17" s="64"/>
      <c r="AI17" s="64"/>
      <c r="AJ17" s="64"/>
      <c r="AK17" s="64">
        <v>1</v>
      </c>
      <c r="AL17" s="64"/>
      <c r="AM17" s="64"/>
      <c r="AN17" s="64"/>
      <c r="AO17" s="64"/>
      <c r="AP17" s="64"/>
      <c r="AQ17" s="64"/>
      <c r="AR17" s="64"/>
      <c r="AS17" s="64"/>
      <c r="AT17" s="64">
        <v>0.047168</v>
      </c>
      <c r="AU17" s="64">
        <v>1</v>
      </c>
      <c r="AV17" s="64">
        <v>0.047152</v>
      </c>
      <c r="AW17" s="64">
        <v>1</v>
      </c>
      <c r="AX17" s="64">
        <v>0.046864</v>
      </c>
      <c r="AY17" s="64">
        <v>1</v>
      </c>
      <c r="AZ17" s="64">
        <v>0.046968</v>
      </c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</row>
    <row r="18" spans="1:68" ht="12.75">
      <c r="A18" s="66" t="s">
        <v>181</v>
      </c>
      <c r="B18" s="66" t="s">
        <v>107</v>
      </c>
      <c r="D18" s="66" t="s">
        <v>204</v>
      </c>
      <c r="E18" s="64"/>
      <c r="F18" s="71">
        <v>0.019964</v>
      </c>
      <c r="G18" s="64"/>
      <c r="H18" s="71">
        <v>0.038088</v>
      </c>
      <c r="I18" s="64"/>
      <c r="J18" s="71">
        <v>0.016338</v>
      </c>
      <c r="K18" s="64"/>
      <c r="L18" s="71">
        <v>0.011288</v>
      </c>
      <c r="M18" s="64"/>
      <c r="N18" s="71">
        <v>2.1546</v>
      </c>
      <c r="O18" s="64"/>
      <c r="P18" s="64">
        <v>0.7544</v>
      </c>
      <c r="Q18" s="64"/>
      <c r="R18" s="64">
        <v>1.287</v>
      </c>
      <c r="S18" s="64"/>
      <c r="T18" s="64">
        <v>1.8908</v>
      </c>
      <c r="U18" s="64"/>
      <c r="V18" s="64">
        <v>4.298</v>
      </c>
      <c r="W18" s="64"/>
      <c r="X18" s="64">
        <v>7.368</v>
      </c>
      <c r="Y18" s="64"/>
      <c r="Z18" s="64">
        <v>9.3328</v>
      </c>
      <c r="AA18" s="64"/>
      <c r="AB18" s="64">
        <v>8.364</v>
      </c>
      <c r="AC18" s="64"/>
      <c r="AD18" s="64">
        <v>20.4</v>
      </c>
      <c r="AE18" s="64"/>
      <c r="AF18" s="64">
        <v>21.9</v>
      </c>
      <c r="AG18" s="64"/>
      <c r="AH18" s="64">
        <v>22</v>
      </c>
      <c r="AI18" s="64"/>
      <c r="AJ18" s="64">
        <v>22.1</v>
      </c>
      <c r="AK18" s="64"/>
      <c r="AL18" s="64"/>
      <c r="AM18" s="64"/>
      <c r="AN18" s="64"/>
      <c r="AO18" s="64"/>
      <c r="AP18" s="64"/>
      <c r="AQ18" s="64"/>
      <c r="AR18" s="64"/>
      <c r="AS18" s="64"/>
      <c r="AT18" s="64">
        <v>0.35376</v>
      </c>
      <c r="AU18" s="64"/>
      <c r="AV18" s="64">
        <v>0.483308</v>
      </c>
      <c r="AW18" s="64"/>
      <c r="AX18" s="64">
        <v>0.515504</v>
      </c>
      <c r="AY18" s="64"/>
      <c r="AZ18" s="64">
        <v>0.493164</v>
      </c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</row>
    <row r="19" spans="1:68" ht="12.75">
      <c r="A19" s="66" t="s">
        <v>181</v>
      </c>
      <c r="B19" s="66" t="s">
        <v>103</v>
      </c>
      <c r="D19" s="66" t="s">
        <v>204</v>
      </c>
      <c r="E19" s="64"/>
      <c r="F19" s="71">
        <v>0.05208</v>
      </c>
      <c r="G19" s="64"/>
      <c r="H19" s="71">
        <v>0.03312</v>
      </c>
      <c r="I19" s="64"/>
      <c r="J19" s="71">
        <v>0.03112</v>
      </c>
      <c r="K19" s="64"/>
      <c r="L19" s="71">
        <v>0.03984</v>
      </c>
      <c r="M19" s="64"/>
      <c r="N19" s="71">
        <v>8.892</v>
      </c>
      <c r="O19" s="64"/>
      <c r="P19" s="64">
        <v>2.6896</v>
      </c>
      <c r="Q19" s="64"/>
      <c r="R19" s="64">
        <v>23.76</v>
      </c>
      <c r="S19" s="64"/>
      <c r="T19" s="64">
        <v>1.1084</v>
      </c>
      <c r="U19" s="64"/>
      <c r="V19" s="64">
        <v>25.788</v>
      </c>
      <c r="W19" s="64"/>
      <c r="X19" s="64">
        <v>25.788</v>
      </c>
      <c r="Y19" s="64"/>
      <c r="Z19" s="64">
        <v>18.42</v>
      </c>
      <c r="AA19" s="64"/>
      <c r="AB19" s="64">
        <v>30.75</v>
      </c>
      <c r="AC19" s="64"/>
      <c r="AD19" s="64"/>
      <c r="AE19" s="64"/>
      <c r="AF19" s="64"/>
      <c r="AG19" s="64"/>
      <c r="AH19" s="64"/>
      <c r="AI19" s="64"/>
      <c r="AJ19" s="64"/>
      <c r="AK19" s="64">
        <v>1</v>
      </c>
      <c r="AL19" s="64"/>
      <c r="AM19" s="64"/>
      <c r="AN19" s="64"/>
      <c r="AO19" s="64"/>
      <c r="AP19" s="64"/>
      <c r="AQ19" s="64"/>
      <c r="AR19" s="64"/>
      <c r="AS19" s="64"/>
      <c r="AT19" s="64">
        <v>0.35376</v>
      </c>
      <c r="AU19" s="64">
        <v>1</v>
      </c>
      <c r="AV19" s="64">
        <v>0.35364</v>
      </c>
      <c r="AW19" s="64">
        <v>1</v>
      </c>
      <c r="AX19" s="64">
        <v>0.35148</v>
      </c>
      <c r="AY19" s="64">
        <v>1</v>
      </c>
      <c r="AZ19" s="64">
        <v>0.35226</v>
      </c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</row>
    <row r="20" spans="1:68" ht="12.75">
      <c r="A20" s="66" t="s">
        <v>181</v>
      </c>
      <c r="B20" s="66" t="s">
        <v>111</v>
      </c>
      <c r="D20" s="66" t="s">
        <v>204</v>
      </c>
      <c r="E20" s="64"/>
      <c r="F20" s="71">
        <v>0.0016492</v>
      </c>
      <c r="G20" s="64"/>
      <c r="H20" s="71">
        <v>0.0013248</v>
      </c>
      <c r="I20" s="64"/>
      <c r="J20" s="71">
        <v>0.0014004</v>
      </c>
      <c r="K20" s="64"/>
      <c r="L20" s="71">
        <v>0.0012616</v>
      </c>
      <c r="M20" s="64"/>
      <c r="N20" s="71">
        <v>0.00171</v>
      </c>
      <c r="O20" s="64"/>
      <c r="P20" s="64">
        <v>0.020336</v>
      </c>
      <c r="Q20" s="64"/>
      <c r="R20" s="64">
        <v>0.00165</v>
      </c>
      <c r="S20" s="64"/>
      <c r="T20" s="64">
        <v>0.00163</v>
      </c>
      <c r="U20" s="64"/>
      <c r="V20" s="64">
        <v>0.01842</v>
      </c>
      <c r="W20" s="64"/>
      <c r="X20" s="64">
        <v>0.019648</v>
      </c>
      <c r="Y20" s="64"/>
      <c r="Z20" s="64">
        <v>0.002456</v>
      </c>
      <c r="AA20" s="64">
        <v>1</v>
      </c>
      <c r="AB20" s="64">
        <v>0.00246</v>
      </c>
      <c r="AC20" s="64"/>
      <c r="AD20" s="64"/>
      <c r="AE20" s="64"/>
      <c r="AF20" s="64"/>
      <c r="AG20" s="64"/>
      <c r="AH20" s="64"/>
      <c r="AI20" s="64"/>
      <c r="AJ20" s="64"/>
      <c r="AK20" s="64">
        <v>1</v>
      </c>
      <c r="AL20" s="64"/>
      <c r="AM20" s="64"/>
      <c r="AN20" s="64"/>
      <c r="AO20" s="64"/>
      <c r="AP20" s="64"/>
      <c r="AQ20" s="64"/>
      <c r="AR20" s="64"/>
      <c r="AS20" s="64"/>
      <c r="AT20" s="64">
        <v>0.0023584</v>
      </c>
      <c r="AU20" s="64">
        <v>1</v>
      </c>
      <c r="AV20" s="64">
        <v>0.0023576</v>
      </c>
      <c r="AW20" s="64">
        <v>1</v>
      </c>
      <c r="AX20" s="64">
        <v>0.0023432</v>
      </c>
      <c r="AY20" s="64">
        <v>1</v>
      </c>
      <c r="AZ20" s="64">
        <v>0.0023484</v>
      </c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</row>
    <row r="21" spans="1:68" ht="12.75">
      <c r="A21" s="66" t="s">
        <v>181</v>
      </c>
      <c r="B21" s="66" t="s">
        <v>106</v>
      </c>
      <c r="D21" s="66" t="s">
        <v>204</v>
      </c>
      <c r="E21" s="64">
        <v>1</v>
      </c>
      <c r="F21" s="71">
        <v>0.005208</v>
      </c>
      <c r="G21" s="64">
        <v>1</v>
      </c>
      <c r="H21" s="71">
        <v>0.004968</v>
      </c>
      <c r="I21" s="64">
        <v>1</v>
      </c>
      <c r="J21" s="71">
        <v>0.004668</v>
      </c>
      <c r="K21" s="64">
        <v>1</v>
      </c>
      <c r="L21" s="71">
        <v>0.003984</v>
      </c>
      <c r="M21" s="64">
        <v>1</v>
      </c>
      <c r="N21" s="71">
        <v>0.01026</v>
      </c>
      <c r="O21" s="64">
        <v>1</v>
      </c>
      <c r="P21" s="64">
        <v>0.00984</v>
      </c>
      <c r="Q21" s="64">
        <v>1</v>
      </c>
      <c r="R21" s="64">
        <v>0.0099</v>
      </c>
      <c r="S21" s="64">
        <v>1</v>
      </c>
      <c r="T21" s="64">
        <v>0.00978</v>
      </c>
      <c r="U21" s="64"/>
      <c r="V21" s="64">
        <v>0.01228</v>
      </c>
      <c r="W21" s="64">
        <v>1</v>
      </c>
      <c r="X21" s="64">
        <v>0.007368</v>
      </c>
      <c r="Y21" s="64">
        <v>1</v>
      </c>
      <c r="Z21" s="64">
        <v>0.007368</v>
      </c>
      <c r="AA21" s="64"/>
      <c r="AB21" s="64">
        <v>0.00861</v>
      </c>
      <c r="AC21" s="64"/>
      <c r="AD21" s="64"/>
      <c r="AE21" s="64"/>
      <c r="AF21" s="64"/>
      <c r="AG21" s="64"/>
      <c r="AH21" s="64"/>
      <c r="AI21" s="64"/>
      <c r="AJ21" s="64"/>
      <c r="AK21" s="64">
        <v>1</v>
      </c>
      <c r="AL21" s="64"/>
      <c r="AM21" s="64"/>
      <c r="AN21" s="64"/>
      <c r="AO21" s="64"/>
      <c r="AP21" s="64"/>
      <c r="AQ21" s="64"/>
      <c r="AR21" s="64"/>
      <c r="AS21" s="64"/>
      <c r="AT21" s="64">
        <v>0.070752</v>
      </c>
      <c r="AU21" s="64">
        <v>1</v>
      </c>
      <c r="AV21" s="64">
        <v>0.070728</v>
      </c>
      <c r="AW21" s="64">
        <v>1</v>
      </c>
      <c r="AX21" s="64">
        <v>0.070296</v>
      </c>
      <c r="AY21" s="64">
        <v>1</v>
      </c>
      <c r="AZ21" s="64">
        <v>0.070452</v>
      </c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</row>
    <row r="22" spans="1:68" ht="12.75">
      <c r="A22" s="66" t="s">
        <v>181</v>
      </c>
      <c r="B22" s="66" t="s">
        <v>101</v>
      </c>
      <c r="D22" s="66" t="s">
        <v>204</v>
      </c>
      <c r="E22" s="64">
        <v>1</v>
      </c>
      <c r="F22" s="71">
        <v>0.1302</v>
      </c>
      <c r="G22" s="64">
        <v>1</v>
      </c>
      <c r="H22" s="71">
        <v>0.1242</v>
      </c>
      <c r="I22" s="64">
        <v>1</v>
      </c>
      <c r="J22" s="71">
        <v>0.1167</v>
      </c>
      <c r="K22" s="64">
        <v>1</v>
      </c>
      <c r="L22" s="71">
        <v>0.0996</v>
      </c>
      <c r="M22" s="64"/>
      <c r="N22" s="71">
        <v>0.03078</v>
      </c>
      <c r="O22" s="64"/>
      <c r="P22" s="64">
        <v>0.0656</v>
      </c>
      <c r="Q22" s="64">
        <v>1</v>
      </c>
      <c r="R22" s="64">
        <v>0.0066</v>
      </c>
      <c r="S22" s="64"/>
      <c r="T22" s="64">
        <v>0.03912</v>
      </c>
      <c r="U22" s="64">
        <v>1</v>
      </c>
      <c r="V22" s="64">
        <v>0.04912</v>
      </c>
      <c r="W22" s="64">
        <v>1</v>
      </c>
      <c r="X22" s="64">
        <v>0.04912</v>
      </c>
      <c r="Y22" s="64">
        <v>1</v>
      </c>
      <c r="Z22" s="64">
        <v>0.04912</v>
      </c>
      <c r="AA22" s="64">
        <v>1</v>
      </c>
      <c r="AB22" s="64">
        <v>0.0492</v>
      </c>
      <c r="AC22" s="64"/>
      <c r="AD22" s="64"/>
      <c r="AE22" s="64"/>
      <c r="AF22" s="64"/>
      <c r="AG22" s="64"/>
      <c r="AH22" s="64"/>
      <c r="AI22" s="64"/>
      <c r="AJ22" s="64"/>
      <c r="AK22" s="64">
        <v>1</v>
      </c>
      <c r="AL22" s="64"/>
      <c r="AM22" s="64"/>
      <c r="AN22" s="64"/>
      <c r="AO22" s="64"/>
      <c r="AP22" s="64"/>
      <c r="AQ22" s="64"/>
      <c r="AR22" s="64"/>
      <c r="AS22" s="64"/>
      <c r="AT22" s="64">
        <v>0.47168</v>
      </c>
      <c r="AU22" s="64">
        <v>1</v>
      </c>
      <c r="AV22" s="64">
        <v>0.47152</v>
      </c>
      <c r="AW22" s="64">
        <v>1</v>
      </c>
      <c r="AX22" s="64">
        <v>0.46864</v>
      </c>
      <c r="AY22" s="64">
        <v>1</v>
      </c>
      <c r="AZ22" s="64">
        <v>0.46968</v>
      </c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</row>
    <row r="23" spans="5:68" ht="12.75"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</row>
    <row r="24" spans="2:78" ht="12.75">
      <c r="B24" s="66" t="s">
        <v>207</v>
      </c>
      <c r="E24" s="64"/>
      <c r="F24" s="64">
        <f>'emiss 2'!$G$35</f>
        <v>72246</v>
      </c>
      <c r="G24" s="64"/>
      <c r="H24" s="64">
        <f>'emiss 2'!$I$35</f>
        <v>69418</v>
      </c>
      <c r="I24" s="64"/>
      <c r="J24" s="64">
        <f>'emiss 2'!$K$35</f>
        <v>67344</v>
      </c>
      <c r="K24" s="64"/>
      <c r="L24" s="64">
        <f>'emiss 2'!$M$35</f>
        <v>68532</v>
      </c>
      <c r="M24" s="64"/>
      <c r="N24" s="64">
        <f>'emiss 2'!$G$35</f>
        <v>72246</v>
      </c>
      <c r="O24" s="64"/>
      <c r="P24" s="64">
        <f>'emiss 2'!$I$35</f>
        <v>69418</v>
      </c>
      <c r="Q24" s="64"/>
      <c r="R24" s="64">
        <f>'emiss 2'!$K$35</f>
        <v>67344</v>
      </c>
      <c r="S24" s="64"/>
      <c r="T24" s="64">
        <f>'emiss 2'!$M$35</f>
        <v>68532</v>
      </c>
      <c r="U24" s="64"/>
      <c r="V24" s="64">
        <f>'emiss 2'!$G$35</f>
        <v>72246</v>
      </c>
      <c r="W24" s="64"/>
      <c r="X24" s="64">
        <f>'emiss 2'!$I$35</f>
        <v>69418</v>
      </c>
      <c r="Y24" s="64"/>
      <c r="Z24" s="64">
        <f>'emiss 2'!$K$35</f>
        <v>67344</v>
      </c>
      <c r="AA24" s="64"/>
      <c r="AB24" s="64">
        <f>'emiss 2'!$M$35</f>
        <v>68532</v>
      </c>
      <c r="AC24" s="64"/>
      <c r="AD24" s="64">
        <f>'emiss 2'!$G$35</f>
        <v>72246</v>
      </c>
      <c r="AE24" s="64"/>
      <c r="AF24" s="64">
        <f>'emiss 2'!$I$35</f>
        <v>69418</v>
      </c>
      <c r="AG24" s="64"/>
      <c r="AH24" s="64">
        <f>'emiss 2'!$K$35</f>
        <v>67344</v>
      </c>
      <c r="AI24" s="64"/>
      <c r="AJ24" s="64">
        <f>'emiss 2'!$M$35</f>
        <v>68532</v>
      </c>
      <c r="AK24" s="64"/>
      <c r="AL24" s="64"/>
      <c r="AM24" s="64"/>
      <c r="AN24" s="64"/>
      <c r="AO24" s="64"/>
      <c r="AP24" s="64"/>
      <c r="AQ24" s="64"/>
      <c r="AR24" s="64"/>
      <c r="AS24" s="64"/>
      <c r="AT24" s="64">
        <f>'emiss 2'!$G$35</f>
        <v>72246</v>
      </c>
      <c r="AU24" s="64"/>
      <c r="AV24" s="64">
        <f>'emiss 2'!$I$35</f>
        <v>69418</v>
      </c>
      <c r="AW24" s="64"/>
      <c r="AX24" s="64">
        <f>'emiss 2'!$K$35</f>
        <v>67344</v>
      </c>
      <c r="AY24" s="64"/>
      <c r="AZ24" s="64">
        <f>'emiss 2'!$M$35</f>
        <v>68532</v>
      </c>
      <c r="BA24" s="64"/>
      <c r="BB24" s="64">
        <f>'emiss 2'!$G$35</f>
        <v>72246</v>
      </c>
      <c r="BC24" s="64"/>
      <c r="BD24" s="64">
        <f>'emiss 2'!$I$35</f>
        <v>69418</v>
      </c>
      <c r="BE24" s="64"/>
      <c r="BF24" s="64">
        <f>'emiss 2'!$K$35</f>
        <v>67344</v>
      </c>
      <c r="BG24" s="64"/>
      <c r="BH24" s="64">
        <f>'emiss 2'!$M$35</f>
        <v>68532</v>
      </c>
      <c r="BI24" s="64"/>
      <c r="BJ24" s="64">
        <f>'emiss 2'!$G$35</f>
        <v>72246</v>
      </c>
      <c r="BK24" s="64"/>
      <c r="BL24" s="64">
        <f>'emiss 2'!$I$35</f>
        <v>69418</v>
      </c>
      <c r="BM24" s="64"/>
      <c r="BN24" s="64">
        <f>'emiss 2'!$K$35</f>
        <v>67344</v>
      </c>
      <c r="BO24" s="64"/>
      <c r="BP24" s="64">
        <f>'emiss 2'!$M$35</f>
        <v>68532</v>
      </c>
      <c r="BR24" s="66">
        <f>BJ24</f>
        <v>72246</v>
      </c>
      <c r="BT24" s="66">
        <f>BL24</f>
        <v>69418</v>
      </c>
      <c r="BV24" s="66">
        <f>BN24</f>
        <v>67344</v>
      </c>
      <c r="BX24" s="66">
        <f>BP24</f>
        <v>68532</v>
      </c>
      <c r="BZ24" s="66">
        <f>AVERAGE(BR24,BT24,BV24,BX24)</f>
        <v>69385</v>
      </c>
    </row>
    <row r="25" spans="2:78" ht="12.75">
      <c r="B25" s="66" t="s">
        <v>72</v>
      </c>
      <c r="E25" s="64"/>
      <c r="F25" s="64">
        <f>'emiss 2'!$G$36</f>
        <v>5.5</v>
      </c>
      <c r="G25" s="64"/>
      <c r="H25" s="64">
        <f>'emiss 2'!$I$36</f>
        <v>5.5</v>
      </c>
      <c r="I25" s="64"/>
      <c r="J25" s="64">
        <f>'emiss 2'!$K$36</f>
        <v>4.9</v>
      </c>
      <c r="K25" s="64"/>
      <c r="L25" s="64">
        <f>'emiss 2'!$M$36</f>
        <v>6.4</v>
      </c>
      <c r="M25" s="64"/>
      <c r="N25" s="64">
        <f>'emiss 2'!$G$36</f>
        <v>5.5</v>
      </c>
      <c r="O25" s="64"/>
      <c r="P25" s="64">
        <f>'emiss 2'!$I$36</f>
        <v>5.5</v>
      </c>
      <c r="Q25" s="64"/>
      <c r="R25" s="64">
        <f>'emiss 2'!$K$36</f>
        <v>4.9</v>
      </c>
      <c r="S25" s="64"/>
      <c r="T25" s="64">
        <f>'emiss 2'!$M$36</f>
        <v>6.4</v>
      </c>
      <c r="U25" s="64"/>
      <c r="V25" s="64">
        <f>'emiss 2'!$G$36</f>
        <v>5.5</v>
      </c>
      <c r="W25" s="64"/>
      <c r="X25" s="64">
        <f>'emiss 2'!$I$36</f>
        <v>5.5</v>
      </c>
      <c r="Y25" s="64"/>
      <c r="Z25" s="64">
        <f>'emiss 2'!$K$36</f>
        <v>4.9</v>
      </c>
      <c r="AA25" s="64"/>
      <c r="AB25" s="64">
        <f>'emiss 2'!$M$36</f>
        <v>6.4</v>
      </c>
      <c r="AC25" s="64"/>
      <c r="AD25" s="64">
        <f>'emiss 2'!$G$36</f>
        <v>5.5</v>
      </c>
      <c r="AE25" s="64"/>
      <c r="AF25" s="64">
        <f>'emiss 2'!$I$36</f>
        <v>5.5</v>
      </c>
      <c r="AG25" s="64"/>
      <c r="AH25" s="64">
        <f>'emiss 2'!$K$36</f>
        <v>4.9</v>
      </c>
      <c r="AI25" s="64"/>
      <c r="AJ25" s="64">
        <f>'emiss 2'!$M$36</f>
        <v>6.4</v>
      </c>
      <c r="AK25" s="64"/>
      <c r="AL25" s="64"/>
      <c r="AM25" s="64"/>
      <c r="AN25" s="64"/>
      <c r="AO25" s="64"/>
      <c r="AP25" s="64"/>
      <c r="AQ25" s="64"/>
      <c r="AR25" s="64"/>
      <c r="AS25" s="64"/>
      <c r="AT25" s="64">
        <f>'emiss 2'!$G$36</f>
        <v>5.5</v>
      </c>
      <c r="AU25" s="64"/>
      <c r="AV25" s="64">
        <f>'emiss 2'!$I$36</f>
        <v>5.5</v>
      </c>
      <c r="AW25" s="64"/>
      <c r="AX25" s="64">
        <f>'emiss 2'!$K$36</f>
        <v>4.9</v>
      </c>
      <c r="AY25" s="64"/>
      <c r="AZ25" s="64">
        <f>'emiss 2'!$M$36</f>
        <v>6.4</v>
      </c>
      <c r="BA25" s="64"/>
      <c r="BB25" s="64">
        <f>'emiss 2'!$G$36</f>
        <v>5.5</v>
      </c>
      <c r="BC25" s="64"/>
      <c r="BD25" s="64">
        <f>'emiss 2'!$I$36</f>
        <v>5.5</v>
      </c>
      <c r="BE25" s="64"/>
      <c r="BF25" s="64">
        <f>'emiss 2'!$K$36</f>
        <v>4.9</v>
      </c>
      <c r="BG25" s="64"/>
      <c r="BH25" s="64">
        <f>'emiss 2'!$M$36</f>
        <v>6.4</v>
      </c>
      <c r="BI25" s="64"/>
      <c r="BJ25" s="64">
        <f>'emiss 2'!$G$36</f>
        <v>5.5</v>
      </c>
      <c r="BK25" s="64"/>
      <c r="BL25" s="64">
        <f>'emiss 2'!$I$36</f>
        <v>5.5</v>
      </c>
      <c r="BM25" s="64"/>
      <c r="BN25" s="64">
        <f>'emiss 2'!$K$36</f>
        <v>4.9</v>
      </c>
      <c r="BO25" s="64"/>
      <c r="BP25" s="64">
        <f>'emiss 2'!$M$36</f>
        <v>6.4</v>
      </c>
      <c r="BR25" s="66">
        <f>BJ25</f>
        <v>5.5</v>
      </c>
      <c r="BT25" s="66">
        <f>BL25</f>
        <v>5.5</v>
      </c>
      <c r="BV25" s="66">
        <f>BN25</f>
        <v>4.9</v>
      </c>
      <c r="BX25" s="66">
        <f>BP25</f>
        <v>6.4</v>
      </c>
      <c r="BZ25" s="66">
        <f>AVERAGE(BR25,BT25,BV25,BX25)</f>
        <v>5.575</v>
      </c>
    </row>
    <row r="26" spans="5:68" ht="12.75"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</row>
    <row r="27" spans="2:78" ht="12.75">
      <c r="B27" s="29" t="s">
        <v>110</v>
      </c>
      <c r="C27" s="29"/>
      <c r="D27" s="29" t="s">
        <v>180</v>
      </c>
      <c r="E27" s="64"/>
      <c r="F27" s="64">
        <f>F10*F11/1000000</f>
        <v>118.00000000000044</v>
      </c>
      <c r="G27" s="64"/>
      <c r="H27" s="64">
        <f>H10*H11/1000000</f>
        <v>112.99999999999932</v>
      </c>
      <c r="I27" s="64"/>
      <c r="J27" s="64">
        <f>J10*J11/1000000</f>
        <v>105.99999999999942</v>
      </c>
      <c r="K27" s="64"/>
      <c r="L27" s="64">
        <f>L10*L11/1000000</f>
        <v>90.4</v>
      </c>
      <c r="M27" s="64"/>
      <c r="N27" s="64">
        <f>N10*N11/1000000</f>
        <v>28.4</v>
      </c>
      <c r="O27" s="64"/>
      <c r="P27" s="64">
        <f>P10*P11/1000000</f>
        <v>28.299999999999983</v>
      </c>
      <c r="Q27" s="64"/>
      <c r="R27" s="64">
        <f>R10*R11/1000000</f>
        <v>26.70000000000003</v>
      </c>
      <c r="S27" s="64"/>
      <c r="T27" s="64">
        <f>T10*T11/1000000</f>
        <v>26.6</v>
      </c>
      <c r="U27" s="64"/>
      <c r="V27" s="64">
        <f>V10*V11/1000000</f>
        <v>172</v>
      </c>
      <c r="W27" s="64"/>
      <c r="X27" s="64">
        <f>X10*X11/1000000</f>
        <v>189.99999999999926</v>
      </c>
      <c r="Y27" s="64"/>
      <c r="Z27" s="64">
        <f>Z10*Z11/1000000</f>
        <v>208</v>
      </c>
      <c r="AA27" s="64"/>
      <c r="AB27" s="64">
        <f>AB10*AB11/1000000</f>
        <v>209</v>
      </c>
      <c r="AC27" s="64"/>
      <c r="AD27" s="64"/>
      <c r="AE27" s="64"/>
      <c r="AF27" s="64"/>
      <c r="AG27" s="64"/>
      <c r="AH27" s="64"/>
      <c r="AI27" s="64"/>
      <c r="AJ27" s="64"/>
      <c r="AK27" s="64"/>
      <c r="AL27" s="69">
        <f>N27+V27+AD27+BB27+BJ27</f>
        <v>200.4</v>
      </c>
      <c r="AM27" s="64"/>
      <c r="AN27" s="69">
        <f>P27+X27+AF27+BD27+BL27</f>
        <v>218.29999999999924</v>
      </c>
      <c r="AO27" s="64"/>
      <c r="AP27" s="69">
        <f>R27+Z27+AH27+BF27+BN27</f>
        <v>234.70000000000005</v>
      </c>
      <c r="AQ27" s="64"/>
      <c r="AR27" s="69">
        <f>T27+AB27+AJ27+BH27+BP27</f>
        <v>235.6</v>
      </c>
      <c r="AS27" s="64"/>
      <c r="AT27" s="64">
        <f>AT10*AT11/1000000</f>
        <v>0</v>
      </c>
      <c r="AU27" s="64"/>
      <c r="AV27" s="64">
        <f>AV10*AV11/1000000</f>
        <v>0</v>
      </c>
      <c r="AW27" s="64"/>
      <c r="AX27" s="64">
        <f>AX10*AX11/1000000</f>
        <v>0</v>
      </c>
      <c r="AY27" s="64"/>
      <c r="AZ27" s="64">
        <f>AZ10*AZ11/1000000</f>
        <v>0</v>
      </c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R27" s="69">
        <f>F27+N27+V27+AT27+BB27+BJ27+AD27</f>
        <v>318.40000000000043</v>
      </c>
      <c r="BT27" s="69">
        <f>H27+P27+X27+AV27+BD27+BL27+AF27</f>
        <v>331.2999999999986</v>
      </c>
      <c r="BV27" s="69">
        <f>J27+R27+Z27+AX27+BF27+BN27+AH27</f>
        <v>340.6999999999995</v>
      </c>
      <c r="BX27" s="69">
        <f>L27+T27+AB27+AZ27+BH27+BP27+AJ27</f>
        <v>326</v>
      </c>
      <c r="BZ27" s="66">
        <f>AVERAGE(BR27,BT27,BV27,BX27)</f>
        <v>329.0999999999996</v>
      </c>
    </row>
    <row r="28" spans="2:78" ht="12.75">
      <c r="B28" s="29" t="s">
        <v>318</v>
      </c>
      <c r="C28" s="29"/>
      <c r="D28" s="29" t="s">
        <v>180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R28" s="45">
        <f>BR24/9000*60*(21-BR25)/21</f>
        <v>355.49619047619046</v>
      </c>
      <c r="BS28" s="68"/>
      <c r="BT28" s="45">
        <f>BT24/9000*60*(21-BT25)/21</f>
        <v>341.5806349206349</v>
      </c>
      <c r="BU28" s="68"/>
      <c r="BV28" s="45">
        <f>BV24/9000*60*(21-BV25)/21</f>
        <v>344.20266666666674</v>
      </c>
      <c r="BW28" s="68"/>
      <c r="BX28" s="45">
        <f>BX24/9000*60*(21-BX25)/21</f>
        <v>317.64038095238095</v>
      </c>
      <c r="BY28" s="68"/>
      <c r="BZ28" s="68">
        <f>AVERAGE(BR28,BT28,BV28,BX28)</f>
        <v>339.7299682539683</v>
      </c>
    </row>
    <row r="29" spans="5:68" ht="12.75"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</row>
    <row r="30" spans="2:68" ht="12.75">
      <c r="B30" s="77" t="s">
        <v>315</v>
      </c>
      <c r="C30" s="77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</row>
    <row r="31" spans="2:84" ht="12.75">
      <c r="B31" s="66" t="s">
        <v>22</v>
      </c>
      <c r="D31" s="66" t="s">
        <v>69</v>
      </c>
      <c r="E31" s="64"/>
      <c r="F31" s="69">
        <f>F12*454*1000000*14/(21-F$25)/F$24/0.0283/60</f>
        <v>30084.528342139052</v>
      </c>
      <c r="G31" s="64"/>
      <c r="H31" s="69">
        <f>H12*454*1000000*14/(21-H$25)/H$24/0.0283/60</f>
        <v>27831.229615196546</v>
      </c>
      <c r="I31" s="64"/>
      <c r="J31" s="69">
        <f aca="true" t="shared" si="0" ref="J31:J41">J12*454*1000000*14/(21-J$25)/J$24/0.0283/60</f>
        <v>27619.21973076176</v>
      </c>
      <c r="K31" s="64"/>
      <c r="L31" s="69">
        <f aca="true" t="shared" si="1" ref="L31:L41">L12*454*1000000*14/(21-L$25)/L$24/0.0283/60</f>
        <v>26187.73759909716</v>
      </c>
      <c r="M31" s="64"/>
      <c r="N31" s="69">
        <f aca="true" t="shared" si="2" ref="N31:N41">N12*454*1000000*14/(21-N$25)/N$24/0.0283/60</f>
        <v>137051.74022530013</v>
      </c>
      <c r="O31" s="64"/>
      <c r="P31" s="69">
        <f aca="true" t="shared" si="3" ref="P31:P41">P12*454*1000000*14/(21-P$25)/P$24/0.0283/60</f>
        <v>114803.82216268574</v>
      </c>
      <c r="Q31" s="64"/>
      <c r="R31" s="69">
        <f aca="true" t="shared" si="4" ref="R31:R41">R12*454*1000000*14/(21-R$25)/R$24/0.0283/60</f>
        <v>379764.2712979742</v>
      </c>
      <c r="S31" s="64"/>
      <c r="T31" s="69">
        <f aca="true" t="shared" si="5" ref="T31:T41">T12*454*1000000*14/(21-T$25)/T$24/0.0283/60</f>
        <v>134679.79336678542</v>
      </c>
      <c r="U31" s="64"/>
      <c r="V31" s="69">
        <f aca="true" t="shared" si="6" ref="V31:V41">V12*454*1000000*14/(21-V$25)/V$24/0.0283/60</f>
        <v>1641278.157332253</v>
      </c>
      <c r="W31" s="64"/>
      <c r="X31" s="69">
        <f aca="true" t="shared" si="7" ref="X31:X41">X12*454*1000000*14/(21-X$25)/X$24/0.0283/60</f>
        <v>1367209.1548465304</v>
      </c>
      <c r="Y31" s="64"/>
      <c r="Z31" s="69">
        <f aca="true" t="shared" si="8" ref="Z31:Z41">Z12*454*1000000*14/(21-Z$25)/Z$24/0.0283/60</f>
        <v>973577.4955093521</v>
      </c>
      <c r="AA31" s="64"/>
      <c r="AB31" s="69">
        <f aca="true" t="shared" si="9" ref="AB31:AB41">AB12*454*1000000*14/(21-AB$25)/AB$24/0.0283/60</f>
        <v>1380467.8820095505</v>
      </c>
      <c r="AC31" s="69"/>
      <c r="AD31" s="69">
        <f aca="true" t="shared" si="10" ref="AD31:AD41">AD12*454*1000000*14/(21-AD$25)/AD$24/0.0283/60</f>
        <v>0</v>
      </c>
      <c r="AE31" s="69"/>
      <c r="AF31" s="69">
        <f aca="true" t="shared" si="11" ref="AF31:AF41">AF12*454*1000000*14/(21-AF$25)/AF$24/0.0283/60</f>
        <v>0</v>
      </c>
      <c r="AG31" s="69"/>
      <c r="AH31" s="69">
        <f aca="true" t="shared" si="12" ref="AH31:AH41">AH12*454*1000000*14/(21-AH$25)/AH$24/0.0283/60</f>
        <v>0</v>
      </c>
      <c r="AI31" s="69"/>
      <c r="AJ31" s="69">
        <f aca="true" t="shared" si="13" ref="AJ31:AJ41">AJ12*454*1000000*14/(21-AJ$25)/AJ$24/0.0283/60</f>
        <v>0</v>
      </c>
      <c r="AK31" s="64"/>
      <c r="AL31" s="69">
        <f>N31+V31+AD31+BB31+BJ31</f>
        <v>1778329.8975575531</v>
      </c>
      <c r="AM31" s="64"/>
      <c r="AN31" s="69">
        <f>P31+X31+AF31+BD31+BL31</f>
        <v>1482012.977009216</v>
      </c>
      <c r="AO31" s="64"/>
      <c r="AP31" s="69">
        <f>R31+Z31+AH31+BF31+BN31</f>
        <v>1353341.7668073263</v>
      </c>
      <c r="AQ31" s="64"/>
      <c r="AR31" s="69">
        <f>T31+AB31+AJ31+BH31+BP31</f>
        <v>1515147.6753763359</v>
      </c>
      <c r="AS31" s="64">
        <v>100</v>
      </c>
      <c r="AT31" s="69">
        <f aca="true" t="shared" si="14" ref="AT31:AT41">AT12*454*1000000*14/(21-AT$25)/AT$24/0.0283/60</f>
        <v>394441.59381915646</v>
      </c>
      <c r="AU31" s="64">
        <v>100</v>
      </c>
      <c r="AV31" s="69">
        <f aca="true" t="shared" si="15" ref="AV31:AV41">AV12*454*1000000*14/(21-AV$25)/AV$24/0.0283/60</f>
        <v>410510.63682414906</v>
      </c>
      <c r="AW31" s="64">
        <v>100</v>
      </c>
      <c r="AX31" s="69">
        <f aca="true" t="shared" si="16" ref="AX31:AX41">AX12*454*1000000*14/(21-AX$25)/AX$24/0.0283/60</f>
        <v>403931.0885623908</v>
      </c>
      <c r="AY31" s="64">
        <v>100</v>
      </c>
      <c r="AZ31" s="69">
        <f aca="true" t="shared" si="17" ref="AZ31:AZ41">AZ12*454*1000000*14/(21-AZ$25)/AZ$24/0.0283/60</f>
        <v>437709.32844205265</v>
      </c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6">
        <f>SUM((AT31*AS31/100),(AL31*AK31/100),(F31*E31/100))/BR31*100</f>
        <v>17.905918057663122</v>
      </c>
      <c r="BR31" s="69">
        <f>F31+N31+V31+AT31+BB31+BJ31+AD31</f>
        <v>2202856.0197188486</v>
      </c>
      <c r="BS31" s="66">
        <f>SUM((AV31*AU31/100),(AN31*AM31/100),(H31*G31/100))/BT31*100</f>
        <v>21.3768115942029</v>
      </c>
      <c r="BT31" s="69">
        <f>H31+P31+X31+AV31+BD31+BL31+AF31</f>
        <v>1920354.8434485616</v>
      </c>
      <c r="BU31" s="66">
        <f>SUM((AX31*AW31/100),(AP31*AO31/100),(J31*I31/100))/BV31*100</f>
        <v>22.630560928433276</v>
      </c>
      <c r="BV31" s="69">
        <f>J31+R31+Z31+AX31+BF31+BN31+AH31</f>
        <v>1784892.0751004787</v>
      </c>
      <c r="BW31" s="66">
        <f>SUM((AZ31*AY31/100),(AR31*AQ31/100),(L31*K31/100))/BX31*100</f>
        <v>22.117202268431008</v>
      </c>
      <c r="BX31" s="69">
        <f>L31+T31+AB31+AZ31+BH31+BP31+AJ31</f>
        <v>1979044.7414174858</v>
      </c>
      <c r="BY31" s="66">
        <f>SUM((BX31*BW31/100),(BV31*BU31/100),(BT31*BS31/100),(BR31*BQ31/100))/BZ31/4*100</f>
        <v>20.876909048993912</v>
      </c>
      <c r="BZ31" s="69">
        <f>AVERAGE(BR31,BT31,BV31,BX31)</f>
        <v>1971786.9199213437</v>
      </c>
      <c r="CC31" s="69">
        <f>AVERAGE(N31,P31,R31,T31)+AVERAGE(V31,X31,Z31,AB31)</f>
        <v>1532208.0791876079</v>
      </c>
      <c r="CD31" s="69">
        <f>AVERAGE(AD31,AF31,AH31,AJ31)</f>
        <v>0</v>
      </c>
      <c r="CE31" s="69">
        <f>AVERAGE(F31,H31,J31,L31)+AVERAGE(AT31,AV31,AX31,AZ31)/2</f>
        <v>233754.75977776723</v>
      </c>
      <c r="CF31" s="69">
        <f>SUM(CC31,CD31,CE31)</f>
        <v>1765962.838965375</v>
      </c>
    </row>
    <row r="32" spans="2:78" ht="12.75">
      <c r="B32" s="66" t="s">
        <v>102</v>
      </c>
      <c r="D32" s="66" t="s">
        <v>69</v>
      </c>
      <c r="E32" s="64">
        <v>100</v>
      </c>
      <c r="F32" s="69">
        <f aca="true" t="shared" si="18" ref="F32:H41">F13*454*1000000*14/(21-F$25)/F$24/0.0283/60</f>
        <v>174.08913733984463</v>
      </c>
      <c r="G32" s="64">
        <v>100</v>
      </c>
      <c r="H32" s="69">
        <f t="shared" si="18"/>
        <v>172.83193591037056</v>
      </c>
      <c r="I32" s="64">
        <v>100</v>
      </c>
      <c r="J32" s="69">
        <f t="shared" si="0"/>
        <v>161.1581471289949</v>
      </c>
      <c r="K32" s="64">
        <v>100</v>
      </c>
      <c r="L32" s="69">
        <f t="shared" si="1"/>
        <v>149.04563799257585</v>
      </c>
      <c r="M32" s="64"/>
      <c r="N32" s="69">
        <f t="shared" si="2"/>
        <v>52587.75554205906</v>
      </c>
      <c r="O32" s="64"/>
      <c r="P32" s="69">
        <f t="shared" si="3"/>
        <v>36514.57325513787</v>
      </c>
      <c r="Q32" s="64"/>
      <c r="R32" s="69">
        <f t="shared" si="4"/>
        <v>649.3969039195359</v>
      </c>
      <c r="S32" s="64"/>
      <c r="T32" s="69">
        <f t="shared" si="5"/>
        <v>1951.3605616698685</v>
      </c>
      <c r="U32" s="64"/>
      <c r="V32" s="69">
        <f t="shared" si="6"/>
        <v>328.3893404813045</v>
      </c>
      <c r="W32" s="64"/>
      <c r="X32" s="69">
        <f t="shared" si="7"/>
        <v>341.7674996746136</v>
      </c>
      <c r="Y32" s="64"/>
      <c r="Z32" s="69">
        <f t="shared" si="8"/>
        <v>254.37301372031578</v>
      </c>
      <c r="AA32" s="64"/>
      <c r="AB32" s="69">
        <f t="shared" si="9"/>
        <v>276.0935764019101</v>
      </c>
      <c r="AC32" s="69"/>
      <c r="AD32" s="69">
        <f t="shared" si="10"/>
        <v>0</v>
      </c>
      <c r="AE32" s="69"/>
      <c r="AF32" s="69">
        <f t="shared" si="11"/>
        <v>0</v>
      </c>
      <c r="AG32" s="69"/>
      <c r="AH32" s="69">
        <f t="shared" si="12"/>
        <v>0</v>
      </c>
      <c r="AI32" s="69"/>
      <c r="AJ32" s="69">
        <f t="shared" si="13"/>
        <v>0</v>
      </c>
      <c r="AK32" s="64"/>
      <c r="AL32" s="69">
        <f aca="true" t="shared" si="19" ref="AL32:AL43">N32+V32+AD32+BB32+BJ32</f>
        <v>52916.144882540364</v>
      </c>
      <c r="AM32" s="64"/>
      <c r="AN32" s="69">
        <f aca="true" t="shared" si="20" ref="AN32:AN43">P32+X32+AF32+BD32+BL32</f>
        <v>36856.34075481248</v>
      </c>
      <c r="AO32" s="64"/>
      <c r="AP32" s="69">
        <f aca="true" t="shared" si="21" ref="AP32:AP43">R32+Z32+AH32+BF32+BN32</f>
        <v>903.7699176398517</v>
      </c>
      <c r="AQ32" s="64"/>
      <c r="AR32" s="69">
        <f aca="true" t="shared" si="22" ref="AR32:AR43">T32+AB32+AJ32+BH32+BP32</f>
        <v>2227.4541380717787</v>
      </c>
      <c r="AS32" s="64">
        <v>100</v>
      </c>
      <c r="AT32" s="69">
        <f t="shared" si="14"/>
        <v>2365.0450547366913</v>
      </c>
      <c r="AU32" s="64">
        <v>100</v>
      </c>
      <c r="AV32" s="69">
        <f t="shared" si="15"/>
        <v>2460.5590102795263</v>
      </c>
      <c r="AW32" s="64">
        <v>100</v>
      </c>
      <c r="AX32" s="69">
        <f t="shared" si="16"/>
        <v>2426.9008377420355</v>
      </c>
      <c r="AY32" s="64">
        <v>100</v>
      </c>
      <c r="AZ32" s="69">
        <f t="shared" si="17"/>
        <v>2635.6835561879902</v>
      </c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6">
        <f>SUM((AT32*AS32/100),(AL32*AK32/100),(F32*E32/100))/BR32*100</f>
        <v>4.578706003192315</v>
      </c>
      <c r="BR32" s="69">
        <f aca="true" t="shared" si="23" ref="BR32:BX41">F32+N32+V32+AT32+BB32+BJ32+AD32</f>
        <v>55455.279074616905</v>
      </c>
      <c r="BS32" s="66">
        <f>SUM((AV32*AU32/100),(AN32*AM32/100),(H32*G32/100))/BT32*100</f>
        <v>6.6685460568045665</v>
      </c>
      <c r="BT32" s="69">
        <f t="shared" si="23"/>
        <v>39489.731701002376</v>
      </c>
      <c r="BU32" s="66">
        <f>SUM((AX32*AW32/100),(AP32*AO32/100),(J32*I32/100))/BV32*100</f>
        <v>74.11757726760396</v>
      </c>
      <c r="BV32" s="69">
        <f t="shared" si="23"/>
        <v>3491.828902510882</v>
      </c>
      <c r="BW32" s="66">
        <f>SUM((AZ32*AY32/100),(AR32*AQ32/100),(L32*K32/100))/BX32*100</f>
        <v>55.559204633665736</v>
      </c>
      <c r="BX32" s="69">
        <f t="shared" si="23"/>
        <v>5012.183332252344</v>
      </c>
      <c r="BY32" s="66">
        <f aca="true" t="shared" si="24" ref="BY32:BY43">SUM((BX32*BW32/100),(BV32*BU32/100),(BT32*BS32/100),(BR32*BQ32/100))/BZ32/4*100</f>
        <v>10.19372924987379</v>
      </c>
      <c r="BZ32" s="69">
        <f aca="true" t="shared" si="25" ref="BZ32:BZ43">AVERAGE(BR32,BT32,BV32,BX32)</f>
        <v>25862.255752595625</v>
      </c>
    </row>
    <row r="33" spans="2:78" ht="12.75">
      <c r="B33" s="66" t="s">
        <v>98</v>
      </c>
      <c r="D33" s="66" t="s">
        <v>69</v>
      </c>
      <c r="E33" s="64"/>
      <c r="F33" s="69">
        <f t="shared" si="18"/>
        <v>2147.099360524751</v>
      </c>
      <c r="G33" s="64"/>
      <c r="H33" s="69">
        <f t="shared" si="18"/>
        <v>1382.6554872829645</v>
      </c>
      <c r="I33" s="64"/>
      <c r="J33" s="69">
        <f t="shared" si="0"/>
        <v>1342.9845594082908</v>
      </c>
      <c r="K33" s="64"/>
      <c r="L33" s="69">
        <f t="shared" si="1"/>
        <v>1689.1838972491928</v>
      </c>
      <c r="M33" s="64">
        <v>100</v>
      </c>
      <c r="N33" s="69">
        <f t="shared" si="2"/>
        <v>17.148181155019262</v>
      </c>
      <c r="O33" s="64"/>
      <c r="P33" s="69">
        <f t="shared" si="3"/>
        <v>42.21997532625315</v>
      </c>
      <c r="Q33" s="64"/>
      <c r="R33" s="69">
        <f t="shared" si="4"/>
        <v>50.1288838113326</v>
      </c>
      <c r="S33" s="64"/>
      <c r="T33" s="69">
        <f t="shared" si="5"/>
        <v>70.73682036053273</v>
      </c>
      <c r="U33" s="64"/>
      <c r="V33" s="69">
        <f t="shared" si="6"/>
        <v>9030.706863235875</v>
      </c>
      <c r="W33" s="64"/>
      <c r="X33" s="69">
        <f t="shared" si="7"/>
        <v>7689.768742678805</v>
      </c>
      <c r="Y33" s="64"/>
      <c r="Z33" s="69">
        <f t="shared" si="8"/>
        <v>8055.145434476669</v>
      </c>
      <c r="AA33" s="64"/>
      <c r="AB33" s="69">
        <f t="shared" si="9"/>
        <v>7362.495370717602</v>
      </c>
      <c r="AC33" s="69"/>
      <c r="AD33" s="69">
        <f t="shared" si="10"/>
        <v>32992.69941521249</v>
      </c>
      <c r="AE33" s="69"/>
      <c r="AF33" s="69">
        <f t="shared" si="11"/>
        <v>37572.159980515346</v>
      </c>
      <c r="AG33" s="69"/>
      <c r="AH33" s="69">
        <f t="shared" si="12"/>
        <v>37976.42712979743</v>
      </c>
      <c r="AI33" s="69"/>
      <c r="AJ33" s="69">
        <f t="shared" si="13"/>
        <v>41152.159084295534</v>
      </c>
      <c r="AK33" s="64"/>
      <c r="AL33" s="69">
        <f t="shared" si="19"/>
        <v>42040.55445960339</v>
      </c>
      <c r="AM33" s="64"/>
      <c r="AN33" s="69">
        <f t="shared" si="20"/>
        <v>45304.1486985204</v>
      </c>
      <c r="AO33" s="64"/>
      <c r="AP33" s="69">
        <f t="shared" si="21"/>
        <v>46081.70144808543</v>
      </c>
      <c r="AQ33" s="64"/>
      <c r="AR33" s="69">
        <f t="shared" si="22"/>
        <v>48585.391275373666</v>
      </c>
      <c r="AS33" s="64">
        <v>100</v>
      </c>
      <c r="AT33" s="69">
        <f t="shared" si="14"/>
        <v>1182.5225273683457</v>
      </c>
      <c r="AU33" s="64">
        <v>100</v>
      </c>
      <c r="AV33" s="69">
        <f t="shared" si="15"/>
        <v>1230.2795051397632</v>
      </c>
      <c r="AW33" s="64">
        <v>100</v>
      </c>
      <c r="AX33" s="69">
        <f t="shared" si="16"/>
        <v>1213.4504188710177</v>
      </c>
      <c r="AY33" s="64">
        <v>100</v>
      </c>
      <c r="AZ33" s="69">
        <f t="shared" si="17"/>
        <v>1317.8417780939951</v>
      </c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6">
        <f>SUM((AT33*AS33/100),(AL33*AK33/100),(F33*E33/100))/BR33*100</f>
        <v>2.606387328784533</v>
      </c>
      <c r="BR33" s="69">
        <f t="shared" si="23"/>
        <v>45370.17634749648</v>
      </c>
      <c r="BS33" s="66">
        <f>SUM((AV33*AU33/100),(AN33*AM33/100),(H33*G33/100))/BT33*100</f>
        <v>2.5675174914125667</v>
      </c>
      <c r="BT33" s="69">
        <f t="shared" si="23"/>
        <v>47917.08369094313</v>
      </c>
      <c r="BU33" s="66">
        <f>SUM((AX33*AW33/100),(AP33*AO33/100),(J33*I33/100))/BV33*100</f>
        <v>2.494853849320707</v>
      </c>
      <c r="BV33" s="69">
        <f t="shared" si="23"/>
        <v>48638.13642636474</v>
      </c>
      <c r="BW33" s="66">
        <f>SUM((AZ33*AY33/100),(AR33*AQ33/100),(L33*K33/100))/BX33*100</f>
        <v>2.5543323146749466</v>
      </c>
      <c r="BX33" s="69">
        <f t="shared" si="23"/>
        <v>51592.416950716855</v>
      </c>
      <c r="BY33" s="66">
        <f t="shared" si="24"/>
        <v>2.554852259960776</v>
      </c>
      <c r="BZ33" s="69">
        <f t="shared" si="25"/>
        <v>48379.45335388031</v>
      </c>
    </row>
    <row r="34" spans="2:78" ht="12.75">
      <c r="B34" s="66" t="s">
        <v>99</v>
      </c>
      <c r="D34" s="66" t="s">
        <v>69</v>
      </c>
      <c r="E34" s="64"/>
      <c r="F34" s="69">
        <f t="shared" si="18"/>
        <v>1044.5348240390679</v>
      </c>
      <c r="G34" s="64"/>
      <c r="H34" s="69">
        <f t="shared" si="18"/>
        <v>1036.9916154622235</v>
      </c>
      <c r="I34" s="64"/>
      <c r="J34" s="69">
        <f t="shared" si="0"/>
        <v>859.510118021306</v>
      </c>
      <c r="K34" s="64"/>
      <c r="L34" s="69">
        <f t="shared" si="1"/>
        <v>943.9557072863138</v>
      </c>
      <c r="M34" s="64"/>
      <c r="N34" s="69">
        <f t="shared" si="2"/>
        <v>38869.21061804367</v>
      </c>
      <c r="O34" s="64"/>
      <c r="P34" s="69">
        <f t="shared" si="3"/>
        <v>9128.643313784467</v>
      </c>
      <c r="Q34" s="64"/>
      <c r="R34" s="69">
        <f t="shared" si="4"/>
        <v>6266.110476416575</v>
      </c>
      <c r="S34" s="64"/>
      <c r="T34" s="69">
        <f t="shared" si="5"/>
        <v>6829.761965844538</v>
      </c>
      <c r="U34" s="64"/>
      <c r="V34" s="69">
        <f t="shared" si="6"/>
        <v>49258.40107219569</v>
      </c>
      <c r="W34" s="64"/>
      <c r="X34" s="69">
        <f t="shared" si="7"/>
        <v>51265.12495119205</v>
      </c>
      <c r="Y34" s="64"/>
      <c r="Z34" s="69">
        <f t="shared" si="8"/>
        <v>32220.581737906676</v>
      </c>
      <c r="AA34" s="64"/>
      <c r="AB34" s="69">
        <f t="shared" si="9"/>
        <v>27609.357640191007</v>
      </c>
      <c r="AC34" s="69"/>
      <c r="AD34" s="69">
        <f t="shared" si="10"/>
        <v>0</v>
      </c>
      <c r="AE34" s="69"/>
      <c r="AF34" s="69">
        <f t="shared" si="11"/>
        <v>0</v>
      </c>
      <c r="AG34" s="69"/>
      <c r="AH34" s="69">
        <f t="shared" si="12"/>
        <v>0</v>
      </c>
      <c r="AI34" s="69"/>
      <c r="AJ34" s="69">
        <f t="shared" si="13"/>
        <v>0</v>
      </c>
      <c r="AK34" s="64"/>
      <c r="AL34" s="69">
        <f t="shared" si="19"/>
        <v>88127.61169023936</v>
      </c>
      <c r="AM34" s="64"/>
      <c r="AN34" s="69">
        <f t="shared" si="20"/>
        <v>60393.76826497651</v>
      </c>
      <c r="AO34" s="64"/>
      <c r="AP34" s="69">
        <f t="shared" si="21"/>
        <v>38486.69221432325</v>
      </c>
      <c r="AQ34" s="64"/>
      <c r="AR34" s="69">
        <f t="shared" si="22"/>
        <v>34439.11960603554</v>
      </c>
      <c r="AS34" s="64"/>
      <c r="AT34" s="69">
        <f t="shared" si="14"/>
        <v>11431.051097894007</v>
      </c>
      <c r="AU34" s="64"/>
      <c r="AV34" s="69">
        <f t="shared" si="15"/>
        <v>9022.049704358265</v>
      </c>
      <c r="AW34" s="64"/>
      <c r="AX34" s="69">
        <f t="shared" si="16"/>
        <v>10516.570296882153</v>
      </c>
      <c r="AY34" s="64"/>
      <c r="AZ34" s="69">
        <f t="shared" si="17"/>
        <v>10982.01481744996</v>
      </c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R34" s="69">
        <f t="shared" si="23"/>
        <v>100603.19761217243</v>
      </c>
      <c r="BT34" s="69">
        <f t="shared" si="23"/>
        <v>70452.80958479701</v>
      </c>
      <c r="BV34" s="69">
        <f t="shared" si="23"/>
        <v>49862.7726292267</v>
      </c>
      <c r="BX34" s="69">
        <f t="shared" si="23"/>
        <v>46365.09013077182</v>
      </c>
      <c r="BZ34" s="69">
        <f t="shared" si="25"/>
        <v>66820.96748924199</v>
      </c>
    </row>
    <row r="35" spans="2:78" ht="12.75">
      <c r="B35" s="66" t="s">
        <v>100</v>
      </c>
      <c r="D35" s="66" t="s">
        <v>69</v>
      </c>
      <c r="E35" s="64"/>
      <c r="F35" s="69">
        <f t="shared" si="18"/>
        <v>11.60594248932298</v>
      </c>
      <c r="G35" s="64"/>
      <c r="H35" s="69">
        <f t="shared" si="18"/>
        <v>14.402661325864212</v>
      </c>
      <c r="I35" s="64"/>
      <c r="J35" s="69">
        <f t="shared" si="0"/>
        <v>8.057907356449745</v>
      </c>
      <c r="K35" s="64"/>
      <c r="L35" s="69">
        <f t="shared" si="1"/>
        <v>9.936375866171723</v>
      </c>
      <c r="M35" s="64">
        <v>100</v>
      </c>
      <c r="N35" s="69">
        <f t="shared" si="2"/>
        <v>0.5716060385006422</v>
      </c>
      <c r="O35" s="64"/>
      <c r="P35" s="69">
        <f t="shared" si="3"/>
        <v>5.020753822581456</v>
      </c>
      <c r="Q35" s="64"/>
      <c r="R35" s="69">
        <f t="shared" si="4"/>
        <v>0.9114342511151381</v>
      </c>
      <c r="S35" s="64">
        <v>100</v>
      </c>
      <c r="T35" s="69">
        <f t="shared" si="5"/>
        <v>0.6098001755218339</v>
      </c>
      <c r="U35" s="64"/>
      <c r="V35" s="69">
        <f t="shared" si="6"/>
        <v>410.48667560163074</v>
      </c>
      <c r="W35" s="64"/>
      <c r="X35" s="69">
        <f t="shared" si="7"/>
        <v>427.20937459326706</v>
      </c>
      <c r="Y35" s="64"/>
      <c r="Z35" s="69">
        <f t="shared" si="8"/>
        <v>415.4759224098492</v>
      </c>
      <c r="AA35" s="64"/>
      <c r="AB35" s="69">
        <f t="shared" si="9"/>
        <v>446.3512818497547</v>
      </c>
      <c r="AC35" s="69"/>
      <c r="AD35" s="69">
        <f t="shared" si="10"/>
        <v>0</v>
      </c>
      <c r="AE35" s="69"/>
      <c r="AF35" s="69">
        <f t="shared" si="11"/>
        <v>0</v>
      </c>
      <c r="AG35" s="69"/>
      <c r="AH35" s="69">
        <f t="shared" si="12"/>
        <v>0</v>
      </c>
      <c r="AI35" s="69"/>
      <c r="AJ35" s="69">
        <f t="shared" si="13"/>
        <v>0</v>
      </c>
      <c r="AK35" s="64">
        <f>SUM((V35*U35/100),(N35*M35/100))/AL35*100</f>
        <v>0.13905717608216572</v>
      </c>
      <c r="AL35" s="69">
        <f t="shared" si="19"/>
        <v>411.0582816401314</v>
      </c>
      <c r="AM35" s="64"/>
      <c r="AN35" s="69">
        <f t="shared" si="20"/>
        <v>432.2301284158485</v>
      </c>
      <c r="AO35" s="64"/>
      <c r="AP35" s="69">
        <f t="shared" si="21"/>
        <v>416.3873566609643</v>
      </c>
      <c r="AQ35" s="64">
        <f>SUM((AB35*AA35/100),(T35*S35/100))/AR35*100</f>
        <v>0.1364324993931683</v>
      </c>
      <c r="AR35" s="69">
        <f t="shared" si="22"/>
        <v>446.96108202527654</v>
      </c>
      <c r="AS35" s="64"/>
      <c r="AT35" s="69">
        <f t="shared" si="14"/>
        <v>78.83483515788971</v>
      </c>
      <c r="AU35" s="64"/>
      <c r="AV35" s="69">
        <f t="shared" si="15"/>
        <v>41.00931683799211</v>
      </c>
      <c r="AW35" s="64"/>
      <c r="AX35" s="69">
        <f t="shared" si="16"/>
        <v>80.8966945914012</v>
      </c>
      <c r="AY35" s="64"/>
      <c r="AZ35" s="69">
        <f t="shared" si="17"/>
        <v>87.85611853959969</v>
      </c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6">
        <f>SUM((AT35*AS35/100),(AL35*AK35/100),(F35*E35/100))/BR35*100</f>
        <v>0.11397948369293529</v>
      </c>
      <c r="BR35" s="69">
        <f t="shared" si="23"/>
        <v>501.49905928734404</v>
      </c>
      <c r="BT35" s="69">
        <f t="shared" si="23"/>
        <v>487.64210657970483</v>
      </c>
      <c r="BV35" s="69">
        <f t="shared" si="23"/>
        <v>505.3419586088153</v>
      </c>
      <c r="BX35" s="69">
        <f t="shared" si="23"/>
        <v>544.7535764310479</v>
      </c>
      <c r="BZ35" s="69">
        <f t="shared" si="25"/>
        <v>509.80917522672803</v>
      </c>
    </row>
    <row r="36" spans="2:78" ht="12.75">
      <c r="B36" s="66" t="s">
        <v>105</v>
      </c>
      <c r="D36" s="66" t="s">
        <v>69</v>
      </c>
      <c r="E36" s="64">
        <v>100</v>
      </c>
      <c r="F36" s="69">
        <f t="shared" si="18"/>
        <v>11.60594248932298</v>
      </c>
      <c r="G36" s="64">
        <v>100</v>
      </c>
      <c r="H36" s="69">
        <f t="shared" si="18"/>
        <v>11.522129060691368</v>
      </c>
      <c r="I36" s="64">
        <v>100</v>
      </c>
      <c r="J36" s="69">
        <f t="shared" si="0"/>
        <v>10.743876475266324</v>
      </c>
      <c r="K36" s="64">
        <v>100</v>
      </c>
      <c r="L36" s="69">
        <f t="shared" si="1"/>
        <v>9.936375866171723</v>
      </c>
      <c r="M36" s="64"/>
      <c r="N36" s="69">
        <f t="shared" si="2"/>
        <v>32.00993815603595</v>
      </c>
      <c r="O36" s="64"/>
      <c r="P36" s="69">
        <f t="shared" si="3"/>
        <v>159.7512579912282</v>
      </c>
      <c r="Q36" s="64"/>
      <c r="R36" s="69">
        <f t="shared" si="4"/>
        <v>34.17878441681767</v>
      </c>
      <c r="S36" s="64"/>
      <c r="T36" s="69">
        <f t="shared" si="5"/>
        <v>18.29400526565502</v>
      </c>
      <c r="U36" s="64"/>
      <c r="V36" s="69">
        <f t="shared" si="6"/>
        <v>2339.7740509292944</v>
      </c>
      <c r="W36" s="64"/>
      <c r="X36" s="69">
        <f t="shared" si="7"/>
        <v>2264.209685344315</v>
      </c>
      <c r="Y36" s="64"/>
      <c r="Z36" s="69">
        <f t="shared" si="8"/>
        <v>2289.3571234828423</v>
      </c>
      <c r="AA36" s="64"/>
      <c r="AB36" s="69">
        <f t="shared" si="9"/>
        <v>2438.8265915502056</v>
      </c>
      <c r="AC36" s="69"/>
      <c r="AD36" s="69">
        <f t="shared" si="10"/>
        <v>0</v>
      </c>
      <c r="AE36" s="69"/>
      <c r="AF36" s="69">
        <f t="shared" si="11"/>
        <v>0</v>
      </c>
      <c r="AG36" s="69"/>
      <c r="AH36" s="69">
        <f t="shared" si="12"/>
        <v>0</v>
      </c>
      <c r="AI36" s="69"/>
      <c r="AJ36" s="69">
        <f t="shared" si="13"/>
        <v>0</v>
      </c>
      <c r="AK36" s="64"/>
      <c r="AL36" s="69">
        <f t="shared" si="19"/>
        <v>2371.78398908533</v>
      </c>
      <c r="AM36" s="64"/>
      <c r="AN36" s="69">
        <f t="shared" si="20"/>
        <v>2423.960943335543</v>
      </c>
      <c r="AO36" s="64"/>
      <c r="AP36" s="69">
        <f t="shared" si="21"/>
        <v>2323.53590789966</v>
      </c>
      <c r="AQ36" s="64"/>
      <c r="AR36" s="69">
        <f t="shared" si="22"/>
        <v>2457.1205968158606</v>
      </c>
      <c r="AS36" s="64">
        <v>100</v>
      </c>
      <c r="AT36" s="69">
        <f t="shared" si="14"/>
        <v>157.66967031577943</v>
      </c>
      <c r="AU36" s="64">
        <v>100</v>
      </c>
      <c r="AV36" s="69">
        <f t="shared" si="15"/>
        <v>164.03726735196844</v>
      </c>
      <c r="AW36" s="64">
        <v>100</v>
      </c>
      <c r="AX36" s="69">
        <f t="shared" si="16"/>
        <v>161.7933891828024</v>
      </c>
      <c r="AY36" s="64">
        <v>100</v>
      </c>
      <c r="AZ36" s="69">
        <f t="shared" si="17"/>
        <v>175.71223707919938</v>
      </c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6">
        <f>SUM((AT36*AS36/100),(AL36*AK36/100),(F36*E36/100))/BR36*100</f>
        <v>6.661615204899918</v>
      </c>
      <c r="BR36" s="69">
        <f t="shared" si="23"/>
        <v>2541.059601890433</v>
      </c>
      <c r="BS36" s="66">
        <f>SUM((AV36*AU36/100),(AN36*AM36/100),(H36*G36/100))/BT36*100</f>
        <v>6.753530400522467</v>
      </c>
      <c r="BT36" s="69">
        <f t="shared" si="23"/>
        <v>2599.520339748203</v>
      </c>
      <c r="BU36" s="66">
        <f>SUM((AX36*AW36/100),(AP36*AO36/100),(J36*I36/100))/BV36*100</f>
        <v>6.912348062783197</v>
      </c>
      <c r="BV36" s="69">
        <f t="shared" si="23"/>
        <v>2496.0731735577288</v>
      </c>
      <c r="BW36" s="66">
        <f>SUM((AZ36*AY36/100),(AR36*AQ36/100),(L36*K36/100))/BX36*100</f>
        <v>7.024775839663428</v>
      </c>
      <c r="BX36" s="69">
        <f t="shared" si="23"/>
        <v>2642.7692097612317</v>
      </c>
      <c r="BY36" s="66">
        <f t="shared" si="24"/>
        <v>6.839108907066936</v>
      </c>
      <c r="BZ36" s="69">
        <f t="shared" si="25"/>
        <v>2569.855581239399</v>
      </c>
    </row>
    <row r="37" spans="2:78" ht="12.75">
      <c r="B37" s="66" t="s">
        <v>107</v>
      </c>
      <c r="D37" s="66" t="s">
        <v>69</v>
      </c>
      <c r="E37" s="64"/>
      <c r="F37" s="69">
        <f t="shared" si="18"/>
        <v>66.73416931360711</v>
      </c>
      <c r="G37" s="64"/>
      <c r="H37" s="69">
        <f t="shared" si="18"/>
        <v>132.50448419795077</v>
      </c>
      <c r="I37" s="64"/>
      <c r="J37" s="69">
        <f t="shared" si="0"/>
        <v>56.4053514951482</v>
      </c>
      <c r="K37" s="64"/>
      <c r="L37" s="69">
        <f t="shared" si="1"/>
        <v>42.22959743122983</v>
      </c>
      <c r="M37" s="64"/>
      <c r="N37" s="69">
        <f t="shared" si="2"/>
        <v>7202.236085108089</v>
      </c>
      <c r="O37" s="64"/>
      <c r="P37" s="69">
        <f t="shared" si="3"/>
        <v>2624.4849527130345</v>
      </c>
      <c r="Q37" s="64"/>
      <c r="R37" s="69">
        <f t="shared" si="4"/>
        <v>4443.241974186299</v>
      </c>
      <c r="S37" s="64"/>
      <c r="T37" s="69">
        <f t="shared" si="5"/>
        <v>7073.682036053275</v>
      </c>
      <c r="U37" s="64"/>
      <c r="V37" s="69">
        <f t="shared" si="6"/>
        <v>14367.03364605707</v>
      </c>
      <c r="W37" s="64"/>
      <c r="X37" s="69">
        <f t="shared" si="7"/>
        <v>25632.562475596023</v>
      </c>
      <c r="Y37" s="64"/>
      <c r="Z37" s="69">
        <f t="shared" si="8"/>
        <v>32220.581737906676</v>
      </c>
      <c r="AA37" s="64"/>
      <c r="AB37" s="69">
        <f t="shared" si="9"/>
        <v>31290.60532554982</v>
      </c>
      <c r="AC37" s="69"/>
      <c r="AD37" s="69">
        <f t="shared" si="10"/>
        <v>68191.59757551517</v>
      </c>
      <c r="AE37" s="69"/>
      <c r="AF37" s="69">
        <f t="shared" si="11"/>
        <v>76187.99107160054</v>
      </c>
      <c r="AG37" s="69"/>
      <c r="AH37" s="69">
        <f t="shared" si="12"/>
        <v>75952.85425959485</v>
      </c>
      <c r="AI37" s="69"/>
      <c r="AJ37" s="69">
        <f t="shared" si="13"/>
        <v>82678.42870572106</v>
      </c>
      <c r="AK37" s="64"/>
      <c r="AL37" s="69">
        <f t="shared" si="19"/>
        <v>89760.86730668033</v>
      </c>
      <c r="AM37" s="64"/>
      <c r="AN37" s="69">
        <f t="shared" si="20"/>
        <v>104445.0384999096</v>
      </c>
      <c r="AO37" s="64"/>
      <c r="AP37" s="69">
        <f t="shared" si="21"/>
        <v>112616.67797168784</v>
      </c>
      <c r="AQ37" s="64"/>
      <c r="AR37" s="69">
        <f t="shared" si="22"/>
        <v>121042.71606732416</v>
      </c>
      <c r="AS37" s="64"/>
      <c r="AT37" s="69">
        <f t="shared" si="14"/>
        <v>1182.5225273683457</v>
      </c>
      <c r="AU37" s="64"/>
      <c r="AV37" s="69">
        <f t="shared" si="15"/>
        <v>1681.3819903576766</v>
      </c>
      <c r="AW37" s="64"/>
      <c r="AX37" s="69">
        <f t="shared" si="16"/>
        <v>1779.7272810108266</v>
      </c>
      <c r="AY37" s="64"/>
      <c r="AZ37" s="69">
        <f t="shared" si="17"/>
        <v>1844.9784893315932</v>
      </c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R37" s="69">
        <f t="shared" si="23"/>
        <v>91010.12400336229</v>
      </c>
      <c r="BT37" s="69">
        <f t="shared" si="23"/>
        <v>106258.92497446522</v>
      </c>
      <c r="BV37" s="69">
        <f t="shared" si="23"/>
        <v>114452.8106041938</v>
      </c>
      <c r="BX37" s="69">
        <f t="shared" si="23"/>
        <v>122929.92415408697</v>
      </c>
      <c r="BZ37" s="69">
        <f t="shared" si="25"/>
        <v>108662.94593402707</v>
      </c>
    </row>
    <row r="38" spans="2:78" ht="12.75">
      <c r="B38" s="66" t="s">
        <v>103</v>
      </c>
      <c r="D38" s="66" t="s">
        <v>69</v>
      </c>
      <c r="E38" s="64"/>
      <c r="F38" s="69">
        <f t="shared" si="18"/>
        <v>174.08913733984463</v>
      </c>
      <c r="G38" s="64"/>
      <c r="H38" s="69">
        <f t="shared" si="18"/>
        <v>115.2212906069137</v>
      </c>
      <c r="I38" s="64"/>
      <c r="J38" s="69">
        <f t="shared" si="0"/>
        <v>107.43876475266325</v>
      </c>
      <c r="K38" s="64"/>
      <c r="L38" s="69">
        <f t="shared" si="1"/>
        <v>149.04563799257585</v>
      </c>
      <c r="M38" s="64"/>
      <c r="N38" s="69">
        <f t="shared" si="2"/>
        <v>29723.514002033386</v>
      </c>
      <c r="O38" s="64"/>
      <c r="P38" s="69">
        <f t="shared" si="3"/>
        <v>9356.859396629077</v>
      </c>
      <c r="Q38" s="64"/>
      <c r="R38" s="69">
        <f t="shared" si="4"/>
        <v>82029.08260036242</v>
      </c>
      <c r="S38" s="64"/>
      <c r="T38" s="69">
        <f t="shared" si="5"/>
        <v>4146.641193548471</v>
      </c>
      <c r="U38" s="64"/>
      <c r="V38" s="69">
        <f t="shared" si="6"/>
        <v>86202.20187634244</v>
      </c>
      <c r="W38" s="64"/>
      <c r="X38" s="69">
        <f t="shared" si="7"/>
        <v>89713.96866458608</v>
      </c>
      <c r="Y38" s="64"/>
      <c r="Z38" s="69">
        <f t="shared" si="8"/>
        <v>63593.253430078956</v>
      </c>
      <c r="AA38" s="64"/>
      <c r="AB38" s="69">
        <f t="shared" si="9"/>
        <v>115038.99016746253</v>
      </c>
      <c r="AC38" s="69"/>
      <c r="AD38" s="69">
        <f t="shared" si="10"/>
        <v>0</v>
      </c>
      <c r="AE38" s="69"/>
      <c r="AF38" s="69">
        <f t="shared" si="11"/>
        <v>0</v>
      </c>
      <c r="AG38" s="69"/>
      <c r="AH38" s="69">
        <f t="shared" si="12"/>
        <v>0</v>
      </c>
      <c r="AI38" s="69"/>
      <c r="AJ38" s="69">
        <f t="shared" si="13"/>
        <v>0</v>
      </c>
      <c r="AK38" s="64"/>
      <c r="AL38" s="69">
        <f t="shared" si="19"/>
        <v>115925.71587837584</v>
      </c>
      <c r="AM38" s="64"/>
      <c r="AN38" s="69">
        <f t="shared" si="20"/>
        <v>99070.82806121516</v>
      </c>
      <c r="AO38" s="64"/>
      <c r="AP38" s="69">
        <f t="shared" si="21"/>
        <v>145622.3360304414</v>
      </c>
      <c r="AQ38" s="64"/>
      <c r="AR38" s="69">
        <f t="shared" si="22"/>
        <v>119185.631361011</v>
      </c>
      <c r="AS38" s="64">
        <v>100</v>
      </c>
      <c r="AT38" s="69">
        <f t="shared" si="14"/>
        <v>1182.5225273683457</v>
      </c>
      <c r="AU38" s="64">
        <v>100</v>
      </c>
      <c r="AV38" s="69">
        <f t="shared" si="15"/>
        <v>1230.2795051397632</v>
      </c>
      <c r="AW38" s="64">
        <v>100</v>
      </c>
      <c r="AX38" s="69">
        <f t="shared" si="16"/>
        <v>1213.4504188710177</v>
      </c>
      <c r="AY38" s="64">
        <v>100</v>
      </c>
      <c r="AZ38" s="69">
        <f t="shared" si="17"/>
        <v>1317.8417780939951</v>
      </c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6">
        <f aca="true" t="shared" si="26" ref="BQ38:BQ43">SUM((AT38*AS38/100),(AL38*AK38/100),(F38*E38/100))/BR38*100</f>
        <v>1.0082700029413574</v>
      </c>
      <c r="BR38" s="69">
        <f t="shared" si="23"/>
        <v>117282.32754308401</v>
      </c>
      <c r="BS38" s="66">
        <f aca="true" t="shared" si="27" ref="BS38:BS43">SUM((AV38*AU38/100),(AN38*AM38/100),(H38*G38/100))/BT38*100</f>
        <v>1.2251787325268944</v>
      </c>
      <c r="BT38" s="69">
        <f t="shared" si="23"/>
        <v>100416.32885696185</v>
      </c>
      <c r="BU38" s="66">
        <f aca="true" t="shared" si="28" ref="BU38:BU43">SUM((AX38*AW38/100),(AP38*AO38/100),(J38*I38/100))/BV38*100</f>
        <v>0.8257954166333823</v>
      </c>
      <c r="BV38" s="69">
        <f t="shared" si="23"/>
        <v>146943.22521406505</v>
      </c>
      <c r="BW38" s="66">
        <f aca="true" t="shared" si="29" ref="BW38:BW43">SUM((AZ38*AY38/100),(AR38*AQ38/100),(L38*K38/100))/BX38*100</f>
        <v>1.0922621354707682</v>
      </c>
      <c r="BX38" s="69">
        <f t="shared" si="23"/>
        <v>120652.51877709756</v>
      </c>
      <c r="BY38" s="66">
        <f t="shared" si="24"/>
        <v>1.0187824597785506</v>
      </c>
      <c r="BZ38" s="69">
        <f t="shared" si="25"/>
        <v>121323.60009780212</v>
      </c>
    </row>
    <row r="39" spans="2:84" ht="12.75">
      <c r="B39" s="66" t="s">
        <v>111</v>
      </c>
      <c r="D39" s="66" t="s">
        <v>69</v>
      </c>
      <c r="E39" s="64"/>
      <c r="F39" s="69">
        <f t="shared" si="18"/>
        <v>5.512822682428413</v>
      </c>
      <c r="G39" s="64"/>
      <c r="H39" s="69">
        <f t="shared" si="18"/>
        <v>4.608851624276548</v>
      </c>
      <c r="I39" s="64"/>
      <c r="J39" s="69">
        <f t="shared" si="0"/>
        <v>4.834744413869846</v>
      </c>
      <c r="K39" s="64"/>
      <c r="L39" s="69">
        <f t="shared" si="1"/>
        <v>4.719778536431568</v>
      </c>
      <c r="M39" s="64"/>
      <c r="N39" s="69">
        <f t="shared" si="2"/>
        <v>5.71606038500642</v>
      </c>
      <c r="O39" s="64"/>
      <c r="P39" s="69">
        <f t="shared" si="3"/>
        <v>70.74698568182961</v>
      </c>
      <c r="Q39" s="64"/>
      <c r="R39" s="69">
        <f t="shared" si="4"/>
        <v>5.696464069469613</v>
      </c>
      <c r="S39" s="64"/>
      <c r="T39" s="69">
        <f t="shared" si="5"/>
        <v>6.0980017552183385</v>
      </c>
      <c r="U39" s="64"/>
      <c r="V39" s="69">
        <f t="shared" si="6"/>
        <v>61.57300134024459</v>
      </c>
      <c r="W39" s="64"/>
      <c r="X39" s="69">
        <f t="shared" si="7"/>
        <v>68.35349993492271</v>
      </c>
      <c r="Y39" s="64"/>
      <c r="Z39" s="69">
        <f t="shared" si="8"/>
        <v>8.47910045734386</v>
      </c>
      <c r="AA39" s="64">
        <v>100</v>
      </c>
      <c r="AB39" s="69">
        <f t="shared" si="9"/>
        <v>9.203119213397002</v>
      </c>
      <c r="AC39" s="69"/>
      <c r="AD39" s="69">
        <f t="shared" si="10"/>
        <v>0</v>
      </c>
      <c r="AE39" s="69"/>
      <c r="AF39" s="69">
        <f t="shared" si="11"/>
        <v>0</v>
      </c>
      <c r="AG39" s="69"/>
      <c r="AH39" s="69">
        <f t="shared" si="12"/>
        <v>0</v>
      </c>
      <c r="AI39" s="69"/>
      <c r="AJ39" s="69">
        <f t="shared" si="13"/>
        <v>0</v>
      </c>
      <c r="AK39" s="64"/>
      <c r="AL39" s="69">
        <f t="shared" si="19"/>
        <v>67.289061725251</v>
      </c>
      <c r="AM39" s="64"/>
      <c r="AN39" s="69">
        <f t="shared" si="20"/>
        <v>139.10048561675234</v>
      </c>
      <c r="AO39" s="64"/>
      <c r="AP39" s="69">
        <f t="shared" si="21"/>
        <v>14.175564526813472</v>
      </c>
      <c r="AQ39" s="64">
        <f>SUM((AB39*AA39/100),(T39*S39/100))/AR39*100</f>
        <v>60.14669926650367</v>
      </c>
      <c r="AR39" s="69">
        <f t="shared" si="22"/>
        <v>15.30112096861534</v>
      </c>
      <c r="AS39" s="64">
        <v>100</v>
      </c>
      <c r="AT39" s="69">
        <f t="shared" si="14"/>
        <v>7.8834835157889716</v>
      </c>
      <c r="AU39" s="64">
        <v>100</v>
      </c>
      <c r="AV39" s="69">
        <f t="shared" si="15"/>
        <v>8.20186336759842</v>
      </c>
      <c r="AW39" s="64">
        <v>100</v>
      </c>
      <c r="AX39" s="69">
        <f t="shared" si="16"/>
        <v>8.08966945914012</v>
      </c>
      <c r="AY39" s="64">
        <v>100</v>
      </c>
      <c r="AZ39" s="69">
        <f t="shared" si="17"/>
        <v>8.785611853959969</v>
      </c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6">
        <f t="shared" si="26"/>
        <v>9.770648283176456</v>
      </c>
      <c r="BR39" s="69">
        <f t="shared" si="23"/>
        <v>80.68536792346839</v>
      </c>
      <c r="BS39" s="66">
        <f t="shared" si="27"/>
        <v>5.399116941172158</v>
      </c>
      <c r="BT39" s="69">
        <f t="shared" si="23"/>
        <v>151.91120060862733</v>
      </c>
      <c r="BU39" s="66">
        <f t="shared" si="28"/>
        <v>29.851202609050148</v>
      </c>
      <c r="BV39" s="69">
        <f t="shared" si="23"/>
        <v>27.099978399823435</v>
      </c>
      <c r="BW39" s="66">
        <f t="shared" si="29"/>
        <v>62.446753246753254</v>
      </c>
      <c r="BX39" s="69">
        <f t="shared" si="23"/>
        <v>28.806511359006876</v>
      </c>
      <c r="BY39" s="66">
        <f t="shared" si="24"/>
        <v>14.61466220138527</v>
      </c>
      <c r="BZ39" s="69">
        <f t="shared" si="25"/>
        <v>72.12576457273151</v>
      </c>
      <c r="CC39" s="69">
        <f>AVERAGE(N39,P39,R39,T39)+AVERAGE(V39,X39,Z39,AB39)</f>
        <v>58.96655820935804</v>
      </c>
      <c r="CD39" s="69">
        <f>AVERAGE(AD39,AF39,AH39,AJ39)</f>
        <v>0</v>
      </c>
      <c r="CE39" s="69">
        <f>AVERAGE(F39,H39,J39,L39)+AVERAGE(AT39,AV39,AX39,AZ39)/2</f>
        <v>9.03912783881253</v>
      </c>
      <c r="CF39" s="69">
        <f>SUM(CC39,CD39,CE39)</f>
        <v>68.00568604817057</v>
      </c>
    </row>
    <row r="40" spans="2:78" ht="12.75">
      <c r="B40" s="66" t="s">
        <v>106</v>
      </c>
      <c r="D40" s="66" t="s">
        <v>69</v>
      </c>
      <c r="E40" s="64">
        <v>100</v>
      </c>
      <c r="F40" s="69">
        <f t="shared" si="18"/>
        <v>17.408913733984466</v>
      </c>
      <c r="G40" s="64">
        <v>100</v>
      </c>
      <c r="H40" s="69">
        <f t="shared" si="18"/>
        <v>17.283193591037055</v>
      </c>
      <c r="I40" s="64">
        <v>100</v>
      </c>
      <c r="J40" s="69">
        <f t="shared" si="0"/>
        <v>16.11581471289949</v>
      </c>
      <c r="K40" s="64">
        <v>100</v>
      </c>
      <c r="L40" s="69">
        <f t="shared" si="1"/>
        <v>14.904563799257582</v>
      </c>
      <c r="M40" s="64">
        <v>100</v>
      </c>
      <c r="N40" s="69">
        <f t="shared" si="2"/>
        <v>34.296362310038525</v>
      </c>
      <c r="O40" s="64">
        <v>100</v>
      </c>
      <c r="P40" s="69">
        <f t="shared" si="3"/>
        <v>34.23241242669176</v>
      </c>
      <c r="Q40" s="64">
        <v>100</v>
      </c>
      <c r="R40" s="69">
        <f t="shared" si="4"/>
        <v>34.17878441681767</v>
      </c>
      <c r="S40" s="64">
        <v>100</v>
      </c>
      <c r="T40" s="69">
        <f t="shared" si="5"/>
        <v>36.58801053131004</v>
      </c>
      <c r="U40" s="64"/>
      <c r="V40" s="69">
        <f t="shared" si="6"/>
        <v>41.04866756016306</v>
      </c>
      <c r="W40" s="64">
        <v>100</v>
      </c>
      <c r="X40" s="69">
        <f t="shared" si="7"/>
        <v>25.63256247559602</v>
      </c>
      <c r="Y40" s="64">
        <v>100</v>
      </c>
      <c r="Z40" s="69">
        <f t="shared" si="8"/>
        <v>25.437301372031584</v>
      </c>
      <c r="AA40" s="64"/>
      <c r="AB40" s="69">
        <f t="shared" si="9"/>
        <v>32.21091724688951</v>
      </c>
      <c r="AC40" s="69"/>
      <c r="AD40" s="69">
        <f t="shared" si="10"/>
        <v>0</v>
      </c>
      <c r="AE40" s="69"/>
      <c r="AF40" s="69">
        <f t="shared" si="11"/>
        <v>0</v>
      </c>
      <c r="AG40" s="69"/>
      <c r="AH40" s="69">
        <f t="shared" si="12"/>
        <v>0</v>
      </c>
      <c r="AI40" s="69"/>
      <c r="AJ40" s="69">
        <f t="shared" si="13"/>
        <v>0</v>
      </c>
      <c r="AK40" s="64">
        <f>SUM((V40*U40/100),(N40*M40/100))/AL40*100</f>
        <v>45.519077196095836</v>
      </c>
      <c r="AL40" s="69">
        <f t="shared" si="19"/>
        <v>75.34502987020159</v>
      </c>
      <c r="AM40" s="64">
        <f>SUM((X40*W40/100),(P40*O40/100))/AN40*100</f>
        <v>100</v>
      </c>
      <c r="AN40" s="69">
        <f t="shared" si="20"/>
        <v>59.864974902287784</v>
      </c>
      <c r="AO40" s="64">
        <f>SUM((Z40*Y40/100),(R40*Q40/100))/AP40*100</f>
        <v>100</v>
      </c>
      <c r="AP40" s="69">
        <f t="shared" si="21"/>
        <v>59.616085788849254</v>
      </c>
      <c r="AQ40" s="64">
        <f>SUM((AB40*AA40/100),(T40*S40/100))/AR40*100</f>
        <v>53.181076672104396</v>
      </c>
      <c r="AR40" s="69">
        <f t="shared" si="22"/>
        <v>68.79892777819956</v>
      </c>
      <c r="AS40" s="64">
        <v>100</v>
      </c>
      <c r="AT40" s="69">
        <f t="shared" si="14"/>
        <v>236.50450547366913</v>
      </c>
      <c r="AU40" s="64">
        <v>100</v>
      </c>
      <c r="AV40" s="69">
        <f t="shared" si="15"/>
        <v>246.0559010279527</v>
      </c>
      <c r="AW40" s="64">
        <v>100</v>
      </c>
      <c r="AX40" s="69">
        <f t="shared" si="16"/>
        <v>242.6900837742036</v>
      </c>
      <c r="AY40" s="64">
        <v>100</v>
      </c>
      <c r="AZ40" s="69">
        <f t="shared" si="17"/>
        <v>263.56835561879905</v>
      </c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6">
        <f t="shared" si="26"/>
        <v>87.53299492385787</v>
      </c>
      <c r="BR40" s="69">
        <f t="shared" si="23"/>
        <v>329.2584490778552</v>
      </c>
      <c r="BS40" s="66">
        <f t="shared" si="27"/>
        <v>100</v>
      </c>
      <c r="BT40" s="69">
        <f t="shared" si="23"/>
        <v>323.2040695212775</v>
      </c>
      <c r="BU40" s="66">
        <f t="shared" si="28"/>
        <v>99.99999999999997</v>
      </c>
      <c r="BV40" s="69">
        <f t="shared" si="23"/>
        <v>318.42198427595235</v>
      </c>
      <c r="BW40" s="66">
        <f t="shared" si="29"/>
        <v>90.72458147501776</v>
      </c>
      <c r="BX40" s="69">
        <f t="shared" si="23"/>
        <v>347.2718471962562</v>
      </c>
      <c r="BY40" s="66">
        <f t="shared" si="24"/>
        <v>94.44226894608612</v>
      </c>
      <c r="BZ40" s="69">
        <f t="shared" si="25"/>
        <v>329.5390875178353</v>
      </c>
    </row>
    <row r="41" spans="2:78" ht="12.75">
      <c r="B41" s="66" t="s">
        <v>101</v>
      </c>
      <c r="D41" s="66" t="s">
        <v>69</v>
      </c>
      <c r="E41" s="64">
        <v>100</v>
      </c>
      <c r="F41" s="69">
        <f t="shared" si="18"/>
        <v>435.2228433496117</v>
      </c>
      <c r="G41" s="64">
        <v>100</v>
      </c>
      <c r="H41" s="69">
        <f t="shared" si="18"/>
        <v>432.0798397759264</v>
      </c>
      <c r="I41" s="64">
        <v>100</v>
      </c>
      <c r="J41" s="69">
        <f t="shared" si="0"/>
        <v>402.8953678224872</v>
      </c>
      <c r="K41" s="64">
        <v>100</v>
      </c>
      <c r="L41" s="69">
        <f t="shared" si="1"/>
        <v>372.6140949814396</v>
      </c>
      <c r="M41" s="64"/>
      <c r="N41" s="69">
        <f t="shared" si="2"/>
        <v>102.88908693011557</v>
      </c>
      <c r="O41" s="64"/>
      <c r="P41" s="69">
        <f t="shared" si="3"/>
        <v>228.21608284461172</v>
      </c>
      <c r="Q41" s="64">
        <v>100</v>
      </c>
      <c r="R41" s="69">
        <f t="shared" si="4"/>
        <v>22.78585627787845</v>
      </c>
      <c r="S41" s="64"/>
      <c r="T41" s="69">
        <f t="shared" si="5"/>
        <v>146.35204212524016</v>
      </c>
      <c r="U41" s="64">
        <v>100</v>
      </c>
      <c r="V41" s="69">
        <f t="shared" si="6"/>
        <v>164.19467024065224</v>
      </c>
      <c r="W41" s="64">
        <v>100</v>
      </c>
      <c r="X41" s="69">
        <f t="shared" si="7"/>
        <v>170.8837498373068</v>
      </c>
      <c r="Y41" s="64">
        <v>100</v>
      </c>
      <c r="Z41" s="69">
        <f t="shared" si="8"/>
        <v>169.58200914687723</v>
      </c>
      <c r="AA41" s="64">
        <v>100</v>
      </c>
      <c r="AB41" s="69">
        <f t="shared" si="9"/>
        <v>184.06238426794005</v>
      </c>
      <c r="AC41" s="69"/>
      <c r="AD41" s="69">
        <f t="shared" si="10"/>
        <v>0</v>
      </c>
      <c r="AE41" s="69"/>
      <c r="AF41" s="69">
        <f t="shared" si="11"/>
        <v>0</v>
      </c>
      <c r="AG41" s="69"/>
      <c r="AH41" s="69">
        <f t="shared" si="12"/>
        <v>0</v>
      </c>
      <c r="AI41" s="69"/>
      <c r="AJ41" s="69">
        <f t="shared" si="13"/>
        <v>0</v>
      </c>
      <c r="AK41" s="64">
        <f>SUM((V41*U41/100),(N41*M41/100))/AL41*100</f>
        <v>61.47684605757197</v>
      </c>
      <c r="AL41" s="69">
        <f t="shared" si="19"/>
        <v>267.0837571707678</v>
      </c>
      <c r="AM41" s="64">
        <f>SUM((X41*W41/100),(P41*O41/100))/AN41*100</f>
        <v>42.817294281729424</v>
      </c>
      <c r="AN41" s="69">
        <f t="shared" si="20"/>
        <v>399.09983268191854</v>
      </c>
      <c r="AO41" s="64">
        <f>SUM((Z41*Y41/100),(R41*Q41/100))/AP41*100</f>
        <v>100.00000000000003</v>
      </c>
      <c r="AP41" s="69">
        <f t="shared" si="21"/>
        <v>192.36786542475568</v>
      </c>
      <c r="AQ41" s="64">
        <f>SUM((AB41*AA41/100),(T41*S41/100))/AR41*100</f>
        <v>55.70652173913043</v>
      </c>
      <c r="AR41" s="69">
        <f t="shared" si="22"/>
        <v>330.4144263931802</v>
      </c>
      <c r="AS41" s="64">
        <v>100</v>
      </c>
      <c r="AT41" s="69">
        <f t="shared" si="14"/>
        <v>1576.6967031577944</v>
      </c>
      <c r="AU41" s="64">
        <v>100</v>
      </c>
      <c r="AV41" s="69">
        <f t="shared" si="15"/>
        <v>1640.3726735196844</v>
      </c>
      <c r="AW41" s="64">
        <v>100</v>
      </c>
      <c r="AX41" s="69">
        <f t="shared" si="16"/>
        <v>1617.933891828024</v>
      </c>
      <c r="AY41" s="64">
        <v>100</v>
      </c>
      <c r="AZ41" s="69">
        <f t="shared" si="17"/>
        <v>1757.1223707919933</v>
      </c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6">
        <f t="shared" si="26"/>
        <v>95.48534717944204</v>
      </c>
      <c r="BR41" s="69">
        <f t="shared" si="23"/>
        <v>2279.0033036781742</v>
      </c>
      <c r="BS41" s="66">
        <f t="shared" si="27"/>
        <v>90.7662856821125</v>
      </c>
      <c r="BT41" s="69">
        <f t="shared" si="23"/>
        <v>2471.5523459775295</v>
      </c>
      <c r="BU41" s="66">
        <f t="shared" si="28"/>
        <v>100</v>
      </c>
      <c r="BV41" s="69">
        <f t="shared" si="23"/>
        <v>2213.1971250752667</v>
      </c>
      <c r="BW41" s="66">
        <f t="shared" si="29"/>
        <v>94.05109489051094</v>
      </c>
      <c r="BX41" s="69">
        <f t="shared" si="23"/>
        <v>2460.150892166613</v>
      </c>
      <c r="BY41" s="66">
        <f t="shared" si="24"/>
        <v>94.93355164933313</v>
      </c>
      <c r="BZ41" s="69">
        <f t="shared" si="25"/>
        <v>2355.975916724396</v>
      </c>
    </row>
    <row r="42" spans="2:84" ht="12.75">
      <c r="B42" s="66" t="s">
        <v>76</v>
      </c>
      <c r="D42" s="66" t="s">
        <v>69</v>
      </c>
      <c r="E42" s="64">
        <f>F36/F42*100</f>
        <v>6.250000000000002</v>
      </c>
      <c r="F42" s="69">
        <f>F36+F38</f>
        <v>185.6950798291676</v>
      </c>
      <c r="G42" s="64">
        <f>H36/H42*100</f>
        <v>9.09090909090909</v>
      </c>
      <c r="H42" s="69">
        <f>H36+H38</f>
        <v>126.74341966760507</v>
      </c>
      <c r="I42" s="64">
        <f>J36/J42*100</f>
        <v>9.090909090909092</v>
      </c>
      <c r="J42" s="69">
        <f>J36+J38</f>
        <v>118.18264122792957</v>
      </c>
      <c r="K42" s="64">
        <f>L36/L42*100</f>
        <v>6.25</v>
      </c>
      <c r="L42" s="69">
        <f>L36+L38</f>
        <v>158.98201385874756</v>
      </c>
      <c r="M42" s="64"/>
      <c r="N42" s="69">
        <f>N36+N38</f>
        <v>29755.52394018942</v>
      </c>
      <c r="O42" s="64"/>
      <c r="P42" s="69">
        <f>P36+P38</f>
        <v>9516.610654620306</v>
      </c>
      <c r="Q42" s="64"/>
      <c r="R42" s="69">
        <f>R36+R38</f>
        <v>82063.26138477924</v>
      </c>
      <c r="S42" s="64"/>
      <c r="T42" s="69">
        <f>T36+T38</f>
        <v>4164.935198814126</v>
      </c>
      <c r="U42" s="64"/>
      <c r="V42" s="69">
        <f>V36+V38</f>
        <v>88541.97592727173</v>
      </c>
      <c r="W42" s="64"/>
      <c r="X42" s="69">
        <f>X36+X38</f>
        <v>91978.1783499304</v>
      </c>
      <c r="Y42" s="64"/>
      <c r="Z42" s="69">
        <f>Z36+Z38</f>
        <v>65882.6105535618</v>
      </c>
      <c r="AA42" s="64"/>
      <c r="AB42" s="69">
        <f>AB36+AB38</f>
        <v>117477.81675901274</v>
      </c>
      <c r="AC42" s="69"/>
      <c r="AD42" s="69">
        <f>AD36+AD38</f>
        <v>0</v>
      </c>
      <c r="AE42" s="69"/>
      <c r="AF42" s="69">
        <f>AF36+AF38</f>
        <v>0</v>
      </c>
      <c r="AG42" s="69"/>
      <c r="AH42" s="69">
        <f>AH36+AH38</f>
        <v>0</v>
      </c>
      <c r="AI42" s="69"/>
      <c r="AJ42" s="69">
        <f>AJ36+AJ38</f>
        <v>0</v>
      </c>
      <c r="AK42" s="64">
        <f>SUM((V42*U42/100),(N42*M42/100))/AL42*100</f>
        <v>0</v>
      </c>
      <c r="AL42" s="69">
        <f t="shared" si="19"/>
        <v>118297.49986746116</v>
      </c>
      <c r="AM42" s="64"/>
      <c r="AN42" s="69">
        <f t="shared" si="20"/>
        <v>101494.78900455071</v>
      </c>
      <c r="AO42" s="64"/>
      <c r="AP42" s="69">
        <f t="shared" si="21"/>
        <v>147945.87193834104</v>
      </c>
      <c r="AQ42" s="64"/>
      <c r="AR42" s="69">
        <f t="shared" si="22"/>
        <v>121642.75195782687</v>
      </c>
      <c r="AS42" s="64">
        <v>100</v>
      </c>
      <c r="AT42" s="69">
        <f>AT36+AT38</f>
        <v>1340.1921976841252</v>
      </c>
      <c r="AU42" s="64">
        <v>100</v>
      </c>
      <c r="AV42" s="69">
        <f>AV36+AV38</f>
        <v>1394.3167724917316</v>
      </c>
      <c r="AW42" s="64">
        <v>100</v>
      </c>
      <c r="AX42" s="69">
        <f>AX36+AX38</f>
        <v>1375.2438080538202</v>
      </c>
      <c r="AY42" s="64">
        <v>100</v>
      </c>
      <c r="AZ42" s="69">
        <f>AZ36+AZ38</f>
        <v>1493.5540151731946</v>
      </c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6">
        <f t="shared" si="26"/>
        <v>1.128158844765343</v>
      </c>
      <c r="BR42" s="69">
        <f>F42+N42+V42+AT42+BB42+BJ42+AD42</f>
        <v>119823.38714497445</v>
      </c>
      <c r="BS42" s="66">
        <f t="shared" si="27"/>
        <v>1.3646821460142082</v>
      </c>
      <c r="BT42" s="69">
        <f>H42+P42+X42+AV42+BD42+BL42+AF42</f>
        <v>103015.84919671004</v>
      </c>
      <c r="BU42" s="66">
        <f t="shared" si="28"/>
        <v>0.9274586400519933</v>
      </c>
      <c r="BV42" s="69">
        <f>J42+R42+Z42+AX42+BF42+BN42+AH42</f>
        <v>149439.29838762278</v>
      </c>
      <c r="BW42" s="66">
        <f t="shared" si="29"/>
        <v>1.2194224252913972</v>
      </c>
      <c r="BX42" s="69">
        <f>L42+T42+AB42+AZ42+BH42+BP42+AJ42</f>
        <v>123295.2879868588</v>
      </c>
      <c r="BY42" s="66">
        <f t="shared" si="24"/>
        <v>1.1395103733170024</v>
      </c>
      <c r="BZ42" s="69">
        <f t="shared" si="25"/>
        <v>123893.45567904152</v>
      </c>
      <c r="CC42" s="69">
        <f>AVERAGE(N42,P42,R42,T42)+AVERAGE(V42,X42,Z42,AB42)</f>
        <v>122345.22819204495</v>
      </c>
      <c r="CD42" s="69">
        <f>AVERAGE(AD42,AF42,AH42,AJ42)</f>
        <v>0</v>
      </c>
      <c r="CE42" s="69">
        <f>AVERAGE(F42,H42,J42,L42)+AVERAGE(AT42,AV42,AX42,AZ42)</f>
        <v>1548.2274869965804</v>
      </c>
      <c r="CF42" s="69">
        <f>SUM(CC42,CD42,CE42)</f>
        <v>123893.45567904152</v>
      </c>
    </row>
    <row r="43" spans="2:84" ht="12.75">
      <c r="B43" s="66" t="s">
        <v>77</v>
      </c>
      <c r="D43" s="66" t="s">
        <v>69</v>
      </c>
      <c r="E43" s="64"/>
      <c r="F43" s="69">
        <f>F33+F35+F37</f>
        <v>2225.439472327681</v>
      </c>
      <c r="G43" s="64"/>
      <c r="H43" s="69">
        <f>H33+H35+H37</f>
        <v>1529.5626328067797</v>
      </c>
      <c r="I43" s="64"/>
      <c r="J43" s="69">
        <f>J33+J35+J37</f>
        <v>1407.4478182598887</v>
      </c>
      <c r="K43" s="64"/>
      <c r="L43" s="69">
        <f>L33+L35+L37</f>
        <v>1741.3498705465945</v>
      </c>
      <c r="M43" s="64"/>
      <c r="N43" s="69">
        <f>N33+N35+N37</f>
        <v>7219.955872301609</v>
      </c>
      <c r="O43" s="64"/>
      <c r="P43" s="69">
        <f>P33+P35+P37</f>
        <v>2671.7256818618694</v>
      </c>
      <c r="Q43" s="64"/>
      <c r="R43" s="69">
        <f>R33+R35+R37</f>
        <v>4494.282292248747</v>
      </c>
      <c r="S43" s="64"/>
      <c r="T43" s="69">
        <f>T33+T35+T37</f>
        <v>7145.028656589329</v>
      </c>
      <c r="U43" s="64"/>
      <c r="V43" s="69">
        <f>V33+V35+V37</f>
        <v>23808.227184894575</v>
      </c>
      <c r="W43" s="64"/>
      <c r="X43" s="69">
        <f>X33+X35+X37</f>
        <v>33749.5405928681</v>
      </c>
      <c r="Y43" s="64"/>
      <c r="Z43" s="69">
        <f>Z33+Z35+Z37</f>
        <v>40691.20309479319</v>
      </c>
      <c r="AA43" s="64"/>
      <c r="AB43" s="69">
        <f>AB33+AB35+AB37</f>
        <v>39099.45197811718</v>
      </c>
      <c r="AC43" s="69"/>
      <c r="AD43" s="69">
        <f>AD33+AD35+AD37</f>
        <v>101184.29699072766</v>
      </c>
      <c r="AE43" s="69"/>
      <c r="AF43" s="69">
        <f>AF33+AF35+AF37</f>
        <v>113760.15105211589</v>
      </c>
      <c r="AG43" s="69"/>
      <c r="AH43" s="69">
        <f>AH33+AH35+AH37</f>
        <v>113929.28138939227</v>
      </c>
      <c r="AI43" s="69"/>
      <c r="AJ43" s="69">
        <f>AJ33+AJ35+AJ37</f>
        <v>123830.5877900166</v>
      </c>
      <c r="AK43" s="64">
        <f>SUM((V43*U43/100),(N43*M43/100))/AL43*100</f>
        <v>0</v>
      </c>
      <c r="AL43" s="69">
        <f t="shared" si="19"/>
        <v>132212.48004792383</v>
      </c>
      <c r="AM43" s="64"/>
      <c r="AN43" s="69">
        <f t="shared" si="20"/>
        <v>150181.41732684587</v>
      </c>
      <c r="AO43" s="64"/>
      <c r="AP43" s="69">
        <f t="shared" si="21"/>
        <v>159114.7667764342</v>
      </c>
      <c r="AQ43" s="64"/>
      <c r="AR43" s="69">
        <f t="shared" si="22"/>
        <v>170075.0684247231</v>
      </c>
      <c r="AS43" s="64">
        <f>AT33/AT43*100</f>
        <v>48.38709677419355</v>
      </c>
      <c r="AT43" s="69">
        <f>AT33+AT35+AT37</f>
        <v>2443.879889894581</v>
      </c>
      <c r="AU43" s="64">
        <f>AV33/AV43*100</f>
        <v>41.666666666666664</v>
      </c>
      <c r="AV43" s="69">
        <f>AV33+AV35+AV37</f>
        <v>2952.670812335432</v>
      </c>
      <c r="AW43" s="64">
        <f>AX33/AX43*100</f>
        <v>39.47368421052631</v>
      </c>
      <c r="AX43" s="69">
        <f>AX33+AX35+AX37</f>
        <v>3074.074394473246</v>
      </c>
      <c r="AY43" s="64">
        <f>AZ33/AZ43*100</f>
        <v>40.54054054054054</v>
      </c>
      <c r="AZ43" s="69">
        <f>AZ33+AZ35+AZ37</f>
        <v>3250.6763859651883</v>
      </c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6">
        <f t="shared" si="26"/>
        <v>0.8639004838218787</v>
      </c>
      <c r="BR43" s="69">
        <f>F43+N43+V43+AT43+BB43+BJ43+AD43</f>
        <v>136881.7994101461</v>
      </c>
      <c r="BS43" s="66">
        <f t="shared" si="27"/>
        <v>0.7954548460475015</v>
      </c>
      <c r="BT43" s="69">
        <f>H43+P43+X43+AV43+BD43+BL43+AF43</f>
        <v>154663.6507719881</v>
      </c>
      <c r="BU43" s="66">
        <f t="shared" si="28"/>
        <v>0.7417346850400545</v>
      </c>
      <c r="BV43" s="69">
        <f>J43+R43+Z43+AX43+BF43+BN43+AH43</f>
        <v>163596.28898916734</v>
      </c>
      <c r="BW43" s="66">
        <f t="shared" si="29"/>
        <v>0.7527638363414574</v>
      </c>
      <c r="BX43" s="69">
        <f>L43+T43+AB43+AZ43+BH43+BP43+AJ43</f>
        <v>175067.09468123488</v>
      </c>
      <c r="BY43" s="66">
        <f t="shared" si="24"/>
        <v>0.7845168083806959</v>
      </c>
      <c r="BZ43" s="69">
        <f t="shared" si="25"/>
        <v>157552.2084631341</v>
      </c>
      <c r="CC43" s="69">
        <f>AVERAGE(N43,P43,R43,T43)+AVERAGE(V43,X43,Z43,AB43)</f>
        <v>39719.85383841865</v>
      </c>
      <c r="CD43" s="69">
        <f>AVERAGE(AD43,AF43,AH43,AJ43)</f>
        <v>113176.07930556311</v>
      </c>
      <c r="CE43" s="69">
        <f>AVERAGE(F43,H43,J43,L43)+AVERAGE(AT43,AV43,AX43,AZ43)</f>
        <v>4656.275319152348</v>
      </c>
      <c r="CF43" s="69">
        <f>SUM(CC43,CD43,CE43)</f>
        <v>157552.2084631341</v>
      </c>
    </row>
    <row r="44" spans="5:68" ht="12.75"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</row>
    <row r="45" spans="2:78" ht="12.75">
      <c r="B45" s="28" t="s">
        <v>186</v>
      </c>
      <c r="C45" s="28"/>
      <c r="E45" s="64"/>
      <c r="F45" s="73" t="s">
        <v>147</v>
      </c>
      <c r="G45" s="73"/>
      <c r="H45" s="73" t="s">
        <v>148</v>
      </c>
      <c r="I45" s="73"/>
      <c r="J45" s="73" t="s">
        <v>149</v>
      </c>
      <c r="K45" s="73"/>
      <c r="L45" s="73" t="s">
        <v>150</v>
      </c>
      <c r="M45" s="73"/>
      <c r="N45" s="73" t="s">
        <v>147</v>
      </c>
      <c r="O45" s="73"/>
      <c r="P45" s="73" t="s">
        <v>148</v>
      </c>
      <c r="Q45" s="73"/>
      <c r="R45" s="73" t="s">
        <v>149</v>
      </c>
      <c r="S45" s="73"/>
      <c r="T45" s="73" t="s">
        <v>150</v>
      </c>
      <c r="U45" s="73"/>
      <c r="V45" s="73" t="s">
        <v>147</v>
      </c>
      <c r="W45" s="73"/>
      <c r="X45" s="73" t="s">
        <v>148</v>
      </c>
      <c r="Y45" s="73"/>
      <c r="Z45" s="73" t="s">
        <v>149</v>
      </c>
      <c r="AA45" s="73"/>
      <c r="AB45" s="73" t="s">
        <v>150</v>
      </c>
      <c r="AC45" s="73"/>
      <c r="AD45" s="73" t="s">
        <v>147</v>
      </c>
      <c r="AE45" s="73"/>
      <c r="AF45" s="73" t="s">
        <v>148</v>
      </c>
      <c r="AG45" s="73"/>
      <c r="AH45" s="73" t="s">
        <v>149</v>
      </c>
      <c r="AI45" s="73"/>
      <c r="AJ45" s="73" t="s">
        <v>150</v>
      </c>
      <c r="AK45" s="73"/>
      <c r="AL45" s="73" t="s">
        <v>147</v>
      </c>
      <c r="AM45" s="73"/>
      <c r="AN45" s="73" t="s">
        <v>148</v>
      </c>
      <c r="AO45" s="73"/>
      <c r="AP45" s="73" t="s">
        <v>149</v>
      </c>
      <c r="AQ45" s="73"/>
      <c r="AR45" s="73" t="s">
        <v>150</v>
      </c>
      <c r="AS45" s="73"/>
      <c r="AT45" s="73" t="s">
        <v>147</v>
      </c>
      <c r="AU45" s="73"/>
      <c r="AV45" s="73" t="s">
        <v>148</v>
      </c>
      <c r="AW45" s="73"/>
      <c r="AX45" s="73" t="s">
        <v>149</v>
      </c>
      <c r="AY45" s="73"/>
      <c r="AZ45" s="73" t="s">
        <v>150</v>
      </c>
      <c r="BA45" s="73"/>
      <c r="BB45" s="73" t="s">
        <v>147</v>
      </c>
      <c r="BC45" s="73"/>
      <c r="BD45" s="73" t="s">
        <v>148</v>
      </c>
      <c r="BE45" s="73"/>
      <c r="BF45" s="73" t="s">
        <v>149</v>
      </c>
      <c r="BG45" s="73"/>
      <c r="BH45" s="73" t="s">
        <v>150</v>
      </c>
      <c r="BI45" s="73"/>
      <c r="BJ45" s="73" t="s">
        <v>147</v>
      </c>
      <c r="BK45" s="73"/>
      <c r="BL45" s="73" t="s">
        <v>148</v>
      </c>
      <c r="BM45" s="73"/>
      <c r="BN45" s="73" t="s">
        <v>149</v>
      </c>
      <c r="BO45" s="73"/>
      <c r="BP45" s="73" t="s">
        <v>150</v>
      </c>
      <c r="BQ45" s="73"/>
      <c r="BR45" s="73" t="s">
        <v>147</v>
      </c>
      <c r="BS45" s="73"/>
      <c r="BT45" s="73" t="s">
        <v>148</v>
      </c>
      <c r="BU45" s="73"/>
      <c r="BV45" s="73" t="s">
        <v>149</v>
      </c>
      <c r="BW45" s="73"/>
      <c r="BX45" s="73" t="s">
        <v>150</v>
      </c>
      <c r="BY45" s="73"/>
      <c r="BZ45" s="73" t="s">
        <v>70</v>
      </c>
    </row>
    <row r="46" spans="5:68" ht="12.75"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</row>
    <row r="47" spans="2:78" ht="12.75">
      <c r="B47" s="66" t="s">
        <v>298</v>
      </c>
      <c r="E47" s="64"/>
      <c r="F47" s="66" t="s">
        <v>300</v>
      </c>
      <c r="H47" s="66" t="s">
        <v>300</v>
      </c>
      <c r="J47" s="66" t="s">
        <v>300</v>
      </c>
      <c r="L47" s="66" t="s">
        <v>300</v>
      </c>
      <c r="N47" s="66" t="s">
        <v>302</v>
      </c>
      <c r="P47" s="66" t="s">
        <v>302</v>
      </c>
      <c r="R47" s="66" t="s">
        <v>302</v>
      </c>
      <c r="T47" s="66" t="s">
        <v>302</v>
      </c>
      <c r="U47" s="64"/>
      <c r="V47" s="64" t="s">
        <v>303</v>
      </c>
      <c r="W47" s="64"/>
      <c r="X47" s="64" t="s">
        <v>303</v>
      </c>
      <c r="Y47" s="64"/>
      <c r="Z47" s="64" t="s">
        <v>303</v>
      </c>
      <c r="AA47" s="64"/>
      <c r="AB47" s="64" t="s">
        <v>303</v>
      </c>
      <c r="AC47" s="64"/>
      <c r="AD47" s="64" t="s">
        <v>305</v>
      </c>
      <c r="AE47" s="64"/>
      <c r="AF47" s="64" t="s">
        <v>305</v>
      </c>
      <c r="AG47" s="64"/>
      <c r="AH47" s="64" t="s">
        <v>305</v>
      </c>
      <c r="AI47" s="64"/>
      <c r="AJ47" s="64" t="s">
        <v>305</v>
      </c>
      <c r="AK47" s="64"/>
      <c r="AL47" s="64"/>
      <c r="AM47" s="64"/>
      <c r="AN47" s="64"/>
      <c r="AO47" s="64"/>
      <c r="AP47" s="64"/>
      <c r="AQ47" s="64"/>
      <c r="AR47" s="64"/>
      <c r="AS47" s="64"/>
      <c r="AT47" s="64" t="s">
        <v>307</v>
      </c>
      <c r="AU47" s="64"/>
      <c r="AV47" s="64" t="s">
        <v>307</v>
      </c>
      <c r="AW47" s="64"/>
      <c r="AX47" s="64" t="s">
        <v>307</v>
      </c>
      <c r="AY47" s="64"/>
      <c r="AZ47" s="64" t="s">
        <v>307</v>
      </c>
      <c r="BA47" s="64"/>
      <c r="BB47" s="64" t="s">
        <v>308</v>
      </c>
      <c r="BC47" s="64"/>
      <c r="BD47" s="64" t="s">
        <v>308</v>
      </c>
      <c r="BE47" s="64"/>
      <c r="BF47" s="64" t="s">
        <v>308</v>
      </c>
      <c r="BG47" s="64"/>
      <c r="BH47" s="64" t="s">
        <v>308</v>
      </c>
      <c r="BI47" s="64"/>
      <c r="BJ47" s="64" t="s">
        <v>311</v>
      </c>
      <c r="BK47" s="64"/>
      <c r="BL47" s="64" t="s">
        <v>311</v>
      </c>
      <c r="BM47" s="64"/>
      <c r="BN47" s="64" t="s">
        <v>311</v>
      </c>
      <c r="BO47" s="64"/>
      <c r="BP47" s="64" t="s">
        <v>311</v>
      </c>
      <c r="BR47" s="66" t="s">
        <v>313</v>
      </c>
      <c r="BT47" s="66" t="s">
        <v>313</v>
      </c>
      <c r="BV47" s="66" t="s">
        <v>313</v>
      </c>
      <c r="BX47" s="66" t="s">
        <v>313</v>
      </c>
      <c r="BZ47" s="66" t="s">
        <v>313</v>
      </c>
    </row>
    <row r="48" spans="2:78" ht="12.75">
      <c r="B48" s="66" t="s">
        <v>299</v>
      </c>
      <c r="E48" s="64"/>
      <c r="F48" s="66" t="s">
        <v>142</v>
      </c>
      <c r="H48" s="66" t="s">
        <v>142</v>
      </c>
      <c r="J48" s="66" t="s">
        <v>142</v>
      </c>
      <c r="L48" s="66" t="s">
        <v>142</v>
      </c>
      <c r="N48" s="66" t="s">
        <v>67</v>
      </c>
      <c r="P48" s="66" t="s">
        <v>67</v>
      </c>
      <c r="R48" s="66" t="s">
        <v>67</v>
      </c>
      <c r="T48" s="66" t="s">
        <v>67</v>
      </c>
      <c r="U48" s="64"/>
      <c r="V48" s="64" t="s">
        <v>309</v>
      </c>
      <c r="W48" s="64"/>
      <c r="X48" s="64" t="s">
        <v>309</v>
      </c>
      <c r="Y48" s="64"/>
      <c r="Z48" s="64" t="s">
        <v>309</v>
      </c>
      <c r="AA48" s="64"/>
      <c r="AB48" s="64" t="s">
        <v>309</v>
      </c>
      <c r="AC48" s="64"/>
      <c r="AD48" s="64" t="s">
        <v>309</v>
      </c>
      <c r="AE48" s="64"/>
      <c r="AF48" s="64" t="s">
        <v>309</v>
      </c>
      <c r="AG48" s="64"/>
      <c r="AH48" s="64" t="s">
        <v>309</v>
      </c>
      <c r="AI48" s="64"/>
      <c r="AJ48" s="64" t="s">
        <v>309</v>
      </c>
      <c r="AK48" s="64"/>
      <c r="AL48" s="64"/>
      <c r="AM48" s="64"/>
      <c r="AN48" s="64"/>
      <c r="AO48" s="64"/>
      <c r="AP48" s="64"/>
      <c r="AQ48" s="64"/>
      <c r="AR48" s="64"/>
      <c r="AS48" s="64"/>
      <c r="AT48" s="64" t="s">
        <v>301</v>
      </c>
      <c r="AU48" s="64"/>
      <c r="AV48" s="64" t="s">
        <v>301</v>
      </c>
      <c r="AW48" s="64"/>
      <c r="AX48" s="64" t="s">
        <v>301</v>
      </c>
      <c r="AY48" s="64"/>
      <c r="AZ48" s="64" t="s">
        <v>301</v>
      </c>
      <c r="BA48" s="64"/>
      <c r="BB48" s="64" t="s">
        <v>67</v>
      </c>
      <c r="BC48" s="64"/>
      <c r="BD48" s="64" t="s">
        <v>67</v>
      </c>
      <c r="BE48" s="64"/>
      <c r="BF48" s="64" t="s">
        <v>67</v>
      </c>
      <c r="BG48" s="64"/>
      <c r="BH48" s="64" t="s">
        <v>67</v>
      </c>
      <c r="BI48" s="64"/>
      <c r="BJ48" s="64" t="s">
        <v>312</v>
      </c>
      <c r="BK48" s="64"/>
      <c r="BL48" s="64" t="s">
        <v>312</v>
      </c>
      <c r="BM48" s="64"/>
      <c r="BN48" s="64" t="s">
        <v>312</v>
      </c>
      <c r="BO48" s="64"/>
      <c r="BP48" s="64" t="s">
        <v>312</v>
      </c>
      <c r="BR48" s="66" t="s">
        <v>31</v>
      </c>
      <c r="BT48" s="66" t="s">
        <v>31</v>
      </c>
      <c r="BV48" s="66" t="s">
        <v>31</v>
      </c>
      <c r="BX48" s="66" t="s">
        <v>31</v>
      </c>
      <c r="BZ48" s="66" t="s">
        <v>31</v>
      </c>
    </row>
    <row r="49" spans="2:78" ht="12.75">
      <c r="B49" s="66" t="s">
        <v>314</v>
      </c>
      <c r="E49" s="64"/>
      <c r="F49" s="66" t="s">
        <v>142</v>
      </c>
      <c r="H49" s="66" t="s">
        <v>142</v>
      </c>
      <c r="J49" s="66" t="s">
        <v>142</v>
      </c>
      <c r="L49" s="66" t="s">
        <v>142</v>
      </c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 t="s">
        <v>67</v>
      </c>
      <c r="AM49" s="64"/>
      <c r="AN49" s="64" t="s">
        <v>67</v>
      </c>
      <c r="AO49" s="64"/>
      <c r="AP49" s="64" t="s">
        <v>67</v>
      </c>
      <c r="AQ49" s="64"/>
      <c r="AR49" s="64" t="s">
        <v>67</v>
      </c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R49" s="66" t="s">
        <v>31</v>
      </c>
      <c r="BT49" s="66" t="s">
        <v>31</v>
      </c>
      <c r="BV49" s="66" t="s">
        <v>31</v>
      </c>
      <c r="BX49" s="66" t="s">
        <v>31</v>
      </c>
      <c r="BZ49" s="66" t="s">
        <v>31</v>
      </c>
    </row>
    <row r="50" spans="2:84" ht="12.75">
      <c r="B50" s="66" t="s">
        <v>108</v>
      </c>
      <c r="F50" s="66" t="s">
        <v>142</v>
      </c>
      <c r="N50" s="66" t="s">
        <v>198</v>
      </c>
      <c r="V50" s="66" t="s">
        <v>199</v>
      </c>
      <c r="AD50" s="66" t="s">
        <v>67</v>
      </c>
      <c r="AT50" s="66" t="s">
        <v>200</v>
      </c>
      <c r="BB50" s="66" t="s">
        <v>201</v>
      </c>
      <c r="BJ50" s="66" t="s">
        <v>202</v>
      </c>
      <c r="BR50" s="66" t="s">
        <v>31</v>
      </c>
      <c r="CC50" s="66" t="s">
        <v>78</v>
      </c>
      <c r="CD50" s="66" t="s">
        <v>67</v>
      </c>
      <c r="CE50" s="66" t="s">
        <v>81</v>
      </c>
      <c r="CF50" s="66" t="s">
        <v>31</v>
      </c>
    </row>
    <row r="51" spans="1:68" ht="12.75">
      <c r="A51" s="66" t="s">
        <v>186</v>
      </c>
      <c r="B51" s="66" t="s">
        <v>203</v>
      </c>
      <c r="D51" s="66" t="s">
        <v>204</v>
      </c>
      <c r="E51" s="64"/>
      <c r="F51" s="64">
        <v>7960</v>
      </c>
      <c r="G51" s="64"/>
      <c r="H51" s="64">
        <v>7900</v>
      </c>
      <c r="I51" s="64"/>
      <c r="J51" s="64">
        <v>7240</v>
      </c>
      <c r="K51" s="64"/>
      <c r="L51" s="64">
        <v>6980</v>
      </c>
      <c r="M51" s="64"/>
      <c r="N51" s="64">
        <v>2840</v>
      </c>
      <c r="O51" s="64"/>
      <c r="P51" s="64">
        <v>3300</v>
      </c>
      <c r="Q51" s="64"/>
      <c r="R51" s="64">
        <v>3320</v>
      </c>
      <c r="S51" s="64"/>
      <c r="T51" s="64">
        <v>3320</v>
      </c>
      <c r="U51" s="64"/>
      <c r="V51" s="64">
        <v>12280</v>
      </c>
      <c r="W51" s="64"/>
      <c r="X51" s="64">
        <v>12240</v>
      </c>
      <c r="Y51" s="64"/>
      <c r="Z51" s="64">
        <v>11940</v>
      </c>
      <c r="AA51" s="64"/>
      <c r="AB51" s="64">
        <v>12220</v>
      </c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>
        <v>118140</v>
      </c>
      <c r="AV51">
        <v>118100</v>
      </c>
      <c r="AX51">
        <v>117560</v>
      </c>
      <c r="AY51" s="64"/>
      <c r="AZ51">
        <v>118020</v>
      </c>
      <c r="BA51" s="64"/>
      <c r="BB51" s="64">
        <v>148</v>
      </c>
      <c r="BC51" s="64"/>
      <c r="BD51" s="64">
        <v>173</v>
      </c>
      <c r="BE51" s="64"/>
      <c r="BF51" s="64">
        <v>201</v>
      </c>
      <c r="BG51" s="64"/>
      <c r="BH51" s="64">
        <v>281</v>
      </c>
      <c r="BI51" s="64"/>
      <c r="BJ51" s="64"/>
      <c r="BK51" s="64"/>
      <c r="BL51" s="64"/>
      <c r="BM51" s="64"/>
      <c r="BN51" s="64"/>
      <c r="BO51" s="64"/>
      <c r="BP51" s="64"/>
    </row>
    <row r="52" spans="1:68" ht="12.75">
      <c r="A52" s="66" t="s">
        <v>186</v>
      </c>
      <c r="B52" s="66" t="s">
        <v>205</v>
      </c>
      <c r="D52" s="66" t="s">
        <v>206</v>
      </c>
      <c r="E52" s="64"/>
      <c r="F52" s="64">
        <v>6846.7336683417</v>
      </c>
      <c r="G52" s="64"/>
      <c r="H52" s="64">
        <v>10865.191146881287</v>
      </c>
      <c r="I52" s="64"/>
      <c r="J52" s="64">
        <v>11530.373831775702</v>
      </c>
      <c r="K52" s="64"/>
      <c r="L52" s="64">
        <v>12050.632911392406</v>
      </c>
      <c r="M52" s="64"/>
      <c r="N52" s="64">
        <v>8732</v>
      </c>
      <c r="O52" s="64"/>
      <c r="P52" s="64">
        <v>8575</v>
      </c>
      <c r="Q52" s="64"/>
      <c r="R52" s="64">
        <v>8042</v>
      </c>
      <c r="S52" s="64"/>
      <c r="T52" s="64">
        <v>8012</v>
      </c>
      <c r="U52" s="64"/>
      <c r="V52" s="64">
        <v>14007</v>
      </c>
      <c r="W52" s="64"/>
      <c r="X52" s="64">
        <v>15522</v>
      </c>
      <c r="Y52" s="64"/>
      <c r="Z52" s="64">
        <v>17420</v>
      </c>
      <c r="AA52" s="64"/>
      <c r="AB52" s="64">
        <v>17103</v>
      </c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>
        <v>0</v>
      </c>
      <c r="BC52" s="64"/>
      <c r="BD52" s="64">
        <v>0</v>
      </c>
      <c r="BE52" s="64"/>
      <c r="BF52" s="64">
        <v>0</v>
      </c>
      <c r="BG52" s="64"/>
      <c r="BH52" s="64">
        <v>0</v>
      </c>
      <c r="BI52" s="64"/>
      <c r="BJ52" s="64"/>
      <c r="BK52" s="64"/>
      <c r="BL52" s="64"/>
      <c r="BM52" s="64"/>
      <c r="BN52" s="64"/>
      <c r="BO52" s="64"/>
      <c r="BP52" s="64"/>
    </row>
    <row r="53" spans="1:68" ht="12.75">
      <c r="A53" s="66" t="s">
        <v>186</v>
      </c>
      <c r="B53" s="66" t="s">
        <v>22</v>
      </c>
      <c r="D53" s="66" t="s">
        <v>204</v>
      </c>
      <c r="E53" s="64">
        <v>1</v>
      </c>
      <c r="F53" s="64">
        <v>16</v>
      </c>
      <c r="G53" s="64">
        <v>1</v>
      </c>
      <c r="H53" s="64">
        <v>10</v>
      </c>
      <c r="I53" s="64">
        <v>1</v>
      </c>
      <c r="J53" s="64">
        <v>9</v>
      </c>
      <c r="K53" s="64">
        <v>1</v>
      </c>
      <c r="L53" s="64">
        <v>8</v>
      </c>
      <c r="M53" s="64">
        <v>1</v>
      </c>
      <c r="N53" s="64">
        <v>3</v>
      </c>
      <c r="O53" s="64"/>
      <c r="P53" s="64">
        <v>3</v>
      </c>
      <c r="Q53" s="64"/>
      <c r="R53" s="64">
        <v>3</v>
      </c>
      <c r="S53" s="64"/>
      <c r="T53" s="64">
        <v>3</v>
      </c>
      <c r="U53" s="64"/>
      <c r="V53" s="64">
        <v>540</v>
      </c>
      <c r="W53" s="64"/>
      <c r="X53" s="64">
        <v>330</v>
      </c>
      <c r="Y53" s="64"/>
      <c r="Z53" s="64">
        <v>310</v>
      </c>
      <c r="AA53" s="64"/>
      <c r="AB53" s="64">
        <v>269</v>
      </c>
      <c r="AC53" s="64"/>
      <c r="AD53" s="64"/>
      <c r="AE53" s="64"/>
      <c r="AF53" s="64"/>
      <c r="AG53" s="64"/>
      <c r="AH53" s="64"/>
      <c r="AI53" s="64"/>
      <c r="AJ53" s="64"/>
      <c r="AK53" s="64">
        <v>1</v>
      </c>
      <c r="AL53" s="64"/>
      <c r="AM53" s="64"/>
      <c r="AN53" s="64"/>
      <c r="AO53" s="64"/>
      <c r="AP53" s="64"/>
      <c r="AQ53" s="64"/>
      <c r="AR53" s="64"/>
      <c r="AS53" s="64"/>
      <c r="AT53" s="64">
        <v>118</v>
      </c>
      <c r="AU53" s="64">
        <v>1</v>
      </c>
      <c r="AV53" s="64">
        <v>118</v>
      </c>
      <c r="AW53" s="64">
        <v>1</v>
      </c>
      <c r="AX53" s="64">
        <v>118</v>
      </c>
      <c r="AY53" s="64">
        <v>1</v>
      </c>
      <c r="AZ53" s="64">
        <v>118</v>
      </c>
      <c r="BA53" s="64"/>
      <c r="BB53" s="64">
        <v>101</v>
      </c>
      <c r="BC53" s="64"/>
      <c r="BD53" s="64">
        <v>118</v>
      </c>
      <c r="BE53" s="64"/>
      <c r="BF53" s="64">
        <v>134</v>
      </c>
      <c r="BG53" s="64"/>
      <c r="BH53" s="64">
        <v>190</v>
      </c>
      <c r="BI53" s="64"/>
      <c r="BJ53" s="64"/>
      <c r="BK53" s="64"/>
      <c r="BL53" s="64"/>
      <c r="BM53" s="64"/>
      <c r="BN53" s="64"/>
      <c r="BO53" s="64"/>
      <c r="BP53" s="64"/>
    </row>
    <row r="54" spans="5:68" ht="12.75"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</row>
    <row r="55" spans="2:78" ht="12.75">
      <c r="B55" s="66" t="s">
        <v>207</v>
      </c>
      <c r="E55" s="64"/>
      <c r="F55" s="64">
        <f>'emiss 2'!$G$68</f>
        <v>66914</v>
      </c>
      <c r="G55" s="64"/>
      <c r="H55" s="64">
        <f>'emiss 2'!$I$68</f>
        <v>64624</v>
      </c>
      <c r="I55" s="64"/>
      <c r="J55" s="64">
        <f>'emiss 2'!$K$68</f>
        <v>63569</v>
      </c>
      <c r="K55" s="64"/>
      <c r="L55" s="64">
        <f>'emiss 2'!$M$68</f>
        <v>64868</v>
      </c>
      <c r="M55" s="64"/>
      <c r="N55" s="64">
        <f>'emiss 2'!$G$68</f>
        <v>66914</v>
      </c>
      <c r="O55" s="64"/>
      <c r="P55" s="64">
        <f>'emiss 2'!$I$68</f>
        <v>64624</v>
      </c>
      <c r="Q55" s="64"/>
      <c r="R55" s="64">
        <f>'emiss 2'!$K$68</f>
        <v>63569</v>
      </c>
      <c r="S55" s="64"/>
      <c r="T55" s="64">
        <f>'emiss 2'!$M$68</f>
        <v>64868</v>
      </c>
      <c r="U55" s="64"/>
      <c r="V55" s="64">
        <f>'emiss 2'!$G$68</f>
        <v>66914</v>
      </c>
      <c r="W55" s="64"/>
      <c r="X55" s="64">
        <f>'emiss 2'!$I$68</f>
        <v>64624</v>
      </c>
      <c r="Y55" s="64"/>
      <c r="Z55" s="64">
        <f>'emiss 2'!$K$68</f>
        <v>63569</v>
      </c>
      <c r="AA55" s="64"/>
      <c r="AB55" s="64">
        <f>'emiss 2'!$M$68</f>
        <v>64868</v>
      </c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>
        <f>'emiss 2'!$G$68</f>
        <v>66914</v>
      </c>
      <c r="AU55" s="64"/>
      <c r="AV55" s="64">
        <f>'emiss 2'!$I$68</f>
        <v>64624</v>
      </c>
      <c r="AW55" s="64"/>
      <c r="AX55" s="64">
        <f>'emiss 2'!$K$68</f>
        <v>63569</v>
      </c>
      <c r="AY55" s="64"/>
      <c r="AZ55" s="64">
        <f>'emiss 2'!$M$68</f>
        <v>64868</v>
      </c>
      <c r="BA55" s="64"/>
      <c r="BB55" s="64">
        <f>'emiss 2'!$G$68</f>
        <v>66914</v>
      </c>
      <c r="BC55" s="64"/>
      <c r="BD55" s="64">
        <f>'emiss 2'!$I$68</f>
        <v>64624</v>
      </c>
      <c r="BE55" s="64"/>
      <c r="BF55" s="64">
        <f>'emiss 2'!$K$68</f>
        <v>63569</v>
      </c>
      <c r="BG55" s="64"/>
      <c r="BH55" s="64">
        <f>'emiss 2'!$M$68</f>
        <v>64868</v>
      </c>
      <c r="BI55" s="64"/>
      <c r="BJ55" s="64">
        <f>'emiss 2'!$G$68</f>
        <v>66914</v>
      </c>
      <c r="BK55" s="64"/>
      <c r="BL55" s="64">
        <f>'emiss 2'!$I$68</f>
        <v>64624</v>
      </c>
      <c r="BM55" s="64"/>
      <c r="BN55" s="64">
        <f>'emiss 2'!$K$68</f>
        <v>63569</v>
      </c>
      <c r="BO55" s="64"/>
      <c r="BP55" s="64">
        <f>'emiss 2'!$M$68</f>
        <v>64868</v>
      </c>
      <c r="BR55" s="66">
        <f>BJ55</f>
        <v>66914</v>
      </c>
      <c r="BT55" s="66">
        <f>BL55</f>
        <v>64624</v>
      </c>
      <c r="BV55" s="66">
        <f>BN55</f>
        <v>63569</v>
      </c>
      <c r="BX55" s="66">
        <f>BP55</f>
        <v>64868</v>
      </c>
      <c r="BZ55" s="66">
        <f>AVERAGE(BR55,BT55,BV55,BX55)</f>
        <v>64993.75</v>
      </c>
    </row>
    <row r="56" spans="2:78" ht="12.75">
      <c r="B56" s="66" t="s">
        <v>72</v>
      </c>
      <c r="E56" s="64"/>
      <c r="F56" s="64">
        <f>'emiss 2'!$G$69</f>
        <v>8</v>
      </c>
      <c r="G56" s="64"/>
      <c r="H56" s="64">
        <f>'emiss 2'!$I$69</f>
        <v>8</v>
      </c>
      <c r="I56" s="64"/>
      <c r="J56" s="64">
        <f>'emiss 2'!$K$69</f>
        <v>6.8</v>
      </c>
      <c r="K56" s="64"/>
      <c r="L56" s="64">
        <f>'emiss 2'!$M$69</f>
        <v>7.7</v>
      </c>
      <c r="M56" s="64"/>
      <c r="N56" s="64">
        <f>'emiss 2'!$G$69</f>
        <v>8</v>
      </c>
      <c r="O56" s="64"/>
      <c r="P56" s="64">
        <f>'emiss 2'!$I$69</f>
        <v>8</v>
      </c>
      <c r="Q56" s="64"/>
      <c r="R56" s="64">
        <f>'emiss 2'!$K$69</f>
        <v>6.8</v>
      </c>
      <c r="S56" s="64"/>
      <c r="T56" s="64">
        <f>'emiss 2'!$M$69</f>
        <v>7.7</v>
      </c>
      <c r="U56" s="64"/>
      <c r="V56" s="64">
        <f>'emiss 2'!$G$69</f>
        <v>8</v>
      </c>
      <c r="W56" s="64"/>
      <c r="X56" s="64">
        <f>'emiss 2'!$I$69</f>
        <v>8</v>
      </c>
      <c r="Y56" s="64"/>
      <c r="Z56" s="64">
        <f>'emiss 2'!$K$69</f>
        <v>6.8</v>
      </c>
      <c r="AA56" s="64"/>
      <c r="AB56" s="64">
        <f>'emiss 2'!$M$69</f>
        <v>7.7</v>
      </c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>
        <f>'emiss 2'!$G$69</f>
        <v>8</v>
      </c>
      <c r="AU56" s="64"/>
      <c r="AV56" s="64">
        <f>'emiss 2'!$I$69</f>
        <v>8</v>
      </c>
      <c r="AW56" s="64"/>
      <c r="AX56" s="64">
        <f>'emiss 2'!$K$69</f>
        <v>6.8</v>
      </c>
      <c r="AY56" s="64"/>
      <c r="AZ56" s="64">
        <f>'emiss 2'!$M$69</f>
        <v>7.7</v>
      </c>
      <c r="BA56" s="64"/>
      <c r="BB56" s="64">
        <f>'emiss 2'!$G$69</f>
        <v>8</v>
      </c>
      <c r="BC56" s="64"/>
      <c r="BD56" s="64">
        <f>'emiss 2'!$I$69</f>
        <v>8</v>
      </c>
      <c r="BE56" s="64"/>
      <c r="BF56" s="64">
        <f>'emiss 2'!$K$69</f>
        <v>6.8</v>
      </c>
      <c r="BG56" s="64"/>
      <c r="BH56" s="64">
        <f>'emiss 2'!$M$69</f>
        <v>7.7</v>
      </c>
      <c r="BI56" s="64"/>
      <c r="BJ56" s="64">
        <f>'emiss 2'!$G$69</f>
        <v>8</v>
      </c>
      <c r="BK56" s="64"/>
      <c r="BL56" s="64">
        <f>'emiss 2'!$I$69</f>
        <v>8</v>
      </c>
      <c r="BM56" s="64"/>
      <c r="BN56" s="64">
        <f>'emiss 2'!$K$69</f>
        <v>6.8</v>
      </c>
      <c r="BO56" s="64"/>
      <c r="BP56" s="64">
        <f>'emiss 2'!$M$69</f>
        <v>7.7</v>
      </c>
      <c r="BR56" s="66">
        <f>BJ56</f>
        <v>8</v>
      </c>
      <c r="BT56" s="66">
        <f>BL56</f>
        <v>8</v>
      </c>
      <c r="BV56" s="66">
        <f>BN56</f>
        <v>6.8</v>
      </c>
      <c r="BX56" s="66">
        <f>BP56</f>
        <v>7.7</v>
      </c>
      <c r="BZ56" s="66">
        <f>AVERAGE(BR56,BT56,BV56,BX56)</f>
        <v>7.625</v>
      </c>
    </row>
    <row r="57" spans="5:68" ht="12.75"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</row>
    <row r="58" spans="2:78" ht="12.75">
      <c r="B58" s="29" t="s">
        <v>110</v>
      </c>
      <c r="C58" s="29"/>
      <c r="D58" s="29" t="s">
        <v>180</v>
      </c>
      <c r="E58" s="64"/>
      <c r="F58" s="64">
        <f>F51*F52/1000000</f>
        <v>54.499999999999936</v>
      </c>
      <c r="G58" s="64"/>
      <c r="H58" s="64">
        <f>H51*H52/1000000</f>
        <v>85.83501006036217</v>
      </c>
      <c r="I58" s="64"/>
      <c r="J58" s="64">
        <f>J51*J52/1000000</f>
        <v>83.47990654205609</v>
      </c>
      <c r="K58" s="64"/>
      <c r="L58" s="64">
        <f>L51*L52/1000000</f>
        <v>84.113417721519</v>
      </c>
      <c r="M58" s="64"/>
      <c r="N58" s="64">
        <f>N51*N52/1000000</f>
        <v>24.79888</v>
      </c>
      <c r="O58" s="64"/>
      <c r="P58" s="64">
        <f>P51*P52/1000000</f>
        <v>28.2975</v>
      </c>
      <c r="Q58" s="64"/>
      <c r="R58" s="64">
        <f>R51*R52/1000000</f>
        <v>26.69944</v>
      </c>
      <c r="S58" s="64"/>
      <c r="T58" s="64">
        <f>T51*T52/1000000</f>
        <v>26.59984</v>
      </c>
      <c r="U58" s="64"/>
      <c r="V58" s="64">
        <f>V51*V52/1000000</f>
        <v>172.00596</v>
      </c>
      <c r="W58" s="64"/>
      <c r="X58" s="64">
        <f>X51*X52/1000000</f>
        <v>189.98928</v>
      </c>
      <c r="Y58" s="64"/>
      <c r="Z58" s="64">
        <f>Z51*Z52/1000000</f>
        <v>207.9948</v>
      </c>
      <c r="AA58" s="64"/>
      <c r="AB58" s="64">
        <f>AB51*AB52/1000000</f>
        <v>208.99866</v>
      </c>
      <c r="AC58" s="64"/>
      <c r="AD58" s="64"/>
      <c r="AE58" s="64"/>
      <c r="AF58" s="64"/>
      <c r="AG58" s="64"/>
      <c r="AH58" s="64"/>
      <c r="AI58" s="64"/>
      <c r="AJ58" s="64"/>
      <c r="AK58" s="64"/>
      <c r="AL58" s="69">
        <f>N58+V58</f>
        <v>196.80483999999998</v>
      </c>
      <c r="AM58" s="64"/>
      <c r="AN58" s="69">
        <f>P58+X58</f>
        <v>218.28678000000002</v>
      </c>
      <c r="AO58" s="64"/>
      <c r="AP58" s="69">
        <f>R58+Z58</f>
        <v>234.69424</v>
      </c>
      <c r="AQ58" s="64"/>
      <c r="AR58" s="69">
        <f>T58+AB58</f>
        <v>235.5985</v>
      </c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R58" s="69">
        <f>F58+N58+V58+AT58+BB58+BJ58</f>
        <v>251.30483999999993</v>
      </c>
      <c r="BT58" s="69">
        <f>H58+P58+X58+AV58+BD58+BL58</f>
        <v>304.1217900603622</v>
      </c>
      <c r="BV58" s="69">
        <f>J58+R58+Z58+AX58+BF58+BN58</f>
        <v>318.17414654205606</v>
      </c>
      <c r="BX58" s="69">
        <f>L58+T58+AB58+AZ58+BH58+BP58</f>
        <v>319.711917721519</v>
      </c>
      <c r="BZ58" s="66">
        <f>AVERAGE(BR58,BT58,BV58,BX58)</f>
        <v>298.3281735809843</v>
      </c>
    </row>
    <row r="59" spans="2:78" ht="12.75">
      <c r="B59" s="29" t="s">
        <v>318</v>
      </c>
      <c r="C59" s="29"/>
      <c r="D59" s="29" t="s">
        <v>180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R59" s="41">
        <f>BR55/9000*60*(21-BR56)/21</f>
        <v>276.1530158730159</v>
      </c>
      <c r="BT59" s="41">
        <f>BT55/9000*60*(21-BT56)/21</f>
        <v>266.70222222222225</v>
      </c>
      <c r="BV59" s="41">
        <f>BV55/9000*60*(21-BV56)/21</f>
        <v>286.56501587301585</v>
      </c>
      <c r="BX59" s="41">
        <f>BX55/9000*60*(21-BX56)/21</f>
        <v>273.8871111111111</v>
      </c>
      <c r="BZ59" s="66">
        <f>AVERAGE(BR59,BT59,BV59,BX59)</f>
        <v>275.8268412698413</v>
      </c>
    </row>
    <row r="60" spans="5:68" ht="12.75"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</row>
    <row r="61" spans="2:68" ht="12.75">
      <c r="B61" s="77" t="s">
        <v>315</v>
      </c>
      <c r="C61" s="77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</row>
    <row r="62" spans="2:84" ht="12.75">
      <c r="B62" s="66" t="s">
        <v>22</v>
      </c>
      <c r="D62" s="66" t="s">
        <v>69</v>
      </c>
      <c r="E62" s="64"/>
      <c r="F62" s="69">
        <f>F53*454*1000000/F55*14/(21-F56)/0.0283/60</f>
        <v>68850.3006387753</v>
      </c>
      <c r="G62" s="64"/>
      <c r="H62" s="69">
        <f>H53*454*1000000/H55*14/(21-H56)/0.0283/60</f>
        <v>44556.28923603276</v>
      </c>
      <c r="I62" s="64"/>
      <c r="J62" s="69">
        <f>J53*454*1000000/J55*14/(21-J56)/0.0283/60</f>
        <v>37321.14747266502</v>
      </c>
      <c r="K62" s="64"/>
      <c r="L62" s="69">
        <f>L53*454*1000000/L55*14/(21-L56)/0.0283/60</f>
        <v>34709.95419979494</v>
      </c>
      <c r="M62" s="64"/>
      <c r="N62" s="69">
        <f>N53*454*1000000/N55*14/(21-N56)/0.0283/60</f>
        <v>12909.431369770367</v>
      </c>
      <c r="O62" s="64"/>
      <c r="P62" s="69">
        <f>P53*454*1000000/P55*14/(21-P56)/0.0283/60</f>
        <v>13366.886770809828</v>
      </c>
      <c r="Q62" s="64"/>
      <c r="R62" s="69">
        <f>R53*454*1000000/R55*14/(21-R56)/0.0283/60</f>
        <v>12440.382490888338</v>
      </c>
      <c r="S62" s="64"/>
      <c r="T62" s="69">
        <f>T53*454*1000000/T55*14/(21-T56)/0.0283/60</f>
        <v>13016.2328249231</v>
      </c>
      <c r="U62" s="64"/>
      <c r="V62" s="69">
        <f>V53*454*1000000/V55*14/(21-V56)/0.0283/60</f>
        <v>2323697.646558666</v>
      </c>
      <c r="W62" s="64"/>
      <c r="X62" s="69">
        <f>X53*454*1000000/X55*14/(21-X56)/0.0283/60</f>
        <v>1470357.5447890812</v>
      </c>
      <c r="Y62" s="64"/>
      <c r="Z62" s="69">
        <f>Z53*454*1000000/Z55*14/(21-Z56)/0.0283/60</f>
        <v>1285506.1907251282</v>
      </c>
      <c r="AA62" s="64"/>
      <c r="AB62" s="69">
        <f>AB53*454*1000000/AB55*14/(21-AB56)/0.0283/60</f>
        <v>1167122.2099681047</v>
      </c>
      <c r="AC62" s="69"/>
      <c r="AD62" s="69"/>
      <c r="AE62" s="69"/>
      <c r="AF62" s="69"/>
      <c r="AG62" s="69"/>
      <c r="AH62" s="69"/>
      <c r="AI62" s="69"/>
      <c r="AJ62" s="69"/>
      <c r="AK62" s="64"/>
      <c r="AL62" s="69">
        <f>N62+V62+AD62+BB62+BJ62</f>
        <v>2771224.6007107054</v>
      </c>
      <c r="AM62" s="64"/>
      <c r="AN62" s="69">
        <f>P62+X62+AF62+BD62+BL62</f>
        <v>2009488.6445450776</v>
      </c>
      <c r="AO62" s="64"/>
      <c r="AP62" s="69">
        <f>R62+Z62+AH62+BF62+BN62</f>
        <v>1853616.9911423621</v>
      </c>
      <c r="AQ62" s="64"/>
      <c r="AR62" s="69">
        <f>T62+AB62+AJ62+BH62+BP62</f>
        <v>2004499.8550381577</v>
      </c>
      <c r="AS62" s="64"/>
      <c r="AT62" s="69">
        <f>AT53*454*1000000/AT55*14/(21-AT56)/0.0283/60</f>
        <v>507770.9672109678</v>
      </c>
      <c r="AU62" s="64"/>
      <c r="AV62" s="69">
        <f>AV53*454*1000000/AV55*14/(21-AV56)/0.0283/60</f>
        <v>525764.2129851866</v>
      </c>
      <c r="AW62" s="64"/>
      <c r="AX62" s="69">
        <f>AX53*454*1000000/AX55*14/(21-AX56)/0.0283/60</f>
        <v>489321.71130827465</v>
      </c>
      <c r="AY62" s="64"/>
      <c r="AZ62" s="69">
        <f>AZ53*454*1000000/AZ55*14/(21-AZ56)/0.0283/60</f>
        <v>511971.82444697537</v>
      </c>
      <c r="BA62" s="64"/>
      <c r="BB62" s="69">
        <f>BB53*454*1000000/BB55*14/(21-BB56)/0.0283/60</f>
        <v>434617.52278226905</v>
      </c>
      <c r="BC62" s="64"/>
      <c r="BD62" s="69">
        <f>BD53*454*1000000/BD55*14/(21-BD56)/0.0283/60</f>
        <v>525764.2129851866</v>
      </c>
      <c r="BE62" s="64"/>
      <c r="BF62" s="69">
        <f>BF53*454*1000000/BF55*14/(21-BF56)/0.0283/60</f>
        <v>555670.4179263457</v>
      </c>
      <c r="BG62" s="64"/>
      <c r="BH62" s="69">
        <f>BH53*454*1000000/BH55*14/(21-BH56)/0.0283/60</f>
        <v>824361.4122451298</v>
      </c>
      <c r="BI62" s="64"/>
      <c r="BJ62" s="69">
        <f>BJ53*454*1000000/BJ55*14/(21-BJ56)/0.0283/60</f>
        <v>0</v>
      </c>
      <c r="BK62" s="64"/>
      <c r="BL62" s="69">
        <f>BL53*454*1000000/BL55*14/(21-BL56)/0.0283/60</f>
        <v>0</v>
      </c>
      <c r="BM62" s="64"/>
      <c r="BN62" s="69">
        <f>BN53*454*1000000/BN55*14/(21-BN56)/0.0283/60</f>
        <v>0</v>
      </c>
      <c r="BO62" s="64"/>
      <c r="BP62" s="69">
        <f>BP53*454*1000000/BP55*14/(21-BP56)/0.0283/60</f>
        <v>0</v>
      </c>
      <c r="BR62" s="69">
        <f>F62+N62+V62+AT62+BB62+BJ62</f>
        <v>3347845.8685604483</v>
      </c>
      <c r="BT62" s="69">
        <f>H62+P62+X62+AV62+BD62+BL62</f>
        <v>2579809.146766297</v>
      </c>
      <c r="BV62" s="69">
        <f>J62+R62+Z62+AX62+BF62+BN62</f>
        <v>2380259.849923302</v>
      </c>
      <c r="BX62" s="69">
        <f>L62+T62+AB62+AZ62+BH62+BP62</f>
        <v>2551181.633684928</v>
      </c>
      <c r="BZ62" s="69">
        <f>AVERAGE(BR62,BT62,BV62,BX62)</f>
        <v>2714774.1247337437</v>
      </c>
      <c r="CC62" s="69">
        <f>AVERAGE(N62,P62,R62,T62)+AVERAGE(V62,X62,Z62,AB62)</f>
        <v>1574604.131374343</v>
      </c>
      <c r="CD62" s="69">
        <f>AVERAGE(BD62,BF62,BH62,BB62)</f>
        <v>585103.3914847327</v>
      </c>
      <c r="CE62" s="69">
        <f>AVERAGE(F62,H62,J62,L62)+AVERAGE(AT62,AV62,AX62,AZ62)</f>
        <v>555066.6018746682</v>
      </c>
      <c r="CF62" s="69">
        <f>SUM(CC62,CD62,CE62)</f>
        <v>2714774.124733744</v>
      </c>
    </row>
    <row r="63" spans="5:68" ht="12.75"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9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</row>
    <row r="64" spans="2:78" ht="12.75">
      <c r="B64" s="28" t="s">
        <v>187</v>
      </c>
      <c r="C64" s="28"/>
      <c r="E64" s="64"/>
      <c r="F64" s="73" t="s">
        <v>147</v>
      </c>
      <c r="G64" s="73"/>
      <c r="H64" s="73" t="s">
        <v>148</v>
      </c>
      <c r="I64" s="73"/>
      <c r="J64" s="73" t="s">
        <v>149</v>
      </c>
      <c r="K64" s="73"/>
      <c r="L64" s="73" t="s">
        <v>150</v>
      </c>
      <c r="M64" s="73"/>
      <c r="N64" s="73" t="s">
        <v>147</v>
      </c>
      <c r="O64" s="73"/>
      <c r="P64" s="73" t="s">
        <v>148</v>
      </c>
      <c r="Q64" s="73"/>
      <c r="R64" s="73" t="s">
        <v>149</v>
      </c>
      <c r="S64" s="73"/>
      <c r="T64" s="73" t="s">
        <v>150</v>
      </c>
      <c r="U64" s="73"/>
      <c r="V64" s="73" t="s">
        <v>147</v>
      </c>
      <c r="W64" s="73"/>
      <c r="X64" s="73" t="s">
        <v>148</v>
      </c>
      <c r="Y64" s="73"/>
      <c r="Z64" s="73" t="s">
        <v>149</v>
      </c>
      <c r="AA64" s="73"/>
      <c r="AB64" s="73" t="s">
        <v>150</v>
      </c>
      <c r="AC64" s="73"/>
      <c r="AD64" s="73" t="s">
        <v>147</v>
      </c>
      <c r="AE64" s="73"/>
      <c r="AF64" s="73" t="s">
        <v>148</v>
      </c>
      <c r="AG64" s="73"/>
      <c r="AH64" s="73" t="s">
        <v>149</v>
      </c>
      <c r="AI64" s="73"/>
      <c r="AJ64" s="73" t="s">
        <v>150</v>
      </c>
      <c r="AK64" s="73"/>
      <c r="AL64" s="73" t="s">
        <v>147</v>
      </c>
      <c r="AM64" s="73"/>
      <c r="AN64" s="73" t="s">
        <v>148</v>
      </c>
      <c r="AO64" s="73"/>
      <c r="AP64" s="73" t="s">
        <v>149</v>
      </c>
      <c r="AQ64" s="73"/>
      <c r="AR64" s="73" t="s">
        <v>150</v>
      </c>
      <c r="AS64" s="73"/>
      <c r="AT64" s="73" t="s">
        <v>147</v>
      </c>
      <c r="AU64" s="73"/>
      <c r="AV64" s="73" t="s">
        <v>148</v>
      </c>
      <c r="AW64" s="73"/>
      <c r="AX64" s="73" t="s">
        <v>149</v>
      </c>
      <c r="AY64" s="73"/>
      <c r="AZ64" s="73" t="s">
        <v>150</v>
      </c>
      <c r="BA64" s="73"/>
      <c r="BB64" s="73" t="s">
        <v>147</v>
      </c>
      <c r="BC64" s="73"/>
      <c r="BD64" s="73" t="s">
        <v>148</v>
      </c>
      <c r="BE64" s="73"/>
      <c r="BF64" s="73" t="s">
        <v>149</v>
      </c>
      <c r="BG64" s="73"/>
      <c r="BH64" s="73" t="s">
        <v>150</v>
      </c>
      <c r="BI64" s="73"/>
      <c r="BJ64" s="73" t="s">
        <v>147</v>
      </c>
      <c r="BK64" s="73"/>
      <c r="BL64" s="73" t="s">
        <v>148</v>
      </c>
      <c r="BM64" s="73"/>
      <c r="BN64" s="73" t="s">
        <v>149</v>
      </c>
      <c r="BO64" s="73"/>
      <c r="BP64" s="73" t="s">
        <v>150</v>
      </c>
      <c r="BQ64" s="73"/>
      <c r="BR64" s="73" t="s">
        <v>147</v>
      </c>
      <c r="BS64" s="73"/>
      <c r="BT64" s="73" t="s">
        <v>148</v>
      </c>
      <c r="BU64" s="73"/>
      <c r="BV64" s="73" t="s">
        <v>149</v>
      </c>
      <c r="BW64" s="73"/>
      <c r="BX64" s="73" t="s">
        <v>150</v>
      </c>
      <c r="BY64" s="73"/>
      <c r="BZ64" s="73" t="s">
        <v>70</v>
      </c>
    </row>
    <row r="65" spans="5:68" ht="12.75"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</row>
    <row r="66" spans="2:78" ht="12.75">
      <c r="B66" s="66" t="s">
        <v>298</v>
      </c>
      <c r="E66" s="64"/>
      <c r="F66" s="66" t="s">
        <v>300</v>
      </c>
      <c r="H66" s="66" t="s">
        <v>300</v>
      </c>
      <c r="J66" s="66" t="s">
        <v>300</v>
      </c>
      <c r="L66" s="66" t="s">
        <v>300</v>
      </c>
      <c r="M66" s="64"/>
      <c r="N66" s="64"/>
      <c r="O66" s="64"/>
      <c r="P66" s="64"/>
      <c r="Q66" s="64"/>
      <c r="R66" s="64"/>
      <c r="S66" s="64"/>
      <c r="T66" s="64"/>
      <c r="U66" s="64"/>
      <c r="V66" s="64" t="s">
        <v>302</v>
      </c>
      <c r="W66" s="64"/>
      <c r="X66" s="64" t="s">
        <v>302</v>
      </c>
      <c r="Y66" s="64"/>
      <c r="Z66" s="64" t="s">
        <v>302</v>
      </c>
      <c r="AA66" s="64"/>
      <c r="AB66" s="64" t="s">
        <v>302</v>
      </c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 t="s">
        <v>303</v>
      </c>
      <c r="AU66" s="64"/>
      <c r="AV66" s="64" t="s">
        <v>303</v>
      </c>
      <c r="AW66" s="64"/>
      <c r="AX66" s="64" t="s">
        <v>303</v>
      </c>
      <c r="AY66" s="64"/>
      <c r="AZ66" s="64" t="s">
        <v>303</v>
      </c>
      <c r="BA66" s="64"/>
      <c r="BB66" s="64" t="s">
        <v>305</v>
      </c>
      <c r="BC66" s="64"/>
      <c r="BD66" s="64" t="s">
        <v>305</v>
      </c>
      <c r="BE66" s="64"/>
      <c r="BF66" s="64" t="s">
        <v>305</v>
      </c>
      <c r="BG66" s="64"/>
      <c r="BH66" s="64" t="s">
        <v>305</v>
      </c>
      <c r="BI66" s="64"/>
      <c r="BJ66" s="64" t="s">
        <v>307</v>
      </c>
      <c r="BK66" s="64"/>
      <c r="BL66" s="64" t="s">
        <v>307</v>
      </c>
      <c r="BM66" s="64"/>
      <c r="BN66" s="64" t="s">
        <v>307</v>
      </c>
      <c r="BO66" s="64"/>
      <c r="BP66" s="64" t="s">
        <v>307</v>
      </c>
      <c r="BR66" s="66" t="s">
        <v>308</v>
      </c>
      <c r="BT66" s="66" t="s">
        <v>308</v>
      </c>
      <c r="BV66" s="66" t="s">
        <v>308</v>
      </c>
      <c r="BX66" s="66" t="s">
        <v>308</v>
      </c>
      <c r="BZ66" s="66" t="s">
        <v>308</v>
      </c>
    </row>
    <row r="67" spans="2:78" ht="12.75">
      <c r="B67" s="66" t="s">
        <v>299</v>
      </c>
      <c r="E67" s="64"/>
      <c r="F67" s="66" t="s">
        <v>142</v>
      </c>
      <c r="H67" s="66" t="s">
        <v>142</v>
      </c>
      <c r="J67" s="66" t="s">
        <v>142</v>
      </c>
      <c r="L67" s="66" t="s">
        <v>142</v>
      </c>
      <c r="M67" s="64"/>
      <c r="N67" s="64"/>
      <c r="O67" s="64"/>
      <c r="P67" s="64"/>
      <c r="Q67" s="64"/>
      <c r="R67" s="64"/>
      <c r="S67" s="64"/>
      <c r="T67" s="64"/>
      <c r="U67" s="64"/>
      <c r="V67" s="64" t="s">
        <v>67</v>
      </c>
      <c r="W67" s="64"/>
      <c r="X67" s="64" t="s">
        <v>67</v>
      </c>
      <c r="Y67" s="64"/>
      <c r="Z67" s="64" t="s">
        <v>67</v>
      </c>
      <c r="AA67" s="64"/>
      <c r="AB67" s="64" t="s">
        <v>67</v>
      </c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 t="s">
        <v>301</v>
      </c>
      <c r="AU67" s="64"/>
      <c r="AV67" s="64" t="s">
        <v>301</v>
      </c>
      <c r="AW67" s="64"/>
      <c r="AX67" s="64" t="s">
        <v>301</v>
      </c>
      <c r="AY67" s="64"/>
      <c r="AZ67" s="64" t="s">
        <v>301</v>
      </c>
      <c r="BA67" s="64"/>
      <c r="BB67" s="64" t="s">
        <v>67</v>
      </c>
      <c r="BC67" s="64"/>
      <c r="BD67" s="64" t="s">
        <v>67</v>
      </c>
      <c r="BE67" s="64"/>
      <c r="BF67" s="64" t="s">
        <v>67</v>
      </c>
      <c r="BG67" s="64"/>
      <c r="BH67" s="64" t="s">
        <v>67</v>
      </c>
      <c r="BI67" s="64"/>
      <c r="BJ67" s="64" t="s">
        <v>312</v>
      </c>
      <c r="BK67" s="64"/>
      <c r="BL67" s="64" t="s">
        <v>312</v>
      </c>
      <c r="BM67" s="64"/>
      <c r="BN67" s="64" t="s">
        <v>312</v>
      </c>
      <c r="BO67" s="64"/>
      <c r="BP67" s="64" t="s">
        <v>312</v>
      </c>
      <c r="BR67" s="66" t="s">
        <v>31</v>
      </c>
      <c r="BT67" s="66" t="s">
        <v>31</v>
      </c>
      <c r="BV67" s="66" t="s">
        <v>31</v>
      </c>
      <c r="BX67" s="66" t="s">
        <v>31</v>
      </c>
      <c r="BZ67" s="66" t="s">
        <v>31</v>
      </c>
    </row>
    <row r="68" spans="2:78" ht="12.75">
      <c r="B68" s="66" t="s">
        <v>314</v>
      </c>
      <c r="E68" s="64"/>
      <c r="F68" s="66" t="s">
        <v>142</v>
      </c>
      <c r="H68" s="66" t="s">
        <v>142</v>
      </c>
      <c r="J68" s="66" t="s">
        <v>142</v>
      </c>
      <c r="L68" s="66" t="s">
        <v>142</v>
      </c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 t="s">
        <v>67</v>
      </c>
      <c r="AM68" s="64"/>
      <c r="AN68" s="64" t="s">
        <v>67</v>
      </c>
      <c r="AO68" s="64"/>
      <c r="AP68" s="64" t="s">
        <v>67</v>
      </c>
      <c r="AQ68" s="64"/>
      <c r="AR68" s="64" t="s">
        <v>67</v>
      </c>
      <c r="AS68" s="64"/>
      <c r="AT68" s="64" t="s">
        <v>316</v>
      </c>
      <c r="AU68" s="64"/>
      <c r="AV68" s="64" t="s">
        <v>316</v>
      </c>
      <c r="AW68" s="64"/>
      <c r="AX68" s="64" t="s">
        <v>316</v>
      </c>
      <c r="AY68" s="64"/>
      <c r="AZ68" s="64" t="s">
        <v>316</v>
      </c>
      <c r="BA68" s="64"/>
      <c r="BB68" s="64"/>
      <c r="BC68" s="64"/>
      <c r="BD68" s="64"/>
      <c r="BE68" s="64"/>
      <c r="BF68" s="64"/>
      <c r="BG68" s="64"/>
      <c r="BH68" s="64"/>
      <c r="BI68" s="64"/>
      <c r="BJ68" s="64" t="s">
        <v>78</v>
      </c>
      <c r="BK68" s="64"/>
      <c r="BL68" s="64" t="s">
        <v>78</v>
      </c>
      <c r="BM68" s="64"/>
      <c r="BN68" s="64" t="s">
        <v>78</v>
      </c>
      <c r="BO68" s="64"/>
      <c r="BP68" s="64" t="s">
        <v>78</v>
      </c>
      <c r="BR68" s="66" t="s">
        <v>31</v>
      </c>
      <c r="BT68" s="66" t="s">
        <v>31</v>
      </c>
      <c r="BV68" s="66" t="s">
        <v>31</v>
      </c>
      <c r="BX68" s="66" t="s">
        <v>31</v>
      </c>
      <c r="BZ68" s="66" t="s">
        <v>31</v>
      </c>
    </row>
    <row r="69" spans="2:84" ht="12.75">
      <c r="B69" s="66" t="s">
        <v>108</v>
      </c>
      <c r="F69" s="66" t="s">
        <v>142</v>
      </c>
      <c r="N69" s="66" t="s">
        <v>198</v>
      </c>
      <c r="V69" s="66" t="s">
        <v>199</v>
      </c>
      <c r="AD69" s="66" t="s">
        <v>67</v>
      </c>
      <c r="AT69" s="66" t="s">
        <v>200</v>
      </c>
      <c r="BB69" s="66" t="s">
        <v>201</v>
      </c>
      <c r="BJ69" s="66" t="s">
        <v>202</v>
      </c>
      <c r="BR69" s="66" t="s">
        <v>31</v>
      </c>
      <c r="CC69" s="66" t="s">
        <v>78</v>
      </c>
      <c r="CD69" s="66" t="s">
        <v>67</v>
      </c>
      <c r="CE69" s="66" t="s">
        <v>81</v>
      </c>
      <c r="CF69" s="66" t="s">
        <v>31</v>
      </c>
    </row>
    <row r="70" spans="1:68" ht="12.75">
      <c r="A70" s="66" t="s">
        <v>187</v>
      </c>
      <c r="B70" s="66" t="s">
        <v>203</v>
      </c>
      <c r="D70" s="66" t="s">
        <v>204</v>
      </c>
      <c r="E70" s="64"/>
      <c r="F70" s="64">
        <v>4960</v>
      </c>
      <c r="G70" s="64"/>
      <c r="H70" s="64">
        <v>4980</v>
      </c>
      <c r="I70" s="64"/>
      <c r="J70" s="64">
        <v>5640</v>
      </c>
      <c r="K70" s="64"/>
      <c r="L70" s="64">
        <v>6960</v>
      </c>
      <c r="M70" s="64"/>
      <c r="N70" s="64"/>
      <c r="O70" s="64"/>
      <c r="P70" s="64"/>
      <c r="Q70" s="64"/>
      <c r="R70" s="64"/>
      <c r="S70" s="64"/>
      <c r="T70" s="64"/>
      <c r="U70" s="64"/>
      <c r="V70" s="64">
        <v>12080</v>
      </c>
      <c r="W70" s="64"/>
      <c r="X70" s="64">
        <v>12320</v>
      </c>
      <c r="Y70" s="64"/>
      <c r="Z70" s="64">
        <v>11480</v>
      </c>
      <c r="AA70" s="64"/>
      <c r="AB70" s="64">
        <v>11420</v>
      </c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>
        <v>128600</v>
      </c>
      <c r="AV70">
        <v>129600</v>
      </c>
      <c r="AX70">
        <v>127400</v>
      </c>
      <c r="AY70" s="64"/>
      <c r="AZ70">
        <v>128200</v>
      </c>
      <c r="BA70" s="64"/>
      <c r="BB70" s="64">
        <v>12080</v>
      </c>
      <c r="BC70" s="64"/>
      <c r="BD70" s="64">
        <v>12320</v>
      </c>
      <c r="BE70" s="64"/>
      <c r="BF70" s="64">
        <v>11480</v>
      </c>
      <c r="BG70" s="64"/>
      <c r="BH70" s="64">
        <v>11420</v>
      </c>
      <c r="BI70" s="64"/>
      <c r="BJ70" s="64">
        <v>5020</v>
      </c>
      <c r="BK70" s="64"/>
      <c r="BL70" s="64">
        <v>4820</v>
      </c>
      <c r="BM70" s="64"/>
      <c r="BN70" s="64">
        <v>4820</v>
      </c>
      <c r="BO70" s="64"/>
      <c r="BP70" s="64">
        <v>4760</v>
      </c>
    </row>
    <row r="71" spans="1:68" ht="12.75">
      <c r="A71" s="66" t="s">
        <v>187</v>
      </c>
      <c r="B71" s="66" t="s">
        <v>205</v>
      </c>
      <c r="D71" s="66" t="s">
        <v>206</v>
      </c>
      <c r="E71" s="64"/>
      <c r="F71" s="64">
        <f>AVERAGE(F52,H52,J52,L52)</f>
        <v>10323.232889597773</v>
      </c>
      <c r="G71" s="64"/>
      <c r="H71" s="64">
        <f>F71</f>
        <v>10323.232889597773</v>
      </c>
      <c r="I71" s="64"/>
      <c r="J71" s="64">
        <f>H71</f>
        <v>10323.232889597773</v>
      </c>
      <c r="K71" s="64"/>
      <c r="L71" s="64">
        <f>J71</f>
        <v>10323.232889597773</v>
      </c>
      <c r="M71" s="64"/>
      <c r="N71" s="64"/>
      <c r="O71" s="64"/>
      <c r="P71" s="64"/>
      <c r="Q71" s="64"/>
      <c r="R71" s="64"/>
      <c r="S71" s="64"/>
      <c r="T71" s="64"/>
      <c r="U71" s="64"/>
      <c r="V71" s="64">
        <v>17100</v>
      </c>
      <c r="W71" s="64"/>
      <c r="X71" s="64">
        <v>17900</v>
      </c>
      <c r="Y71" s="64"/>
      <c r="Z71" s="64">
        <v>16800</v>
      </c>
      <c r="AA71" s="64"/>
      <c r="AB71" s="64">
        <v>16700</v>
      </c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>
        <v>15480</v>
      </c>
      <c r="BC71" s="64"/>
      <c r="BD71" s="64">
        <v>12987</v>
      </c>
      <c r="BE71" s="64"/>
      <c r="BF71" s="64">
        <v>15157</v>
      </c>
      <c r="BG71" s="64"/>
      <c r="BH71" s="64">
        <v>15762</v>
      </c>
      <c r="BI71" s="64"/>
      <c r="BJ71" s="64">
        <v>6050</v>
      </c>
      <c r="BK71" s="64"/>
      <c r="BL71" s="64">
        <v>6960</v>
      </c>
      <c r="BM71" s="64"/>
      <c r="BN71" s="64">
        <v>4930</v>
      </c>
      <c r="BO71" s="64"/>
      <c r="BP71" s="64">
        <v>5920</v>
      </c>
    </row>
    <row r="72" spans="1:68" ht="12.75">
      <c r="A72" s="66" t="s">
        <v>187</v>
      </c>
      <c r="B72" s="66" t="s">
        <v>22</v>
      </c>
      <c r="D72" s="66" t="s">
        <v>204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>
        <v>734.1318</v>
      </c>
      <c r="BC72" s="64"/>
      <c r="BD72" s="64">
        <v>798.0652</v>
      </c>
      <c r="BE72" s="64"/>
      <c r="BF72" s="64">
        <v>725.3134</v>
      </c>
      <c r="BG72" s="64"/>
      <c r="BH72" s="64">
        <v>687.8352</v>
      </c>
      <c r="BI72" s="64"/>
      <c r="BJ72" s="64"/>
      <c r="BK72" s="64"/>
      <c r="BL72" s="64"/>
      <c r="BM72" s="64"/>
      <c r="BN72" s="64"/>
      <c r="BO72" s="64"/>
      <c r="BP72" s="64"/>
    </row>
    <row r="73" spans="1:68" ht="12.75">
      <c r="A73" s="66" t="s">
        <v>187</v>
      </c>
      <c r="B73" s="66" t="s">
        <v>102</v>
      </c>
      <c r="D73" s="66" t="s">
        <v>204</v>
      </c>
      <c r="E73" s="64"/>
      <c r="F73" s="63">
        <v>0.00198414</v>
      </c>
      <c r="G73" s="64"/>
      <c r="H73" s="63">
        <v>0.003483268</v>
      </c>
      <c r="I73" s="64"/>
      <c r="J73" s="63">
        <v>0.003373038</v>
      </c>
      <c r="K73" s="64"/>
      <c r="L73" s="63">
        <v>0.005577638</v>
      </c>
      <c r="M73" s="64"/>
      <c r="N73" s="64"/>
      <c r="O73" s="64"/>
      <c r="P73" s="64"/>
      <c r="Q73" s="64"/>
      <c r="R73" s="64"/>
      <c r="S73" s="64"/>
      <c r="T73" s="64"/>
      <c r="U73" s="64"/>
      <c r="V73" s="64">
        <v>0.0496035</v>
      </c>
      <c r="W73" s="64"/>
      <c r="X73" s="64">
        <v>0.10846632</v>
      </c>
      <c r="Y73" s="64"/>
      <c r="Z73" s="64">
        <v>0.1124346</v>
      </c>
      <c r="AA73" s="64"/>
      <c r="AB73" s="64">
        <v>0.10956862</v>
      </c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>
        <v>0.18011582</v>
      </c>
      <c r="AU73" s="64"/>
      <c r="AV73" s="64">
        <v>0.2711658</v>
      </c>
      <c r="AW73" s="64"/>
      <c r="AX73" s="64">
        <v>0.2932118</v>
      </c>
      <c r="AY73" s="64"/>
      <c r="AZ73" s="64">
        <v>0.16666776</v>
      </c>
      <c r="BA73" s="64"/>
      <c r="BB73" s="64"/>
      <c r="BC73" s="64"/>
      <c r="BD73" s="64"/>
      <c r="BE73" s="64"/>
      <c r="BF73" s="64"/>
      <c r="BG73" s="64"/>
      <c r="BH73" s="64"/>
      <c r="BI73" s="64"/>
      <c r="BJ73" s="63">
        <v>0.2557336</v>
      </c>
      <c r="BK73" s="63"/>
      <c r="BL73" s="63">
        <v>0.2799842</v>
      </c>
      <c r="BM73" s="63"/>
      <c r="BN73" s="63">
        <v>0.03703728</v>
      </c>
      <c r="BO73" s="63"/>
      <c r="BP73" s="63">
        <v>1.6181764</v>
      </c>
    </row>
    <row r="74" spans="1:68" ht="12.75">
      <c r="A74" s="66" t="s">
        <v>187</v>
      </c>
      <c r="B74" s="66" t="s">
        <v>98</v>
      </c>
      <c r="D74" s="66" t="s">
        <v>204</v>
      </c>
      <c r="E74" s="64"/>
      <c r="F74" s="63">
        <v>0.2083347</v>
      </c>
      <c r="G74" s="64"/>
      <c r="H74" s="63">
        <v>0.154322</v>
      </c>
      <c r="I74" s="64"/>
      <c r="J74" s="63">
        <v>0.2248692</v>
      </c>
      <c r="K74" s="64"/>
      <c r="L74" s="63">
        <v>0.341713</v>
      </c>
      <c r="M74" s="64"/>
      <c r="N74" s="64"/>
      <c r="O74" s="64"/>
      <c r="P74" s="64"/>
      <c r="Q74" s="64"/>
      <c r="R74" s="64"/>
      <c r="S74" s="64"/>
      <c r="T74" s="64"/>
      <c r="U74" s="64"/>
      <c r="V74" s="64">
        <v>15.013326</v>
      </c>
      <c r="W74" s="64"/>
      <c r="X74" s="64">
        <v>24.2506</v>
      </c>
      <c r="Y74" s="64"/>
      <c r="Z74" s="64">
        <v>19.113882</v>
      </c>
      <c r="AA74" s="64"/>
      <c r="AB74" s="64">
        <v>18.320226</v>
      </c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>
        <v>0.09634102</v>
      </c>
      <c r="AU74" s="64"/>
      <c r="AV74" s="64">
        <v>0.1179461</v>
      </c>
      <c r="AW74" s="64"/>
      <c r="AX74" s="64">
        <v>0.10956862</v>
      </c>
      <c r="AY74" s="64"/>
      <c r="AZ74" s="64">
        <v>0.09104998</v>
      </c>
      <c r="BA74" s="64"/>
      <c r="BB74" s="64"/>
      <c r="BC74" s="64"/>
      <c r="BD74" s="64"/>
      <c r="BE74" s="64"/>
      <c r="BF74" s="64"/>
      <c r="BG74" s="64"/>
      <c r="BH74" s="64"/>
      <c r="BI74" s="64"/>
      <c r="BJ74" s="63">
        <v>1.7063604</v>
      </c>
      <c r="BK74" s="63"/>
      <c r="BL74" s="63">
        <v>3.615544</v>
      </c>
      <c r="BM74" s="63"/>
      <c r="BN74" s="63">
        <v>0.09634102</v>
      </c>
      <c r="BO74" s="63"/>
      <c r="BP74" s="63">
        <v>3.042348</v>
      </c>
    </row>
    <row r="75" spans="1:68" ht="12.75">
      <c r="A75" s="66" t="s">
        <v>187</v>
      </c>
      <c r="B75" s="66" t="s">
        <v>99</v>
      </c>
      <c r="D75" s="66" t="s">
        <v>204</v>
      </c>
      <c r="E75" s="64"/>
      <c r="F75" s="63">
        <v>0.099207</v>
      </c>
      <c r="G75" s="64"/>
      <c r="H75" s="63">
        <v>0.15939258</v>
      </c>
      <c r="I75" s="64"/>
      <c r="J75" s="63">
        <v>0.1466059</v>
      </c>
      <c r="K75" s="64"/>
      <c r="L75" s="63">
        <v>0.18099766</v>
      </c>
      <c r="M75" s="64"/>
      <c r="N75" s="64"/>
      <c r="O75" s="64"/>
      <c r="P75" s="64"/>
      <c r="Q75" s="64"/>
      <c r="R75" s="64"/>
      <c r="S75" s="64"/>
      <c r="T75" s="64"/>
      <c r="U75" s="64"/>
      <c r="V75" s="64">
        <v>0.7253134</v>
      </c>
      <c r="W75" s="64"/>
      <c r="X75" s="64">
        <v>4.321016</v>
      </c>
      <c r="Y75" s="64"/>
      <c r="Z75" s="64">
        <v>4.122602</v>
      </c>
      <c r="AA75" s="64"/>
      <c r="AB75" s="64">
        <v>1.4836958</v>
      </c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>
        <v>3.350992</v>
      </c>
      <c r="AU75" s="64"/>
      <c r="AV75" s="64">
        <v>2.843934</v>
      </c>
      <c r="AW75" s="64"/>
      <c r="AX75" s="64">
        <v>3.174624</v>
      </c>
      <c r="AY75" s="64"/>
      <c r="AZ75" s="64">
        <v>2.821888</v>
      </c>
      <c r="BA75" s="64"/>
      <c r="BB75" s="64"/>
      <c r="BC75" s="64"/>
      <c r="BD75" s="64"/>
      <c r="BE75" s="64"/>
      <c r="BF75" s="64"/>
      <c r="BG75" s="64"/>
      <c r="BH75" s="64"/>
      <c r="BI75" s="64"/>
      <c r="BJ75" s="63">
        <v>0.7539732</v>
      </c>
      <c r="BK75" s="63"/>
      <c r="BL75" s="63">
        <v>1.0604126</v>
      </c>
      <c r="BM75" s="63"/>
      <c r="BN75" s="63">
        <v>9.347504</v>
      </c>
      <c r="BO75" s="63"/>
      <c r="BP75" s="63">
        <v>1.5233786</v>
      </c>
    </row>
    <row r="76" spans="1:68" ht="12.75">
      <c r="A76" s="66" t="s">
        <v>187</v>
      </c>
      <c r="B76" s="66" t="s">
        <v>100</v>
      </c>
      <c r="D76" s="66" t="s">
        <v>204</v>
      </c>
      <c r="E76" s="64">
        <v>1</v>
      </c>
      <c r="F76" s="63">
        <v>0.00099207</v>
      </c>
      <c r="G76" s="64">
        <v>1</v>
      </c>
      <c r="H76" s="63">
        <v>0.0009964792</v>
      </c>
      <c r="I76" s="64">
        <v>1</v>
      </c>
      <c r="J76" s="63">
        <v>0.0011287552</v>
      </c>
      <c r="K76" s="64">
        <v>1</v>
      </c>
      <c r="L76" s="63">
        <v>0.0013911026</v>
      </c>
      <c r="M76" s="64"/>
      <c r="N76" s="64"/>
      <c r="O76" s="64"/>
      <c r="P76" s="64"/>
      <c r="Q76" s="64"/>
      <c r="R76" s="64"/>
      <c r="S76" s="64"/>
      <c r="T76" s="64"/>
      <c r="U76" s="64"/>
      <c r="V76" s="64">
        <v>0.4828074</v>
      </c>
      <c r="W76" s="64"/>
      <c r="X76" s="64">
        <v>0.4673752</v>
      </c>
      <c r="Y76" s="64"/>
      <c r="Z76" s="64">
        <v>0.6128788</v>
      </c>
      <c r="AA76" s="64"/>
      <c r="AB76" s="64">
        <v>0.2336876</v>
      </c>
      <c r="AC76" s="64"/>
      <c r="AD76" s="64"/>
      <c r="AE76" s="64"/>
      <c r="AF76" s="64"/>
      <c r="AG76" s="64"/>
      <c r="AH76" s="64"/>
      <c r="AI76" s="64"/>
      <c r="AJ76" s="64"/>
      <c r="AK76" s="64">
        <v>1</v>
      </c>
      <c r="AL76" s="64"/>
      <c r="AM76" s="64"/>
      <c r="AN76" s="64"/>
      <c r="AO76" s="64"/>
      <c r="AP76" s="64"/>
      <c r="AQ76" s="64"/>
      <c r="AR76" s="64"/>
      <c r="AS76" s="64"/>
      <c r="AT76" s="64">
        <v>0.0385805</v>
      </c>
      <c r="AU76" s="64"/>
      <c r="AV76" s="64">
        <v>0.03880096</v>
      </c>
      <c r="AW76" s="64">
        <v>1</v>
      </c>
      <c r="AX76" s="64">
        <v>0.02557336</v>
      </c>
      <c r="AY76" s="64">
        <v>1</v>
      </c>
      <c r="AZ76" s="64">
        <v>0.02557336</v>
      </c>
      <c r="BA76" s="64"/>
      <c r="BB76" s="64"/>
      <c r="BC76" s="64"/>
      <c r="BD76" s="64"/>
      <c r="BE76" s="64"/>
      <c r="BF76" s="64"/>
      <c r="BG76" s="64"/>
      <c r="BH76" s="64"/>
      <c r="BI76" s="64"/>
      <c r="BJ76" s="63">
        <v>0.00903886</v>
      </c>
      <c r="BK76" s="63"/>
      <c r="BL76" s="63">
        <v>0.009634102</v>
      </c>
      <c r="BM76" s="63"/>
      <c r="BN76" s="63">
        <v>0.0009634102</v>
      </c>
      <c r="BO76" s="63"/>
      <c r="BP76" s="63">
        <v>0.008575894</v>
      </c>
    </row>
    <row r="77" spans="1:68" ht="12.75">
      <c r="A77" s="66" t="s">
        <v>187</v>
      </c>
      <c r="B77" s="66" t="s">
        <v>105</v>
      </c>
      <c r="D77" s="66" t="s">
        <v>204</v>
      </c>
      <c r="E77" s="64"/>
      <c r="F77" s="63">
        <v>0.00892863</v>
      </c>
      <c r="G77" s="64"/>
      <c r="H77" s="63">
        <v>0.008465664</v>
      </c>
      <c r="I77" s="64"/>
      <c r="J77" s="63">
        <v>0.008465664</v>
      </c>
      <c r="K77" s="64"/>
      <c r="L77" s="63">
        <v>0.016710868</v>
      </c>
      <c r="M77" s="64"/>
      <c r="N77" s="64"/>
      <c r="O77" s="64"/>
      <c r="P77" s="64"/>
      <c r="Q77" s="64"/>
      <c r="R77" s="64"/>
      <c r="S77" s="64"/>
      <c r="T77" s="64"/>
      <c r="U77" s="64"/>
      <c r="V77" s="64">
        <v>2.491198</v>
      </c>
      <c r="W77" s="64"/>
      <c r="X77" s="64">
        <v>2.403014</v>
      </c>
      <c r="Y77" s="64"/>
      <c r="Z77" s="64">
        <v>1.851864</v>
      </c>
      <c r="AA77" s="64"/>
      <c r="AB77" s="64">
        <v>2.64552</v>
      </c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>
        <v>0.10295482</v>
      </c>
      <c r="AU77" s="64"/>
      <c r="AV77" s="64">
        <v>0.09060906</v>
      </c>
      <c r="AW77" s="64"/>
      <c r="AX77" s="64">
        <v>0.016556546</v>
      </c>
      <c r="AY77" s="64"/>
      <c r="AZ77" s="64">
        <v>0.05004442</v>
      </c>
      <c r="BA77" s="64"/>
      <c r="BB77" s="64"/>
      <c r="BC77" s="64"/>
      <c r="BD77" s="64"/>
      <c r="BE77" s="64"/>
      <c r="BF77" s="64"/>
      <c r="BG77" s="64"/>
      <c r="BH77" s="64"/>
      <c r="BI77" s="64"/>
      <c r="BJ77" s="63">
        <v>0.08024744</v>
      </c>
      <c r="BK77" s="63"/>
      <c r="BL77" s="63">
        <v>0.10119114</v>
      </c>
      <c r="BM77" s="63"/>
      <c r="BN77" s="63">
        <v>0.04144648</v>
      </c>
      <c r="BO77" s="63"/>
      <c r="BP77" s="63">
        <v>0.0903886</v>
      </c>
    </row>
    <row r="78" spans="1:68" ht="12.75">
      <c r="A78" s="66" t="s">
        <v>187</v>
      </c>
      <c r="B78" s="66" t="s">
        <v>107</v>
      </c>
      <c r="D78" s="66" t="s">
        <v>204</v>
      </c>
      <c r="E78" s="64">
        <v>1</v>
      </c>
      <c r="F78" s="63">
        <v>0.01488105</v>
      </c>
      <c r="G78" s="64">
        <v>1</v>
      </c>
      <c r="H78" s="63">
        <v>0.014947188</v>
      </c>
      <c r="I78" s="64">
        <v>1</v>
      </c>
      <c r="J78" s="63">
        <v>0.016909282</v>
      </c>
      <c r="K78" s="64">
        <v>1</v>
      </c>
      <c r="L78" s="63">
        <v>0.020877562</v>
      </c>
      <c r="M78" s="64"/>
      <c r="N78" s="64"/>
      <c r="O78" s="64"/>
      <c r="P78" s="64"/>
      <c r="Q78" s="64"/>
      <c r="R78" s="64"/>
      <c r="S78" s="64"/>
      <c r="T78" s="64"/>
      <c r="U78" s="64"/>
      <c r="V78" s="64">
        <v>37.91912</v>
      </c>
      <c r="W78" s="64"/>
      <c r="X78" s="64">
        <v>39.46234</v>
      </c>
      <c r="Y78" s="64"/>
      <c r="Z78" s="64">
        <v>39.90326</v>
      </c>
      <c r="AA78" s="64"/>
      <c r="AB78" s="64">
        <v>31.9667</v>
      </c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>
        <v>1.1309598</v>
      </c>
      <c r="AU78" s="64"/>
      <c r="AV78" s="64">
        <v>0.1036162</v>
      </c>
      <c r="AW78" s="64"/>
      <c r="AX78" s="64">
        <v>0.8531802</v>
      </c>
      <c r="AY78" s="64"/>
      <c r="AZ78" s="64">
        <v>0.9237274</v>
      </c>
      <c r="BA78" s="64"/>
      <c r="BB78" s="64"/>
      <c r="BC78" s="64"/>
      <c r="BD78" s="64"/>
      <c r="BE78" s="64"/>
      <c r="BF78" s="64"/>
      <c r="BG78" s="64"/>
      <c r="BH78" s="64"/>
      <c r="BI78" s="64"/>
      <c r="BJ78" s="63">
        <v>2.75575</v>
      </c>
      <c r="BK78" s="63"/>
      <c r="BL78" s="63">
        <v>3.813958</v>
      </c>
      <c r="BM78" s="63"/>
      <c r="BN78" s="63">
        <v>7.958606</v>
      </c>
      <c r="BO78" s="63"/>
      <c r="BP78" s="63">
        <v>3.328946</v>
      </c>
    </row>
    <row r="79" spans="1:68" ht="12.75">
      <c r="A79" s="66" t="s">
        <v>187</v>
      </c>
      <c r="B79" s="66" t="s">
        <v>197</v>
      </c>
      <c r="D79" s="66" t="s">
        <v>204</v>
      </c>
      <c r="E79" s="64"/>
      <c r="F79" s="63">
        <v>0.20326412</v>
      </c>
      <c r="G79" s="64"/>
      <c r="H79" s="63">
        <v>0.03924188</v>
      </c>
      <c r="I79" s="64"/>
      <c r="J79" s="63">
        <v>0.04916258</v>
      </c>
      <c r="K79" s="64"/>
      <c r="L79" s="63">
        <v>0.05158764</v>
      </c>
      <c r="M79" s="64"/>
      <c r="N79" s="64"/>
      <c r="O79" s="64"/>
      <c r="P79" s="64"/>
      <c r="Q79" s="64"/>
      <c r="R79" s="64"/>
      <c r="S79" s="64"/>
      <c r="T79" s="64"/>
      <c r="U79" s="64"/>
      <c r="V79" s="64">
        <v>0.4100556</v>
      </c>
      <c r="W79" s="64"/>
      <c r="X79" s="64">
        <v>2.711658</v>
      </c>
      <c r="Y79" s="64"/>
      <c r="Z79" s="64">
        <v>2.0657102</v>
      </c>
      <c r="AA79" s="64"/>
      <c r="AB79" s="64">
        <v>0.628311</v>
      </c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>
        <v>0.3593498</v>
      </c>
      <c r="AU79" s="64"/>
      <c r="AV79" s="64">
        <v>0.3108486</v>
      </c>
      <c r="AW79" s="64"/>
      <c r="AX79" s="64">
        <v>0.2799842</v>
      </c>
      <c r="AY79" s="64"/>
      <c r="AZ79" s="64">
        <v>0.3461222</v>
      </c>
      <c r="BA79" s="64"/>
      <c r="BB79" s="64"/>
      <c r="BC79" s="64"/>
      <c r="BD79" s="64"/>
      <c r="BE79" s="64"/>
      <c r="BF79" s="64"/>
      <c r="BG79" s="64"/>
      <c r="BH79" s="64"/>
      <c r="BI79" s="64"/>
      <c r="BJ79" s="63">
        <v>1.455036</v>
      </c>
      <c r="BK79" s="63"/>
      <c r="BL79" s="63">
        <v>1.4947188</v>
      </c>
      <c r="BM79" s="63"/>
      <c r="BN79" s="63">
        <v>3.174624</v>
      </c>
      <c r="BO79" s="63"/>
      <c r="BP79" s="63">
        <v>1.9047744</v>
      </c>
    </row>
    <row r="80" spans="1:68" ht="12.75">
      <c r="A80" s="66" t="s">
        <v>187</v>
      </c>
      <c r="B80" s="66" t="s">
        <v>103</v>
      </c>
      <c r="D80" s="66" t="s">
        <v>204</v>
      </c>
      <c r="E80" s="64"/>
      <c r="F80" s="63">
        <v>0.02623474</v>
      </c>
      <c r="G80" s="64"/>
      <c r="H80" s="63">
        <v>0.014947188</v>
      </c>
      <c r="I80" s="64"/>
      <c r="J80" s="63">
        <v>0.02358922</v>
      </c>
      <c r="K80" s="64"/>
      <c r="L80" s="63">
        <v>0.02711658</v>
      </c>
      <c r="M80" s="64"/>
      <c r="N80" s="64"/>
      <c r="O80" s="64"/>
      <c r="P80" s="64"/>
      <c r="Q80" s="64"/>
      <c r="R80" s="64"/>
      <c r="S80" s="64"/>
      <c r="T80" s="64"/>
      <c r="U80" s="64"/>
      <c r="V80" s="64">
        <v>46.51706</v>
      </c>
      <c r="W80" s="64"/>
      <c r="X80" s="64">
        <v>52.24902</v>
      </c>
      <c r="Y80" s="64"/>
      <c r="Z80" s="64">
        <v>51.58764</v>
      </c>
      <c r="AA80" s="64"/>
      <c r="AB80" s="64">
        <v>41.44648</v>
      </c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>
        <v>0.14153532</v>
      </c>
      <c r="AU80" s="64"/>
      <c r="AV80" s="64">
        <v>0.16843144</v>
      </c>
      <c r="AW80" s="64"/>
      <c r="AX80" s="64">
        <v>0.2292784</v>
      </c>
      <c r="AY80" s="64"/>
      <c r="AZ80" s="64">
        <v>0.17945444</v>
      </c>
      <c r="BA80" s="64"/>
      <c r="BB80" s="64"/>
      <c r="BC80" s="64"/>
      <c r="BD80" s="64"/>
      <c r="BE80" s="64"/>
      <c r="BF80" s="64"/>
      <c r="BG80" s="64"/>
      <c r="BH80" s="64"/>
      <c r="BI80" s="64"/>
      <c r="BJ80" s="63">
        <v>1.1045046</v>
      </c>
      <c r="BK80" s="63"/>
      <c r="BL80" s="63">
        <v>0.914909</v>
      </c>
      <c r="BM80" s="63"/>
      <c r="BN80" s="63">
        <v>13.249646</v>
      </c>
      <c r="BO80" s="63"/>
      <c r="BP80" s="63">
        <v>1.190484</v>
      </c>
    </row>
    <row r="81" spans="1:68" ht="12.75">
      <c r="A81" s="66" t="s">
        <v>187</v>
      </c>
      <c r="B81" s="66" t="s">
        <v>111</v>
      </c>
      <c r="D81" s="66" t="s">
        <v>204</v>
      </c>
      <c r="E81" s="64"/>
      <c r="F81" s="63">
        <v>0.0018342272</v>
      </c>
      <c r="G81" s="64"/>
      <c r="H81" s="63">
        <v>0.0016931328</v>
      </c>
      <c r="I81" s="64"/>
      <c r="J81" s="63">
        <v>0.0016358132</v>
      </c>
      <c r="K81" s="64"/>
      <c r="L81" s="63">
        <v>0.002932118</v>
      </c>
      <c r="M81" s="64"/>
      <c r="N81" s="64"/>
      <c r="O81" s="64"/>
      <c r="P81" s="64"/>
      <c r="Q81" s="64"/>
      <c r="R81" s="64"/>
      <c r="S81" s="64"/>
      <c r="T81" s="64"/>
      <c r="U81" s="64"/>
      <c r="V81" s="64">
        <v>0.002910072</v>
      </c>
      <c r="W81" s="64"/>
      <c r="X81" s="64">
        <v>0.004938304</v>
      </c>
      <c r="Y81" s="64"/>
      <c r="Z81" s="64">
        <v>0.004585568</v>
      </c>
      <c r="AA81" s="64"/>
      <c r="AB81" s="64">
        <v>0.003990326</v>
      </c>
      <c r="AC81" s="64"/>
      <c r="AD81" s="64"/>
      <c r="AE81" s="64"/>
      <c r="AF81" s="64"/>
      <c r="AG81" s="64"/>
      <c r="AH81" s="64"/>
      <c r="AI81" s="64"/>
      <c r="AJ81" s="64"/>
      <c r="AK81" s="64">
        <v>1</v>
      </c>
      <c r="AL81" s="64"/>
      <c r="AM81" s="64"/>
      <c r="AN81" s="64"/>
      <c r="AO81" s="64"/>
      <c r="AP81" s="64"/>
      <c r="AQ81" s="64"/>
      <c r="AR81" s="64"/>
      <c r="AS81" s="64"/>
      <c r="AT81" s="64">
        <v>0.002579382</v>
      </c>
      <c r="AU81" s="64">
        <v>1</v>
      </c>
      <c r="AV81" s="64">
        <v>0.002601428</v>
      </c>
      <c r="AW81" s="64">
        <v>1</v>
      </c>
      <c r="AX81" s="64">
        <v>0.002557336</v>
      </c>
      <c r="AY81" s="64">
        <v>1</v>
      </c>
      <c r="AZ81" s="64">
        <v>0.002557336</v>
      </c>
      <c r="BA81" s="64"/>
      <c r="BB81" s="64"/>
      <c r="BC81" s="64"/>
      <c r="BD81" s="64"/>
      <c r="BE81" s="64"/>
      <c r="BF81" s="64"/>
      <c r="BG81" s="64"/>
      <c r="BH81" s="64"/>
      <c r="BI81" s="64"/>
      <c r="BJ81" s="63">
        <v>0.017570662</v>
      </c>
      <c r="BK81" s="63"/>
      <c r="BL81" s="63">
        <v>0.0275575</v>
      </c>
      <c r="BM81" s="63"/>
      <c r="BN81" s="63">
        <v>0.012059162</v>
      </c>
      <c r="BO81" s="63"/>
      <c r="BP81" s="63">
        <v>0.03703728</v>
      </c>
    </row>
    <row r="82" spans="1:68" ht="12.75">
      <c r="A82" s="66" t="s">
        <v>187</v>
      </c>
      <c r="B82" s="66" t="s">
        <v>104</v>
      </c>
      <c r="D82" s="66" t="s">
        <v>204</v>
      </c>
      <c r="E82" s="64"/>
      <c r="F82" s="63">
        <v>0.3659636</v>
      </c>
      <c r="G82" s="64"/>
      <c r="H82" s="63">
        <v>0.3483268</v>
      </c>
      <c r="I82" s="64"/>
      <c r="J82" s="63">
        <v>0.3505314</v>
      </c>
      <c r="K82" s="64"/>
      <c r="L82" s="63">
        <v>0.6966536</v>
      </c>
      <c r="M82" s="64"/>
      <c r="N82" s="64"/>
      <c r="O82" s="64"/>
      <c r="P82" s="64"/>
      <c r="Q82" s="64"/>
      <c r="R82" s="64"/>
      <c r="S82" s="64"/>
      <c r="T82" s="64"/>
      <c r="U82" s="64"/>
      <c r="V82" s="64">
        <v>0.03615544</v>
      </c>
      <c r="W82" s="64"/>
      <c r="X82" s="64">
        <v>0.1355829</v>
      </c>
      <c r="Y82" s="64"/>
      <c r="Z82" s="64">
        <v>0.286598</v>
      </c>
      <c r="AA82" s="64"/>
      <c r="AB82" s="64">
        <v>0.05709914</v>
      </c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>
        <v>1.2852818</v>
      </c>
      <c r="AU82" s="64"/>
      <c r="AV82" s="64">
        <v>2.0745286</v>
      </c>
      <c r="AW82" s="64"/>
      <c r="AX82" s="64">
        <v>1.6556546</v>
      </c>
      <c r="AY82" s="64"/>
      <c r="AZ82" s="64">
        <v>1.6666776</v>
      </c>
      <c r="BA82" s="64"/>
      <c r="BB82" s="64"/>
      <c r="BC82" s="64"/>
      <c r="BD82" s="64"/>
      <c r="BE82" s="64"/>
      <c r="BF82" s="64"/>
      <c r="BG82" s="64"/>
      <c r="BH82" s="64"/>
      <c r="BI82" s="64"/>
      <c r="BJ82" s="63">
        <v>0.18562732</v>
      </c>
      <c r="BK82" s="63"/>
      <c r="BL82" s="63">
        <v>0.2403014</v>
      </c>
      <c r="BM82" s="63"/>
      <c r="BN82" s="63">
        <v>0.1686519</v>
      </c>
      <c r="BO82" s="63"/>
      <c r="BP82" s="63">
        <v>0.2623474</v>
      </c>
    </row>
    <row r="83" spans="1:68" ht="12.75">
      <c r="A83" s="66" t="s">
        <v>187</v>
      </c>
      <c r="B83" s="66" t="s">
        <v>106</v>
      </c>
      <c r="D83" s="66" t="s">
        <v>204</v>
      </c>
      <c r="E83" s="64">
        <v>1</v>
      </c>
      <c r="F83" s="63">
        <v>0.0002469152</v>
      </c>
      <c r="G83" s="64">
        <v>1</v>
      </c>
      <c r="H83" s="63">
        <v>0.0002491198</v>
      </c>
      <c r="I83" s="64">
        <v>1</v>
      </c>
      <c r="J83" s="63">
        <v>0.0002821888</v>
      </c>
      <c r="K83" s="64">
        <v>1</v>
      </c>
      <c r="L83" s="63">
        <v>0.0003483268</v>
      </c>
      <c r="M83" s="64"/>
      <c r="N83" s="64"/>
      <c r="O83" s="64"/>
      <c r="P83" s="64"/>
      <c r="Q83" s="64"/>
      <c r="R83" s="64"/>
      <c r="S83" s="64"/>
      <c r="T83" s="64"/>
      <c r="U83" s="64"/>
      <c r="V83" s="64">
        <v>0.00892863</v>
      </c>
      <c r="W83" s="64"/>
      <c r="X83" s="64">
        <v>0.005048534</v>
      </c>
      <c r="Y83" s="64"/>
      <c r="Z83" s="64">
        <v>0.003681682</v>
      </c>
      <c r="AA83" s="64"/>
      <c r="AB83" s="64">
        <v>0.010273436</v>
      </c>
      <c r="AC83" s="64"/>
      <c r="AD83" s="64"/>
      <c r="AE83" s="64"/>
      <c r="AF83" s="64"/>
      <c r="AG83" s="64"/>
      <c r="AH83" s="64"/>
      <c r="AI83" s="64"/>
      <c r="AJ83" s="64"/>
      <c r="AK83" s="64">
        <v>1</v>
      </c>
      <c r="AL83" s="64"/>
      <c r="AM83" s="64"/>
      <c r="AN83" s="64"/>
      <c r="AO83" s="64"/>
      <c r="AP83" s="64"/>
      <c r="AQ83" s="64"/>
      <c r="AR83" s="64"/>
      <c r="AS83" s="64"/>
      <c r="AT83" s="64">
        <v>0.006437432</v>
      </c>
      <c r="AU83" s="64"/>
      <c r="AV83" s="64">
        <v>0.00518081</v>
      </c>
      <c r="AW83" s="64">
        <v>1</v>
      </c>
      <c r="AX83" s="64">
        <v>0.005092626</v>
      </c>
      <c r="AY83" s="64">
        <v>1</v>
      </c>
      <c r="AZ83" s="64">
        <v>0.005136718</v>
      </c>
      <c r="BA83" s="64"/>
      <c r="BB83" s="64"/>
      <c r="BC83" s="64"/>
      <c r="BD83" s="64"/>
      <c r="BE83" s="64"/>
      <c r="BF83" s="64"/>
      <c r="BG83" s="64"/>
      <c r="BH83" s="64"/>
      <c r="BI83" s="64"/>
      <c r="BJ83" s="63">
        <v>0.01003093</v>
      </c>
      <c r="BK83" s="63"/>
      <c r="BL83" s="63">
        <v>0.009634102</v>
      </c>
      <c r="BM83" s="63"/>
      <c r="BN83" s="63">
        <v>0.003902142</v>
      </c>
      <c r="BO83" s="63"/>
      <c r="BP83" s="63">
        <v>0.012367806</v>
      </c>
    </row>
    <row r="84" spans="1:68" ht="12.75">
      <c r="A84" s="66" t="s">
        <v>187</v>
      </c>
      <c r="B84" s="66" t="s">
        <v>101</v>
      </c>
      <c r="D84" s="66" t="s">
        <v>204</v>
      </c>
      <c r="E84" s="64"/>
      <c r="F84" s="63">
        <v>0.00198414</v>
      </c>
      <c r="G84" s="64"/>
      <c r="H84" s="63">
        <v>0.0014947188</v>
      </c>
      <c r="I84" s="64"/>
      <c r="J84" s="63">
        <v>0.0016909282</v>
      </c>
      <c r="K84" s="64"/>
      <c r="L84" s="63">
        <v>0.002777796</v>
      </c>
      <c r="M84" s="64"/>
      <c r="N84" s="64"/>
      <c r="O84" s="64"/>
      <c r="P84" s="64"/>
      <c r="Q84" s="64"/>
      <c r="R84" s="64"/>
      <c r="S84" s="64"/>
      <c r="T84" s="64"/>
      <c r="U84" s="64"/>
      <c r="V84" s="64">
        <v>0.0012081208</v>
      </c>
      <c r="W84" s="64"/>
      <c r="X84" s="64">
        <v>0.0012323714</v>
      </c>
      <c r="Y84" s="64"/>
      <c r="Z84" s="64">
        <v>0.0011485966</v>
      </c>
      <c r="AA84" s="64"/>
      <c r="AB84" s="64">
        <v>0.0011419828</v>
      </c>
      <c r="AC84" s="64"/>
      <c r="AD84" s="64"/>
      <c r="AE84" s="64"/>
      <c r="AF84" s="64"/>
      <c r="AG84" s="64"/>
      <c r="AH84" s="64"/>
      <c r="AI84" s="64"/>
      <c r="AJ84" s="64"/>
      <c r="AK84" s="64">
        <v>1</v>
      </c>
      <c r="AL84" s="64"/>
      <c r="AM84" s="64"/>
      <c r="AN84" s="64"/>
      <c r="AO84" s="64"/>
      <c r="AP84" s="64"/>
      <c r="AQ84" s="64"/>
      <c r="AR84" s="64"/>
      <c r="AS84" s="64"/>
      <c r="AT84" s="64">
        <v>0.012852818</v>
      </c>
      <c r="AU84" s="64">
        <v>1</v>
      </c>
      <c r="AV84" s="64">
        <v>0.012963048</v>
      </c>
      <c r="AW84" s="64">
        <v>1</v>
      </c>
      <c r="AX84" s="64">
        <v>0.012742588</v>
      </c>
      <c r="AY84" s="64">
        <v>1</v>
      </c>
      <c r="AZ84" s="64">
        <v>0.012830772</v>
      </c>
      <c r="BA84" s="64"/>
      <c r="BB84" s="64"/>
      <c r="BC84" s="64"/>
      <c r="BD84" s="64"/>
      <c r="BE84" s="64"/>
      <c r="BF84" s="64"/>
      <c r="BG84" s="64"/>
      <c r="BH84" s="64"/>
      <c r="BI84" s="64"/>
      <c r="BJ84" s="63">
        <v>0.0005026488</v>
      </c>
      <c r="BK84" s="63"/>
      <c r="BL84" s="63">
        <v>0.001929025</v>
      </c>
      <c r="BM84" s="63"/>
      <c r="BN84" s="63">
        <v>0.0004828074</v>
      </c>
      <c r="BO84" s="63"/>
      <c r="BP84" s="63">
        <v>0.0004761936</v>
      </c>
    </row>
    <row r="85" spans="1:68" ht="12.75">
      <c r="A85" s="66" t="s">
        <v>187</v>
      </c>
      <c r="B85" s="66" t="s">
        <v>146</v>
      </c>
      <c r="D85" s="66" t="s">
        <v>204</v>
      </c>
      <c r="E85" s="64"/>
      <c r="F85" s="63">
        <v>0.2182554</v>
      </c>
      <c r="G85" s="64"/>
      <c r="H85" s="63">
        <v>0.1245599</v>
      </c>
      <c r="I85" s="64"/>
      <c r="J85" s="63">
        <v>0.15233786</v>
      </c>
      <c r="K85" s="64"/>
      <c r="L85" s="63">
        <v>0.13911026</v>
      </c>
      <c r="M85" s="64"/>
      <c r="N85" s="64"/>
      <c r="O85" s="64"/>
      <c r="P85" s="64"/>
      <c r="Q85" s="64"/>
      <c r="R85" s="64"/>
      <c r="S85" s="64"/>
      <c r="T85" s="64"/>
      <c r="U85" s="64"/>
      <c r="V85" s="64">
        <v>3.373038</v>
      </c>
      <c r="W85" s="64"/>
      <c r="X85" s="64">
        <v>6.768122</v>
      </c>
      <c r="Y85" s="64"/>
      <c r="Z85" s="64">
        <v>7.231088</v>
      </c>
      <c r="AA85" s="64"/>
      <c r="AB85" s="64">
        <v>2.403014</v>
      </c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>
        <v>1.8011582</v>
      </c>
      <c r="AU85" s="64"/>
      <c r="AV85" s="64">
        <v>1.554243</v>
      </c>
      <c r="AW85" s="64"/>
      <c r="AX85" s="64">
        <v>1.5277878</v>
      </c>
      <c r="AY85" s="64"/>
      <c r="AZ85" s="64">
        <v>1.5388108</v>
      </c>
      <c r="BA85" s="64"/>
      <c r="BB85" s="64"/>
      <c r="BC85" s="64"/>
      <c r="BD85" s="64"/>
      <c r="BE85" s="64"/>
      <c r="BF85" s="64"/>
      <c r="BG85" s="64"/>
      <c r="BH85" s="64"/>
      <c r="BI85" s="64"/>
      <c r="BJ85" s="63">
        <v>1.069231</v>
      </c>
      <c r="BK85" s="63"/>
      <c r="BL85" s="63">
        <v>1.2059162</v>
      </c>
      <c r="BM85" s="63"/>
      <c r="BN85" s="63">
        <v>1.0317528</v>
      </c>
      <c r="BO85" s="63"/>
      <c r="BP85" s="63">
        <v>1.5233786</v>
      </c>
    </row>
    <row r="86" spans="5:68" ht="12.75"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</row>
    <row r="87" spans="2:78" ht="12.75">
      <c r="B87" s="66" t="s">
        <v>207</v>
      </c>
      <c r="E87" s="64"/>
      <c r="F87" s="64">
        <f>'emiss 2'!$G$105</f>
        <v>64175.4</v>
      </c>
      <c r="G87" s="64"/>
      <c r="H87" s="64">
        <f>'emiss 2'!$I$105</f>
        <v>69541</v>
      </c>
      <c r="I87" s="64"/>
      <c r="J87" s="64">
        <f>'emiss 2'!$K$105</f>
        <v>69329.2</v>
      </c>
      <c r="K87" s="64"/>
      <c r="L87" s="64">
        <f>'emiss 2'!$M$105</f>
        <v>80872.3</v>
      </c>
      <c r="M87" s="64"/>
      <c r="N87" s="64">
        <f>'emiss 2'!$G$105</f>
        <v>64175.4</v>
      </c>
      <c r="O87" s="64"/>
      <c r="P87" s="64">
        <f>'emiss 2'!$I$105</f>
        <v>69541</v>
      </c>
      <c r="Q87" s="64"/>
      <c r="R87" s="64">
        <f>'emiss 2'!$K$105</f>
        <v>69329.2</v>
      </c>
      <c r="S87" s="64"/>
      <c r="T87" s="64">
        <f>'emiss 2'!$M$105</f>
        <v>80872.3</v>
      </c>
      <c r="U87" s="64"/>
      <c r="V87" s="64">
        <f>'emiss 2'!$G$105</f>
        <v>64175.4</v>
      </c>
      <c r="W87" s="64"/>
      <c r="X87" s="64">
        <f>'emiss 2'!$I$105</f>
        <v>69541</v>
      </c>
      <c r="Y87" s="64"/>
      <c r="Z87" s="64">
        <f>'emiss 2'!$K$105</f>
        <v>69329.2</v>
      </c>
      <c r="AA87" s="64"/>
      <c r="AB87" s="64">
        <f>'emiss 2'!$M$105</f>
        <v>80872.3</v>
      </c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>
        <f>'emiss 2'!$G$105</f>
        <v>64175.4</v>
      </c>
      <c r="AU87" s="64"/>
      <c r="AV87" s="64">
        <f>'emiss 2'!$I$105</f>
        <v>69541</v>
      </c>
      <c r="AW87" s="64"/>
      <c r="AX87" s="64">
        <f>'emiss 2'!$K$105</f>
        <v>69329.2</v>
      </c>
      <c r="AY87" s="64"/>
      <c r="AZ87" s="64">
        <f>'emiss 2'!$M$105</f>
        <v>80872.3</v>
      </c>
      <c r="BA87" s="64"/>
      <c r="BB87" s="64">
        <f>'emiss 2'!$G$105</f>
        <v>64175.4</v>
      </c>
      <c r="BC87" s="64"/>
      <c r="BD87" s="64">
        <f>'emiss 2'!$I$105</f>
        <v>69541</v>
      </c>
      <c r="BE87" s="64"/>
      <c r="BF87" s="64">
        <f>'emiss 2'!$K$105</f>
        <v>69329.2</v>
      </c>
      <c r="BG87" s="64"/>
      <c r="BH87" s="64">
        <f>'emiss 2'!$M$105</f>
        <v>80872.3</v>
      </c>
      <c r="BI87" s="64"/>
      <c r="BJ87" s="64">
        <f>'emiss 2'!$G$105</f>
        <v>64175.4</v>
      </c>
      <c r="BK87" s="64"/>
      <c r="BL87" s="64">
        <f>'emiss 2'!$I$105</f>
        <v>69541</v>
      </c>
      <c r="BM87" s="64"/>
      <c r="BN87" s="64">
        <f>'emiss 2'!$K$105</f>
        <v>69329.2</v>
      </c>
      <c r="BO87" s="64"/>
      <c r="BP87" s="64">
        <f>'emiss 2'!$M$105</f>
        <v>80872.3</v>
      </c>
      <c r="BR87" s="66">
        <f>BJ87</f>
        <v>64175.4</v>
      </c>
      <c r="BT87" s="66">
        <f>BL87</f>
        <v>69541</v>
      </c>
      <c r="BV87" s="66">
        <f>BN87</f>
        <v>69329.2</v>
      </c>
      <c r="BX87" s="66">
        <f>BP87</f>
        <v>80872.3</v>
      </c>
      <c r="BZ87" s="66">
        <f>AVERAGE(BR87,BT87,BV87,BX87)</f>
        <v>70979.47499999999</v>
      </c>
    </row>
    <row r="88" spans="2:78" ht="12.75">
      <c r="B88" s="66" t="s">
        <v>72</v>
      </c>
      <c r="E88" s="64"/>
      <c r="F88" s="68">
        <f>'emiss 2'!$G$106</f>
        <v>6.627272727272728</v>
      </c>
      <c r="G88" s="68"/>
      <c r="H88" s="68">
        <f>'emiss 2'!$I$106</f>
        <v>6.627272727272728</v>
      </c>
      <c r="I88" s="68"/>
      <c r="J88" s="68">
        <f>'emiss 2'!$K$106</f>
        <v>6.627272727272728</v>
      </c>
      <c r="K88" s="68"/>
      <c r="L88" s="68">
        <f>'emiss 2'!$M$106</f>
        <v>6.627272727272728</v>
      </c>
      <c r="M88" s="68"/>
      <c r="N88" s="68">
        <f>'emiss 2'!$G$106</f>
        <v>6.627272727272728</v>
      </c>
      <c r="O88" s="68"/>
      <c r="P88" s="68">
        <f>'emiss 2'!$I$106</f>
        <v>6.627272727272728</v>
      </c>
      <c r="Q88" s="68"/>
      <c r="R88" s="68">
        <f>'emiss 2'!$K$106</f>
        <v>6.627272727272728</v>
      </c>
      <c r="S88" s="68"/>
      <c r="T88" s="68">
        <f>'emiss 2'!$M$106</f>
        <v>6.627272727272728</v>
      </c>
      <c r="U88" s="68"/>
      <c r="V88" s="68">
        <f>'emiss 2'!$G$106</f>
        <v>6.627272727272728</v>
      </c>
      <c r="W88" s="68"/>
      <c r="X88" s="68">
        <f>'emiss 2'!$I$106</f>
        <v>6.627272727272728</v>
      </c>
      <c r="Y88" s="68"/>
      <c r="Z88" s="68">
        <f>'emiss 2'!$K$106</f>
        <v>6.627272727272728</v>
      </c>
      <c r="AA88" s="68"/>
      <c r="AB88" s="68">
        <f>'emiss 2'!$M$106</f>
        <v>6.627272727272728</v>
      </c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>
        <f>'emiss 2'!$G$106</f>
        <v>6.627272727272728</v>
      </c>
      <c r="AU88" s="68"/>
      <c r="AV88" s="68">
        <f>'emiss 2'!$I$106</f>
        <v>6.627272727272728</v>
      </c>
      <c r="AW88" s="68"/>
      <c r="AX88" s="68">
        <f>'emiss 2'!$K$106</f>
        <v>6.627272727272728</v>
      </c>
      <c r="AY88" s="68"/>
      <c r="AZ88" s="68">
        <f>'emiss 2'!$M$106</f>
        <v>6.627272727272728</v>
      </c>
      <c r="BA88" s="68"/>
      <c r="BB88" s="68">
        <f>'emiss 2'!$G$106</f>
        <v>6.627272727272728</v>
      </c>
      <c r="BC88" s="68"/>
      <c r="BD88" s="68">
        <f>'emiss 2'!$I$106</f>
        <v>6.627272727272728</v>
      </c>
      <c r="BE88" s="68"/>
      <c r="BF88" s="68">
        <f>'emiss 2'!$K$106</f>
        <v>6.627272727272728</v>
      </c>
      <c r="BG88" s="68"/>
      <c r="BH88" s="68">
        <f>'emiss 2'!$M$106</f>
        <v>6.627272727272728</v>
      </c>
      <c r="BI88" s="68"/>
      <c r="BJ88" s="68">
        <f>'emiss 2'!$G$106</f>
        <v>6.627272727272728</v>
      </c>
      <c r="BK88" s="68"/>
      <c r="BL88" s="68">
        <f>'emiss 2'!$I$106</f>
        <v>6.627272727272728</v>
      </c>
      <c r="BM88" s="68"/>
      <c r="BN88" s="68">
        <f>'emiss 2'!$K$106</f>
        <v>6.627272727272728</v>
      </c>
      <c r="BO88" s="68"/>
      <c r="BP88" s="68">
        <f>'emiss 2'!$M$106</f>
        <v>6.627272727272728</v>
      </c>
      <c r="BQ88" s="68"/>
      <c r="BR88" s="68">
        <f>BJ88</f>
        <v>6.627272727272728</v>
      </c>
      <c r="BS88" s="68"/>
      <c r="BT88" s="68">
        <f>BL88</f>
        <v>6.627272727272728</v>
      </c>
      <c r="BU88" s="68"/>
      <c r="BV88" s="68">
        <f>BN88</f>
        <v>6.627272727272728</v>
      </c>
      <c r="BW88" s="68"/>
      <c r="BX88" s="68">
        <f>BP88</f>
        <v>6.627272727272728</v>
      </c>
      <c r="BY88" s="68"/>
      <c r="BZ88" s="68">
        <f>AVERAGE(BR88,BT88,BV88,BX88)</f>
        <v>6.627272727272728</v>
      </c>
    </row>
    <row r="89" spans="5:68" ht="12.75">
      <c r="E89" s="64"/>
      <c r="F89" s="70"/>
      <c r="G89" s="64"/>
      <c r="H89" s="70"/>
      <c r="I89" s="64"/>
      <c r="J89" s="70"/>
      <c r="K89" s="64"/>
      <c r="L89" s="70"/>
      <c r="M89" s="64"/>
      <c r="N89" s="70"/>
      <c r="O89" s="64"/>
      <c r="P89" s="70"/>
      <c r="Q89" s="64"/>
      <c r="R89" s="70"/>
      <c r="S89" s="64"/>
      <c r="T89" s="70"/>
      <c r="U89" s="64"/>
      <c r="V89" s="70"/>
      <c r="W89" s="64"/>
      <c r="X89" s="70"/>
      <c r="Y89" s="64"/>
      <c r="Z89" s="70"/>
      <c r="AA89" s="64"/>
      <c r="AB89" s="70"/>
      <c r="AC89" s="70"/>
      <c r="AD89" s="70"/>
      <c r="AE89" s="70"/>
      <c r="AF89" s="70"/>
      <c r="AG89" s="70"/>
      <c r="AH89" s="70"/>
      <c r="AI89" s="70"/>
      <c r="AJ89" s="70"/>
      <c r="AK89" s="64"/>
      <c r="AL89" s="70"/>
      <c r="AM89" s="64"/>
      <c r="AN89" s="70"/>
      <c r="AO89" s="64"/>
      <c r="AP89" s="70"/>
      <c r="AQ89" s="64"/>
      <c r="AR89" s="70"/>
      <c r="AS89" s="64"/>
      <c r="AT89" s="70"/>
      <c r="AU89" s="64"/>
      <c r="AV89" s="70"/>
      <c r="AW89" s="64"/>
      <c r="AX89" s="70"/>
      <c r="AY89" s="64"/>
      <c r="AZ89" s="70"/>
      <c r="BA89" s="64"/>
      <c r="BB89" s="70"/>
      <c r="BC89" s="64"/>
      <c r="BD89" s="70"/>
      <c r="BE89" s="64"/>
      <c r="BF89" s="70"/>
      <c r="BG89" s="64"/>
      <c r="BH89" s="70"/>
      <c r="BI89" s="64"/>
      <c r="BJ89" s="70"/>
      <c r="BK89" s="64"/>
      <c r="BL89" s="70"/>
      <c r="BM89" s="64"/>
      <c r="BN89" s="70"/>
      <c r="BO89" s="64"/>
      <c r="BP89" s="70"/>
    </row>
    <row r="90" spans="2:78" ht="12.75">
      <c r="B90" s="29" t="s">
        <v>110</v>
      </c>
      <c r="C90" s="29"/>
      <c r="D90" s="29" t="s">
        <v>180</v>
      </c>
      <c r="E90" s="64"/>
      <c r="F90" s="70">
        <f>F70*F71/1000000</f>
        <v>51.203235132404956</v>
      </c>
      <c r="G90" s="64"/>
      <c r="H90" s="70">
        <f>H70*H71/1000000</f>
        <v>51.40969979019691</v>
      </c>
      <c r="I90" s="64"/>
      <c r="J90" s="70">
        <f>J70*J71/1000000</f>
        <v>58.22303349733144</v>
      </c>
      <c r="K90" s="64"/>
      <c r="L90" s="70">
        <f>L70*L71/1000000</f>
        <v>71.84970091160051</v>
      </c>
      <c r="M90" s="64"/>
      <c r="N90" s="70"/>
      <c r="O90" s="64"/>
      <c r="P90" s="70"/>
      <c r="Q90" s="64"/>
      <c r="R90" s="70"/>
      <c r="S90" s="64"/>
      <c r="T90" s="70"/>
      <c r="U90" s="64"/>
      <c r="V90" s="70">
        <f>V70*V71/1000000</f>
        <v>206.568</v>
      </c>
      <c r="W90" s="64"/>
      <c r="X90" s="70">
        <f>X70*X71/1000000</f>
        <v>220.528</v>
      </c>
      <c r="Y90" s="64"/>
      <c r="Z90" s="70">
        <f>Z70*Z71/1000000</f>
        <v>192.864</v>
      </c>
      <c r="AA90" s="64"/>
      <c r="AB90" s="70">
        <f>AB70*AB71/1000000</f>
        <v>190.714</v>
      </c>
      <c r="AC90" s="70"/>
      <c r="AD90" s="70"/>
      <c r="AE90" s="70"/>
      <c r="AF90" s="70"/>
      <c r="AG90" s="70"/>
      <c r="AH90" s="70"/>
      <c r="AI90" s="70"/>
      <c r="AJ90" s="70"/>
      <c r="AK90" s="64"/>
      <c r="AL90" s="69">
        <f>N90+V90+AD90+BB90</f>
        <v>393.56640000000004</v>
      </c>
      <c r="AM90" s="64"/>
      <c r="AN90" s="69">
        <f>P90+X90+AF90+BD90</f>
        <v>380.52783999999997</v>
      </c>
      <c r="AO90" s="64"/>
      <c r="AP90" s="69">
        <f>R90+Z90+AH90+BF90</f>
        <v>366.86636</v>
      </c>
      <c r="AQ90" s="64"/>
      <c r="AR90" s="69">
        <f>T90+AB90+AJ90+BH90</f>
        <v>370.71604</v>
      </c>
      <c r="AS90" s="64"/>
      <c r="AT90" s="70"/>
      <c r="AU90" s="64"/>
      <c r="AV90" s="70"/>
      <c r="AW90" s="64"/>
      <c r="AX90" s="70"/>
      <c r="AY90" s="64"/>
      <c r="AZ90" s="70"/>
      <c r="BA90" s="64"/>
      <c r="BB90" s="70">
        <f>BB70*BB71/1000000</f>
        <v>186.9984</v>
      </c>
      <c r="BC90" s="64"/>
      <c r="BD90" s="70">
        <f>BD70*BD71/1000000</f>
        <v>159.99984</v>
      </c>
      <c r="BE90" s="64"/>
      <c r="BF90" s="70">
        <f>BF70*BF71/1000000</f>
        <v>174.00236</v>
      </c>
      <c r="BG90" s="64"/>
      <c r="BH90" s="70">
        <f>BH70*BH71/1000000</f>
        <v>180.00204</v>
      </c>
      <c r="BI90" s="64"/>
      <c r="BJ90" s="70">
        <f>BJ70*BJ71/1000000</f>
        <v>30.371</v>
      </c>
      <c r="BK90" s="64"/>
      <c r="BL90" s="70">
        <f>BL70*BL71/1000000</f>
        <v>33.5472</v>
      </c>
      <c r="BM90" s="64"/>
      <c r="BN90" s="70">
        <f>BN70*BN71/1000000</f>
        <v>23.7626</v>
      </c>
      <c r="BO90" s="64"/>
      <c r="BP90" s="70">
        <f>BP70*BP71/1000000</f>
        <v>28.1792</v>
      </c>
      <c r="BR90" s="69">
        <f aca="true" t="shared" si="30" ref="BR90:BX90">F90+N90+V90+AT90+BB90+BJ90</f>
        <v>475.14063513240495</v>
      </c>
      <c r="BT90" s="69">
        <f t="shared" si="30"/>
        <v>465.4847397901969</v>
      </c>
      <c r="BV90" s="69">
        <f t="shared" si="30"/>
        <v>448.8519934973315</v>
      </c>
      <c r="BX90" s="69">
        <f t="shared" si="30"/>
        <v>470.7449409116005</v>
      </c>
      <c r="BZ90" s="66">
        <f>AVERAGE(BR90,BT90,BV90,BX90)</f>
        <v>465.05557733288344</v>
      </c>
    </row>
    <row r="91" spans="2:78" ht="12.75">
      <c r="B91" s="29" t="s">
        <v>318</v>
      </c>
      <c r="C91" s="29"/>
      <c r="D91" s="29" t="s">
        <v>180</v>
      </c>
      <c r="E91" s="64"/>
      <c r="F91" s="70"/>
      <c r="G91" s="64"/>
      <c r="H91" s="70"/>
      <c r="I91" s="64"/>
      <c r="J91" s="70"/>
      <c r="K91" s="64"/>
      <c r="L91" s="70"/>
      <c r="M91" s="64"/>
      <c r="N91" s="70"/>
      <c r="O91" s="64"/>
      <c r="P91" s="70"/>
      <c r="Q91" s="64"/>
      <c r="R91" s="70"/>
      <c r="S91" s="64"/>
      <c r="T91" s="70"/>
      <c r="U91" s="64"/>
      <c r="V91" s="70"/>
      <c r="W91" s="64"/>
      <c r="X91" s="70"/>
      <c r="Y91" s="64"/>
      <c r="Z91" s="70"/>
      <c r="AA91" s="64"/>
      <c r="AB91" s="70"/>
      <c r="AC91" s="70"/>
      <c r="AD91" s="70"/>
      <c r="AE91" s="70"/>
      <c r="AF91" s="70"/>
      <c r="AG91" s="70"/>
      <c r="AH91" s="70"/>
      <c r="AI91" s="70"/>
      <c r="AJ91" s="70"/>
      <c r="AK91" s="64"/>
      <c r="AL91" s="70"/>
      <c r="AM91" s="64"/>
      <c r="AN91" s="70"/>
      <c r="AO91" s="64"/>
      <c r="AP91" s="70"/>
      <c r="AQ91" s="64"/>
      <c r="AR91" s="70"/>
      <c r="AS91" s="64"/>
      <c r="AT91" s="70"/>
      <c r="AU91" s="64"/>
      <c r="AV91" s="70"/>
      <c r="AW91" s="64"/>
      <c r="AX91" s="70"/>
      <c r="AY91" s="64"/>
      <c r="AZ91" s="70"/>
      <c r="BA91" s="64"/>
      <c r="BB91" s="70"/>
      <c r="BC91" s="64"/>
      <c r="BD91" s="70"/>
      <c r="BE91" s="64"/>
      <c r="BF91" s="70"/>
      <c r="BG91" s="64"/>
      <c r="BH91" s="70"/>
      <c r="BI91" s="64"/>
      <c r="BJ91" s="70"/>
      <c r="BK91" s="64"/>
      <c r="BL91" s="70"/>
      <c r="BM91" s="64"/>
      <c r="BN91" s="70"/>
      <c r="BO91" s="64"/>
      <c r="BP91" s="70"/>
      <c r="BR91" s="41">
        <f>BR87/9000*60*(21-BR88)/21</f>
        <v>292.81762597402593</v>
      </c>
      <c r="BT91" s="41">
        <f>BT87/9000*60*(21-BT88)/21</f>
        <v>317.29962770562764</v>
      </c>
      <c r="BV91" s="41">
        <f>BV87/9000*60*(21-BV88)/21</f>
        <v>316.33323290043285</v>
      </c>
      <c r="BX91" s="41">
        <f>BX87/9000*60*(21-BX88)/21</f>
        <v>369.00174978354977</v>
      </c>
      <c r="BZ91" s="66">
        <f>AVERAGE(BR91,BT91,BV91,BX91)</f>
        <v>323.863059090909</v>
      </c>
    </row>
    <row r="92" spans="5:68" ht="12.75"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</row>
    <row r="93" spans="2:68" ht="12.75">
      <c r="B93" s="77" t="s">
        <v>315</v>
      </c>
      <c r="C93" s="77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</row>
    <row r="94" spans="2:84" ht="12.75">
      <c r="B94" s="66" t="s">
        <v>22</v>
      </c>
      <c r="D94" s="66" t="s">
        <v>69</v>
      </c>
      <c r="E94" s="64"/>
      <c r="F94" s="68">
        <f>F72*454*1000000*14/(21-F$88)/0.0283/60/F$87</f>
        <v>0</v>
      </c>
      <c r="G94" s="64"/>
      <c r="H94" s="68">
        <f>H72*454*1000000*14/(21-H$88)/0.0283/60/H$87</f>
        <v>0</v>
      </c>
      <c r="I94" s="64"/>
      <c r="J94" s="68">
        <f aca="true" t="shared" si="31" ref="J94:J106">J72*454*1000000*14/(21-J$88)/0.0283/60/J$87</f>
        <v>0</v>
      </c>
      <c r="K94" s="64"/>
      <c r="L94" s="68">
        <f aca="true" t="shared" si="32" ref="L94:L106">L72*454*1000000*14/(21-L$88)/0.0283/60/L$87</f>
        <v>0</v>
      </c>
      <c r="M94" s="64"/>
      <c r="N94" s="64"/>
      <c r="O94" s="64"/>
      <c r="P94" s="64"/>
      <c r="Q94" s="64"/>
      <c r="R94" s="64"/>
      <c r="S94" s="64"/>
      <c r="T94" s="64"/>
      <c r="U94" s="64"/>
      <c r="V94" s="68">
        <f>V72*454*1000000*14/(21-V$88)/0.0283/60/V$87</f>
        <v>0</v>
      </c>
      <c r="W94" s="64"/>
      <c r="X94" s="68">
        <f>X72*454*1000000*14/(21-X$88)/0.0283/60/X$87</f>
        <v>0</v>
      </c>
      <c r="Y94" s="64"/>
      <c r="Z94" s="68">
        <f>Z72*454*1000000*14/(21-Z$88)/0.0283/60/Z$87</f>
        <v>0</v>
      </c>
      <c r="AA94" s="64"/>
      <c r="AB94" s="68">
        <f>AB72*454*1000000*14/(21-AB$88)/0.0283/60/AB$87</f>
        <v>0</v>
      </c>
      <c r="AC94" s="68"/>
      <c r="AD94" s="68"/>
      <c r="AE94" s="68"/>
      <c r="AF94" s="68"/>
      <c r="AG94" s="68"/>
      <c r="AH94" s="68"/>
      <c r="AI94" s="68"/>
      <c r="AJ94" s="68"/>
      <c r="AK94" s="64"/>
      <c r="AL94" s="69">
        <f>N94+V94+AD94+BB94</f>
        <v>2979287.8820375707</v>
      </c>
      <c r="AM94" s="64"/>
      <c r="AN94" s="69">
        <f>P94+X94+AF94+BD94</f>
        <v>2988852.3403226137</v>
      </c>
      <c r="AO94" s="64"/>
      <c r="AP94" s="69">
        <f>R94+Z94+AH94+BF94</f>
        <v>2724686.437833061</v>
      </c>
      <c r="AQ94" s="64"/>
      <c r="AR94" s="69">
        <f>T94+AB94+AJ94+BH94</f>
        <v>2215091.243969184</v>
      </c>
      <c r="AS94" s="64"/>
      <c r="AT94" s="68">
        <f>AT72*454*1000000*14/(21-AT$88)/0.0283/60/AT$87</f>
        <v>0</v>
      </c>
      <c r="AU94" s="64"/>
      <c r="AV94" s="68">
        <f>AV72*454*1000000*14/(21-AV$88)/0.0283/60/AV$87</f>
        <v>0</v>
      </c>
      <c r="AW94" s="64"/>
      <c r="AX94" s="68">
        <f>AX72*454*1000000*14/(21-AX$88)/0.0283/60/AX$87</f>
        <v>0</v>
      </c>
      <c r="AY94" s="64"/>
      <c r="AZ94" s="68">
        <f>AZ72*454*1000000*14/(21-AZ$88)/0.0283/60/AZ$87</f>
        <v>0</v>
      </c>
      <c r="BA94" s="64"/>
      <c r="BB94" s="68">
        <f>BB72*454*1000000*14/(21-BB$88)/0.0283/60/BB$87</f>
        <v>2979287.8820375707</v>
      </c>
      <c r="BC94" s="64"/>
      <c r="BD94" s="68">
        <f>BD72*454*1000000*14/(21-BD$88)/0.0283/60/BD$87</f>
        <v>2988852.3403226137</v>
      </c>
      <c r="BE94" s="64"/>
      <c r="BF94" s="68">
        <f>BF72*454*1000000*14/(21-BF$88)/0.0283/60/BF$87</f>
        <v>2724686.437833061</v>
      </c>
      <c r="BG94" s="64"/>
      <c r="BH94" s="68">
        <f>BH72*454*1000000*14/(21-BH$88)/0.0283/60/BH$87</f>
        <v>2215091.243969184</v>
      </c>
      <c r="BI94" s="64"/>
      <c r="BJ94" s="68">
        <f>BJ72*454*1000000*14/(21-BJ$88)/0.0283/60/BJ$87</f>
        <v>0</v>
      </c>
      <c r="BK94" s="64"/>
      <c r="BL94" s="68">
        <f>BL72*454*1000000*14/(21-BL$88)/0.0283/60/BL$87</f>
        <v>0</v>
      </c>
      <c r="BM94" s="64"/>
      <c r="BN94" s="68">
        <f>BN72*454*1000000*14/(21-BN$88)/0.0283/60/BN$87</f>
        <v>0</v>
      </c>
      <c r="BO94" s="64"/>
      <c r="BP94" s="68">
        <f>BP72*454*1000000*14/(21-BP$88)/0.0283/60/BP$87</f>
        <v>0</v>
      </c>
      <c r="BR94" s="69">
        <f aca="true" t="shared" si="33" ref="BR94:BR108">F94+N94+V94+AT94+BB94+BJ94</f>
        <v>2979287.8820375707</v>
      </c>
      <c r="BT94" s="69">
        <f aca="true" t="shared" si="34" ref="BT94:BT108">H94+P94+X94+AV94+BD94+BL94</f>
        <v>2988852.3403226137</v>
      </c>
      <c r="BV94" s="69">
        <f aca="true" t="shared" si="35" ref="BV94:BV108">J94+R94+Z94+AX94+BF94+BN94</f>
        <v>2724686.437833061</v>
      </c>
      <c r="BX94" s="69">
        <f aca="true" t="shared" si="36" ref="BX94:BX108">L94+T94+AB94+AZ94+BH94+BP94</f>
        <v>2215091.243969184</v>
      </c>
      <c r="BZ94" s="69">
        <f aca="true" t="shared" si="37" ref="BZ94:BZ108">AVERAGE(BR94,BT94,BV94,BX94)</f>
        <v>2726979.4760406073</v>
      </c>
      <c r="CC94" s="69">
        <f>AVERAGE(V94,X94,Z94,AB94)+AVERAGE(BJ94,BL94,BN94,BP94)</f>
        <v>0</v>
      </c>
      <c r="CD94" s="69">
        <f>AVERAGE(BB94,BD94,BF94,BH94)</f>
        <v>2726979.4760406073</v>
      </c>
      <c r="CE94" s="69">
        <f>AVERAGE(F94,H94,J94,L94)+AVERAGE(AT94,AV94,AX94,AZ94)</f>
        <v>0</v>
      </c>
      <c r="CF94" s="69">
        <f>SUM(CC94,CD94,CE94)</f>
        <v>2726979.4760406073</v>
      </c>
    </row>
    <row r="95" spans="2:78" ht="12.75">
      <c r="B95" s="66" t="s">
        <v>102</v>
      </c>
      <c r="D95" s="66" t="s">
        <v>69</v>
      </c>
      <c r="E95" s="64"/>
      <c r="F95" s="68">
        <f aca="true" t="shared" si="38" ref="F95:H106">F73*454*1000000*14/(21-F$88)/0.0283/60/F$87</f>
        <v>8.052129410912354</v>
      </c>
      <c r="G95" s="64"/>
      <c r="H95" s="68">
        <f t="shared" si="38"/>
        <v>13.045267120745109</v>
      </c>
      <c r="I95" s="64"/>
      <c r="J95" s="68">
        <f t="shared" si="31"/>
        <v>12.671034194178066</v>
      </c>
      <c r="K95" s="64"/>
      <c r="L95" s="68">
        <f t="shared" si="32"/>
        <v>17.96211810013473</v>
      </c>
      <c r="M95" s="64"/>
      <c r="N95" s="64"/>
      <c r="O95" s="64"/>
      <c r="P95" s="64"/>
      <c r="Q95" s="64"/>
      <c r="R95" s="64"/>
      <c r="S95" s="64"/>
      <c r="T95" s="64"/>
      <c r="U95" s="64"/>
      <c r="V95" s="68">
        <f aca="true" t="shared" si="39" ref="V95:V106">V73*454*1000000*14/(21-V$88)/0.0283/60/V$87</f>
        <v>201.30323527280882</v>
      </c>
      <c r="W95" s="64"/>
      <c r="X95" s="68">
        <f aca="true" t="shared" si="40" ref="X95:X106">X73*454*1000000*14/(21-X$88)/0.0283/60/X$87</f>
        <v>406.21971034218956</v>
      </c>
      <c r="Y95" s="64"/>
      <c r="Z95" s="68">
        <f aca="true" t="shared" si="41" ref="Z95:Z106">Z73*454*1000000*14/(21-Z$88)/0.0283/60/Z$87</f>
        <v>422.3678064726021</v>
      </c>
      <c r="AA95" s="64"/>
      <c r="AB95" s="68">
        <f aca="true" t="shared" si="42" ref="AB95:AB106">AB73*454*1000000*14/(21-AB$88)/0.0283/60/AB$87</f>
        <v>352.8526757220143</v>
      </c>
      <c r="AC95" s="68"/>
      <c r="AD95" s="68"/>
      <c r="AE95" s="68"/>
      <c r="AF95" s="68"/>
      <c r="AG95" s="68"/>
      <c r="AH95" s="68"/>
      <c r="AI95" s="68"/>
      <c r="AJ95" s="68"/>
      <c r="AK95" s="64"/>
      <c r="AL95" s="69">
        <f aca="true" t="shared" si="43" ref="AL95:AR108">N95+V95+AD95+BB95</f>
        <v>201.30323527280882</v>
      </c>
      <c r="AM95" s="64"/>
      <c r="AN95" s="69">
        <f t="shared" si="43"/>
        <v>406.21971034218956</v>
      </c>
      <c r="AO95" s="64"/>
      <c r="AP95" s="69">
        <f t="shared" si="43"/>
        <v>422.3678064726021</v>
      </c>
      <c r="AQ95" s="64"/>
      <c r="AR95" s="69">
        <f t="shared" si="43"/>
        <v>352.8526757220143</v>
      </c>
      <c r="AS95" s="64"/>
      <c r="AT95" s="68">
        <f aca="true" t="shared" si="44" ref="AT95:AT106">AT73*454*1000000*14/(21-AT$88)/0.0283/60/AT$87</f>
        <v>730.9544143017104</v>
      </c>
      <c r="AU95" s="64"/>
      <c r="AV95" s="68">
        <f aca="true" t="shared" si="45" ref="AV95:AV106">AV73*454*1000000*14/(21-AV$88)/0.0283/60/AV$87</f>
        <v>1015.5492758554736</v>
      </c>
      <c r="AW95" s="64"/>
      <c r="AX95" s="68">
        <f aca="true" t="shared" si="46" ref="AX95:AX106">AX73*454*1000000*14/(21-AX$88)/0.0283/60/AX$87</f>
        <v>1101.468985506982</v>
      </c>
      <c r="AY95" s="64"/>
      <c r="AZ95" s="68">
        <f aca="true" t="shared" si="47" ref="AZ95:AZ106">AZ73*454*1000000*14/(21-AZ$88)/0.0283/60/AZ$87</f>
        <v>536.7336475771485</v>
      </c>
      <c r="BA95" s="64"/>
      <c r="BB95" s="68">
        <f aca="true" t="shared" si="48" ref="BB95:BB106">BB73*454*1000000*14/(21-BB$88)/0.0283/60/BB$87</f>
        <v>0</v>
      </c>
      <c r="BC95" s="64"/>
      <c r="BD95" s="68">
        <f aca="true" t="shared" si="49" ref="BD95:BD106">BD73*454*1000000*14/(21-BD$88)/0.0283/60/BD$87</f>
        <v>0</v>
      </c>
      <c r="BE95" s="64"/>
      <c r="BF95" s="68">
        <f aca="true" t="shared" si="50" ref="BF95:BF106">BF73*454*1000000*14/(21-BF$88)/0.0283/60/BF$87</f>
        <v>0</v>
      </c>
      <c r="BG95" s="64"/>
      <c r="BH95" s="68">
        <f aca="true" t="shared" si="51" ref="BH95:BH106">BH73*454*1000000*14/(21-BH$88)/0.0283/60/BH$87</f>
        <v>0</v>
      </c>
      <c r="BI95" s="64"/>
      <c r="BJ95" s="68">
        <f aca="true" t="shared" si="52" ref="BJ95:BJ106">BJ73*454*1000000*14/(21-BJ$88)/0.0283/60/BJ$87</f>
        <v>1037.8300129620366</v>
      </c>
      <c r="BK95" s="64"/>
      <c r="BL95" s="68">
        <f aca="true" t="shared" si="53" ref="BL95:BL106">BL73*454*1000000*14/(21-BL$88)/0.0283/60/BL$87</f>
        <v>1048.5752685662208</v>
      </c>
      <c r="BM95" s="64"/>
      <c r="BN95" s="68">
        <f aca="true" t="shared" si="54" ref="BN95:BN106">BN73*454*1000000*14/(21-BN$88)/0.0283/60/BN$87</f>
        <v>139.13292448509245</v>
      </c>
      <c r="BO95" s="64"/>
      <c r="BP95" s="68">
        <f aca="true" t="shared" si="55" ref="BP95:BP106">BP73*454*1000000*14/(21-BP$88)/0.0283/60/BP$87</f>
        <v>5211.144144465965</v>
      </c>
      <c r="BR95" s="69">
        <f t="shared" si="33"/>
        <v>1978.139791947468</v>
      </c>
      <c r="BT95" s="69">
        <f t="shared" si="34"/>
        <v>2483.389521884629</v>
      </c>
      <c r="BV95" s="69">
        <f t="shared" si="35"/>
        <v>1675.6407506588546</v>
      </c>
      <c r="BX95" s="69">
        <f t="shared" si="36"/>
        <v>6118.692585865262</v>
      </c>
      <c r="BZ95" s="69">
        <f t="shared" si="37"/>
        <v>3063.965662589054</v>
      </c>
    </row>
    <row r="96" spans="2:78" ht="12.75">
      <c r="B96" s="66" t="s">
        <v>98</v>
      </c>
      <c r="D96" s="66" t="s">
        <v>69</v>
      </c>
      <c r="E96" s="64"/>
      <c r="F96" s="68">
        <f t="shared" si="38"/>
        <v>845.4735881457971</v>
      </c>
      <c r="G96" s="64"/>
      <c r="H96" s="68">
        <f t="shared" si="38"/>
        <v>577.9548724380744</v>
      </c>
      <c r="I96" s="64"/>
      <c r="J96" s="68">
        <f t="shared" si="31"/>
        <v>844.7356129452043</v>
      </c>
      <c r="K96" s="64"/>
      <c r="L96" s="68">
        <f t="shared" si="32"/>
        <v>1100.4459705616139</v>
      </c>
      <c r="M96" s="64"/>
      <c r="N96" s="64"/>
      <c r="O96" s="64"/>
      <c r="P96" s="64"/>
      <c r="Q96" s="64"/>
      <c r="R96" s="64"/>
      <c r="S96" s="64"/>
      <c r="T96" s="64"/>
      <c r="U96" s="64"/>
      <c r="V96" s="68">
        <f t="shared" si="39"/>
        <v>60927.7792092368</v>
      </c>
      <c r="W96" s="64"/>
      <c r="X96" s="68">
        <f t="shared" si="40"/>
        <v>90821.47995455457</v>
      </c>
      <c r="Y96" s="64"/>
      <c r="Z96" s="68">
        <f t="shared" si="41"/>
        <v>71802.52710034238</v>
      </c>
      <c r="AA96" s="64"/>
      <c r="AB96" s="68">
        <f t="shared" si="42"/>
        <v>58998.10332494846</v>
      </c>
      <c r="AC96" s="68"/>
      <c r="AD96" s="68"/>
      <c r="AE96" s="68"/>
      <c r="AF96" s="68"/>
      <c r="AG96" s="68"/>
      <c r="AH96" s="68"/>
      <c r="AI96" s="68"/>
      <c r="AJ96" s="68"/>
      <c r="AK96" s="64"/>
      <c r="AL96" s="69">
        <f t="shared" si="43"/>
        <v>60927.7792092368</v>
      </c>
      <c r="AM96" s="64"/>
      <c r="AN96" s="69">
        <f t="shared" si="43"/>
        <v>90821.47995455457</v>
      </c>
      <c r="AO96" s="64"/>
      <c r="AP96" s="69">
        <f t="shared" si="43"/>
        <v>71802.52710034238</v>
      </c>
      <c r="AQ96" s="64"/>
      <c r="AR96" s="69">
        <f t="shared" si="43"/>
        <v>58998.10332494846</v>
      </c>
      <c r="AS96" s="64"/>
      <c r="AT96" s="68">
        <f t="shared" si="44"/>
        <v>390.97561695207764</v>
      </c>
      <c r="AU96" s="64"/>
      <c r="AV96" s="68">
        <f t="shared" si="45"/>
        <v>441.7226525062427</v>
      </c>
      <c r="AW96" s="64"/>
      <c r="AX96" s="68">
        <f t="shared" si="46"/>
        <v>411.6015682683985</v>
      </c>
      <c r="AY96" s="64"/>
      <c r="AZ96" s="68">
        <f t="shared" si="47"/>
        <v>293.21560376899777</v>
      </c>
      <c r="BA96" s="64"/>
      <c r="BB96" s="68">
        <f t="shared" si="48"/>
        <v>0</v>
      </c>
      <c r="BC96" s="64"/>
      <c r="BD96" s="68">
        <f t="shared" si="49"/>
        <v>0</v>
      </c>
      <c r="BE96" s="64"/>
      <c r="BF96" s="68">
        <f t="shared" si="50"/>
        <v>0</v>
      </c>
      <c r="BG96" s="64"/>
      <c r="BH96" s="68">
        <f t="shared" si="51"/>
        <v>0</v>
      </c>
      <c r="BI96" s="64"/>
      <c r="BJ96" s="68">
        <f t="shared" si="52"/>
        <v>6924.831293384623</v>
      </c>
      <c r="BK96" s="64"/>
      <c r="BL96" s="68">
        <f t="shared" si="53"/>
        <v>13540.657011406318</v>
      </c>
      <c r="BM96" s="64"/>
      <c r="BN96" s="68">
        <f t="shared" si="54"/>
        <v>361.91123809515136</v>
      </c>
      <c r="BO96" s="64"/>
      <c r="BP96" s="68">
        <f t="shared" si="55"/>
        <v>9797.518963709856</v>
      </c>
      <c r="BR96" s="69">
        <f t="shared" si="33"/>
        <v>69089.0597077193</v>
      </c>
      <c r="BT96" s="69">
        <f t="shared" si="34"/>
        <v>105381.8144909052</v>
      </c>
      <c r="BV96" s="69">
        <f t="shared" si="35"/>
        <v>73420.77551965114</v>
      </c>
      <c r="BX96" s="69">
        <f t="shared" si="36"/>
        <v>70189.28386298893</v>
      </c>
      <c r="BZ96" s="69">
        <f t="shared" si="37"/>
        <v>79520.23339531614</v>
      </c>
    </row>
    <row r="97" spans="2:78" ht="12.75">
      <c r="B97" s="66" t="s">
        <v>99</v>
      </c>
      <c r="D97" s="66" t="s">
        <v>69</v>
      </c>
      <c r="E97" s="64"/>
      <c r="F97" s="68">
        <f t="shared" si="38"/>
        <v>402.60647054561764</v>
      </c>
      <c r="G97" s="64"/>
      <c r="H97" s="68">
        <f t="shared" si="38"/>
        <v>596.9448182467542</v>
      </c>
      <c r="I97" s="64"/>
      <c r="J97" s="68">
        <f t="shared" si="31"/>
        <v>550.734492753491</v>
      </c>
      <c r="K97" s="64"/>
      <c r="L97" s="68">
        <f t="shared" si="32"/>
        <v>582.8813818265066</v>
      </c>
      <c r="M97" s="64"/>
      <c r="N97" s="64"/>
      <c r="O97" s="64"/>
      <c r="P97" s="64"/>
      <c r="Q97" s="64"/>
      <c r="R97" s="64"/>
      <c r="S97" s="64"/>
      <c r="T97" s="64"/>
      <c r="U97" s="64"/>
      <c r="V97" s="68">
        <f t="shared" si="39"/>
        <v>2943.5006402112936</v>
      </c>
      <c r="W97" s="64"/>
      <c r="X97" s="68">
        <f t="shared" si="40"/>
        <v>16182.736428266087</v>
      </c>
      <c r="Y97" s="64"/>
      <c r="Z97" s="68">
        <f t="shared" si="41"/>
        <v>15486.819570662077</v>
      </c>
      <c r="AA97" s="64"/>
      <c r="AB97" s="68">
        <f t="shared" si="42"/>
        <v>4778.0654076642995</v>
      </c>
      <c r="AC97" s="68"/>
      <c r="AD97" s="68"/>
      <c r="AE97" s="68"/>
      <c r="AF97" s="68"/>
      <c r="AG97" s="68"/>
      <c r="AH97" s="68"/>
      <c r="AI97" s="68"/>
      <c r="AJ97" s="68"/>
      <c r="AL97" s="69">
        <f t="shared" si="43"/>
        <v>2943.5006402112936</v>
      </c>
      <c r="AM97" s="64"/>
      <c r="AN97" s="69">
        <f t="shared" si="43"/>
        <v>16182.736428266087</v>
      </c>
      <c r="AO97" s="64"/>
      <c r="AP97" s="69">
        <f t="shared" si="43"/>
        <v>15486.819570662077</v>
      </c>
      <c r="AQ97" s="64"/>
      <c r="AR97" s="69">
        <f t="shared" si="43"/>
        <v>4778.0654076642995</v>
      </c>
      <c r="AT97" s="68">
        <f t="shared" si="44"/>
        <v>13599.151893985305</v>
      </c>
      <c r="AU97" s="64"/>
      <c r="AV97" s="68">
        <f t="shared" si="45"/>
        <v>10650.882649215942</v>
      </c>
      <c r="AX97" s="68">
        <f t="shared" si="46"/>
        <v>11925.679241579355</v>
      </c>
      <c r="AZ97" s="68">
        <f t="shared" si="47"/>
        <v>9087.553821412037</v>
      </c>
      <c r="BA97" s="64"/>
      <c r="BB97" s="68">
        <f t="shared" si="48"/>
        <v>0</v>
      </c>
      <c r="BC97" s="64"/>
      <c r="BD97" s="68">
        <f t="shared" si="49"/>
        <v>0</v>
      </c>
      <c r="BE97" s="64"/>
      <c r="BF97" s="68">
        <f t="shared" si="50"/>
        <v>0</v>
      </c>
      <c r="BG97" s="64"/>
      <c r="BH97" s="68">
        <f t="shared" si="51"/>
        <v>0</v>
      </c>
      <c r="BI97" s="64"/>
      <c r="BJ97" s="68">
        <f t="shared" si="52"/>
        <v>3059.809176146694</v>
      </c>
      <c r="BK97" s="64"/>
      <c r="BL97" s="68">
        <f t="shared" si="53"/>
        <v>3971.37562346734</v>
      </c>
      <c r="BM97" s="64"/>
      <c r="BN97" s="68">
        <f t="shared" si="54"/>
        <v>35114.49998909478</v>
      </c>
      <c r="BO97" s="64"/>
      <c r="BP97" s="68">
        <f t="shared" si="55"/>
        <v>4905.859133277904</v>
      </c>
      <c r="BR97" s="69">
        <f t="shared" si="33"/>
        <v>20005.06818088891</v>
      </c>
      <c r="BT97" s="69">
        <f t="shared" si="34"/>
        <v>31401.939519196123</v>
      </c>
      <c r="BV97" s="69">
        <f t="shared" si="35"/>
        <v>63077.7332940897</v>
      </c>
      <c r="BX97" s="69">
        <f t="shared" si="36"/>
        <v>19354.359744180747</v>
      </c>
      <c r="BZ97" s="69">
        <f t="shared" si="37"/>
        <v>33459.77518458887</v>
      </c>
    </row>
    <row r="98" spans="2:78" ht="12.75">
      <c r="B98" s="66" t="s">
        <v>100</v>
      </c>
      <c r="D98" s="66" t="s">
        <v>69</v>
      </c>
      <c r="E98" s="64">
        <v>100</v>
      </c>
      <c r="F98" s="68">
        <f t="shared" si="38"/>
        <v>4.026064705456177</v>
      </c>
      <c r="G98" s="64">
        <v>100</v>
      </c>
      <c r="H98" s="68">
        <f t="shared" si="38"/>
        <v>3.731937176314424</v>
      </c>
      <c r="I98" s="64">
        <v>100</v>
      </c>
      <c r="J98" s="68">
        <f t="shared" si="31"/>
        <v>4.240241508117104</v>
      </c>
      <c r="K98" s="64">
        <v>100</v>
      </c>
      <c r="L98" s="68">
        <f t="shared" si="32"/>
        <v>4.479880047899214</v>
      </c>
      <c r="M98" s="64"/>
      <c r="N98" s="64"/>
      <c r="O98" s="64"/>
      <c r="P98" s="64"/>
      <c r="Q98" s="64"/>
      <c r="R98" s="64"/>
      <c r="S98" s="64"/>
      <c r="T98" s="64"/>
      <c r="U98" s="64"/>
      <c r="V98" s="68">
        <f t="shared" si="39"/>
        <v>1959.3514899886727</v>
      </c>
      <c r="W98" s="64"/>
      <c r="X98" s="68">
        <f t="shared" si="40"/>
        <v>1750.3776136695967</v>
      </c>
      <c r="Y98" s="64"/>
      <c r="Z98" s="68">
        <f t="shared" si="41"/>
        <v>2302.3186313604583</v>
      </c>
      <c r="AA98" s="64"/>
      <c r="AB98" s="68">
        <f t="shared" si="42"/>
        <v>752.5630508356843</v>
      </c>
      <c r="AC98" s="68"/>
      <c r="AD98" s="68"/>
      <c r="AE98" s="68"/>
      <c r="AF98" s="68"/>
      <c r="AG98" s="68"/>
      <c r="AH98" s="68"/>
      <c r="AI98" s="68"/>
      <c r="AJ98" s="68"/>
      <c r="AL98" s="69">
        <f t="shared" si="43"/>
        <v>1959.3514899886727</v>
      </c>
      <c r="AM98" s="64"/>
      <c r="AN98" s="69">
        <f t="shared" si="43"/>
        <v>1750.3776136695967</v>
      </c>
      <c r="AO98" s="64"/>
      <c r="AP98" s="69">
        <f t="shared" si="43"/>
        <v>2302.3186313604583</v>
      </c>
      <c r="AR98" s="69">
        <f t="shared" si="43"/>
        <v>752.5630508356843</v>
      </c>
      <c r="AS98" s="64">
        <v>100</v>
      </c>
      <c r="AT98" s="68">
        <f t="shared" si="44"/>
        <v>156.56918298996237</v>
      </c>
      <c r="AV98" s="68">
        <f t="shared" si="45"/>
        <v>145.3143679272873</v>
      </c>
      <c r="AW98" s="64">
        <v>100</v>
      </c>
      <c r="AX98" s="68">
        <f t="shared" si="46"/>
        <v>96.06797166827813</v>
      </c>
      <c r="AY98" s="64">
        <v>100</v>
      </c>
      <c r="AZ98" s="68">
        <f t="shared" si="47"/>
        <v>82.35595650654659</v>
      </c>
      <c r="BA98" s="64"/>
      <c r="BB98" s="68">
        <f t="shared" si="48"/>
        <v>0</v>
      </c>
      <c r="BC98" s="64"/>
      <c r="BD98" s="68">
        <f t="shared" si="49"/>
        <v>0</v>
      </c>
      <c r="BE98" s="64"/>
      <c r="BF98" s="68">
        <f t="shared" si="50"/>
        <v>0</v>
      </c>
      <c r="BG98" s="64"/>
      <c r="BH98" s="68">
        <f t="shared" si="51"/>
        <v>0</v>
      </c>
      <c r="BI98" s="64"/>
      <c r="BJ98" s="68">
        <f t="shared" si="52"/>
        <v>36.68192287193405</v>
      </c>
      <c r="BK98" s="64"/>
      <c r="BL98" s="68">
        <f t="shared" si="53"/>
        <v>36.08089703649122</v>
      </c>
      <c r="BM98" s="64"/>
      <c r="BN98" s="68">
        <f t="shared" si="54"/>
        <v>3.6191123809515124</v>
      </c>
      <c r="BO98" s="64"/>
      <c r="BP98" s="68">
        <f t="shared" si="55"/>
        <v>27.61764403538502</v>
      </c>
      <c r="BQ98" s="66">
        <f>SUM((AT98*AS98/100),(AL98*AK98/100),(F98*E98/100))/BR98*100</f>
        <v>7.446587844845465</v>
      </c>
      <c r="BR98" s="69">
        <f t="shared" si="33"/>
        <v>2156.6286605560254</v>
      </c>
      <c r="BS98" s="66">
        <f>SUM((AV98*AU98/100),(AN98*AM98/100),(H98*G98/100))/BT98*100</f>
        <v>0.19281466756533092</v>
      </c>
      <c r="BT98" s="69">
        <f t="shared" si="34"/>
        <v>1935.5048158096897</v>
      </c>
      <c r="BU98" s="66">
        <f>SUM((AX98*AW98/100),(AP98*AO98/100),(J98*I98/100))/BV98*100</f>
        <v>4.168660019480364</v>
      </c>
      <c r="BV98" s="69">
        <f t="shared" si="35"/>
        <v>2406.245956917805</v>
      </c>
      <c r="BW98" s="66">
        <f>SUM((AZ98*AY98/100),(AR98*AQ98/100),(L98*K98/100))/BX98*100</f>
        <v>10.015476453681185</v>
      </c>
      <c r="BX98" s="69">
        <f t="shared" si="36"/>
        <v>867.0165314255152</v>
      </c>
      <c r="BY98" s="66">
        <f>SUM((BX98*BW98/100),(BV98*BU98/100),(BT98*BS98/100),(BR98*BQ98/100))/BZ98/4*100</f>
        <v>4.771925858251649</v>
      </c>
      <c r="BZ98" s="69">
        <f t="shared" si="37"/>
        <v>1841.348991177259</v>
      </c>
    </row>
    <row r="99" spans="2:78" ht="12.75">
      <c r="B99" s="66" t="s">
        <v>105</v>
      </c>
      <c r="D99" s="66" t="s">
        <v>69</v>
      </c>
      <c r="E99" s="64"/>
      <c r="F99" s="68">
        <f t="shared" si="38"/>
        <v>36.234582349105594</v>
      </c>
      <c r="G99" s="64"/>
      <c r="H99" s="68">
        <f t="shared" si="38"/>
        <v>31.70495300231722</v>
      </c>
      <c r="I99" s="64"/>
      <c r="J99" s="68">
        <f t="shared" si="31"/>
        <v>31.801811310878275</v>
      </c>
      <c r="K99" s="64"/>
      <c r="L99" s="68">
        <f t="shared" si="32"/>
        <v>53.81535778617442</v>
      </c>
      <c r="M99" s="64"/>
      <c r="N99" s="64"/>
      <c r="O99" s="64"/>
      <c r="P99" s="64"/>
      <c r="Q99" s="64"/>
      <c r="R99" s="64"/>
      <c r="S99" s="64"/>
      <c r="T99" s="64"/>
      <c r="U99" s="64"/>
      <c r="V99" s="68">
        <f t="shared" si="39"/>
        <v>10109.895815923288</v>
      </c>
      <c r="W99" s="64"/>
      <c r="X99" s="68">
        <f t="shared" si="40"/>
        <v>8999.583013678588</v>
      </c>
      <c r="Y99" s="64"/>
      <c r="Z99" s="68">
        <f t="shared" si="41"/>
        <v>6956.646224254624</v>
      </c>
      <c r="AA99" s="64"/>
      <c r="AB99" s="68">
        <f t="shared" si="42"/>
        <v>8519.581707573783</v>
      </c>
      <c r="AC99" s="68"/>
      <c r="AD99" s="68"/>
      <c r="AE99" s="68"/>
      <c r="AF99" s="68"/>
      <c r="AG99" s="68"/>
      <c r="AH99" s="68"/>
      <c r="AI99" s="68"/>
      <c r="AJ99" s="68"/>
      <c r="AL99" s="69">
        <f t="shared" si="43"/>
        <v>10109.895815923288</v>
      </c>
      <c r="AM99" s="64"/>
      <c r="AN99" s="69">
        <f t="shared" si="43"/>
        <v>8999.583013678588</v>
      </c>
      <c r="AO99" s="64"/>
      <c r="AP99" s="69">
        <f t="shared" si="43"/>
        <v>6956.646224254624</v>
      </c>
      <c r="AR99" s="69">
        <f t="shared" si="43"/>
        <v>8519.581707573783</v>
      </c>
      <c r="AS99" s="64"/>
      <c r="AT99" s="68">
        <f t="shared" si="44"/>
        <v>417.8160483217855</v>
      </c>
      <c r="AU99" s="64"/>
      <c r="AV99" s="68">
        <f t="shared" si="45"/>
        <v>339.3420751029266</v>
      </c>
      <c r="AW99" s="64"/>
      <c r="AX99" s="68">
        <f t="shared" si="46"/>
        <v>62.19572993351455</v>
      </c>
      <c r="AY99" s="64"/>
      <c r="AZ99" s="68">
        <f t="shared" si="47"/>
        <v>161.1620873016041</v>
      </c>
      <c r="BA99" s="64"/>
      <c r="BB99" s="68">
        <f t="shared" si="48"/>
        <v>0</v>
      </c>
      <c r="BC99" s="64"/>
      <c r="BD99" s="68">
        <f t="shared" si="49"/>
        <v>0</v>
      </c>
      <c r="BE99" s="64"/>
      <c r="BF99" s="68">
        <f t="shared" si="50"/>
        <v>0</v>
      </c>
      <c r="BG99" s="64"/>
      <c r="BH99" s="68">
        <f t="shared" si="51"/>
        <v>0</v>
      </c>
      <c r="BI99" s="64"/>
      <c r="BJ99" s="68">
        <f t="shared" si="52"/>
        <v>325.66390061912193</v>
      </c>
      <c r="BK99" s="64"/>
      <c r="BL99" s="68">
        <f t="shared" si="53"/>
        <v>378.9732663558231</v>
      </c>
      <c r="BM99" s="64"/>
      <c r="BN99" s="68">
        <f t="shared" si="54"/>
        <v>155.6963678761749</v>
      </c>
      <c r="BO99" s="64"/>
      <c r="BP99" s="68">
        <f t="shared" si="55"/>
        <v>291.08570834210434</v>
      </c>
      <c r="BR99" s="69">
        <f t="shared" si="33"/>
        <v>10889.6103472133</v>
      </c>
      <c r="BT99" s="69">
        <f t="shared" si="34"/>
        <v>9749.603308139654</v>
      </c>
      <c r="BV99" s="69">
        <f t="shared" si="35"/>
        <v>7206.340133375192</v>
      </c>
      <c r="BX99" s="69">
        <f t="shared" si="36"/>
        <v>9025.644861003666</v>
      </c>
      <c r="BZ99" s="69">
        <f t="shared" si="37"/>
        <v>9217.799662432953</v>
      </c>
    </row>
    <row r="100" spans="2:78" ht="12.75">
      <c r="B100" s="66" t="s">
        <v>107</v>
      </c>
      <c r="D100" s="66" t="s">
        <v>69</v>
      </c>
      <c r="E100" s="64">
        <v>100</v>
      </c>
      <c r="F100" s="68">
        <f t="shared" si="38"/>
        <v>60.39097058184264</v>
      </c>
      <c r="G100" s="64">
        <v>100</v>
      </c>
      <c r="H100" s="68">
        <f t="shared" si="38"/>
        <v>55.97905764471636</v>
      </c>
      <c r="I100" s="64">
        <v>100</v>
      </c>
      <c r="J100" s="68">
        <f t="shared" si="31"/>
        <v>63.52080540480115</v>
      </c>
      <c r="K100" s="64">
        <v>100</v>
      </c>
      <c r="L100" s="68">
        <f t="shared" si="32"/>
        <v>67.23369897560312</v>
      </c>
      <c r="M100" s="64"/>
      <c r="N100" s="64"/>
      <c r="O100" s="64"/>
      <c r="P100" s="64"/>
      <c r="Q100" s="64"/>
      <c r="R100" s="64"/>
      <c r="S100" s="64"/>
      <c r="T100" s="64"/>
      <c r="U100" s="64"/>
      <c r="V100" s="68">
        <f t="shared" si="39"/>
        <v>153885.13985299162</v>
      </c>
      <c r="W100" s="64"/>
      <c r="X100" s="68">
        <f t="shared" si="40"/>
        <v>147791.3173805933</v>
      </c>
      <c r="Y100" s="64"/>
      <c r="Z100" s="68">
        <f t="shared" si="41"/>
        <v>149899.16268929603</v>
      </c>
      <c r="AA100" s="64"/>
      <c r="AB100" s="68">
        <f t="shared" si="42"/>
        <v>102944.94563318323</v>
      </c>
      <c r="AC100" s="68"/>
      <c r="AD100" s="68"/>
      <c r="AE100" s="68"/>
      <c r="AF100" s="68"/>
      <c r="AG100" s="68"/>
      <c r="AH100" s="68"/>
      <c r="AI100" s="68"/>
      <c r="AJ100" s="68"/>
      <c r="AL100" s="69">
        <f t="shared" si="43"/>
        <v>153885.13985299162</v>
      </c>
      <c r="AM100" s="64"/>
      <c r="AN100" s="69">
        <f t="shared" si="43"/>
        <v>147791.3173805933</v>
      </c>
      <c r="AO100" s="64"/>
      <c r="AP100" s="69">
        <f t="shared" si="43"/>
        <v>149899.16268929603</v>
      </c>
      <c r="AR100" s="69">
        <f t="shared" si="43"/>
        <v>102944.94563318323</v>
      </c>
      <c r="AS100" s="64"/>
      <c r="AT100" s="68">
        <f t="shared" si="44"/>
        <v>4589.7137642200405</v>
      </c>
      <c r="AU100" s="64"/>
      <c r="AV100" s="68">
        <f t="shared" si="45"/>
        <v>388.0554143512785</v>
      </c>
      <c r="AW100" s="64"/>
      <c r="AX100" s="68">
        <f t="shared" si="46"/>
        <v>3205.0262961744515</v>
      </c>
      <c r="AY100" s="64"/>
      <c r="AZ100" s="68">
        <f t="shared" si="47"/>
        <v>2974.753946227847</v>
      </c>
      <c r="BA100" s="64"/>
      <c r="BB100" s="68">
        <f t="shared" si="48"/>
        <v>0</v>
      </c>
      <c r="BC100" s="64"/>
      <c r="BD100" s="68">
        <f t="shared" si="49"/>
        <v>0</v>
      </c>
      <c r="BE100" s="64"/>
      <c r="BF100" s="68">
        <f t="shared" si="50"/>
        <v>0</v>
      </c>
      <c r="BG100" s="64"/>
      <c r="BH100" s="68">
        <f t="shared" si="51"/>
        <v>0</v>
      </c>
      <c r="BI100" s="64"/>
      <c r="BJ100" s="68">
        <f t="shared" si="52"/>
        <v>11183.5130707116</v>
      </c>
      <c r="BK100" s="64"/>
      <c r="BL100" s="68">
        <f t="shared" si="53"/>
        <v>14283.741847398125</v>
      </c>
      <c r="BM100" s="64"/>
      <c r="BN100" s="68">
        <f t="shared" si="54"/>
        <v>29897.0153209038</v>
      </c>
      <c r="BO100" s="64"/>
      <c r="BP100" s="68">
        <f t="shared" si="55"/>
        <v>10720.473648697014</v>
      </c>
      <c r="BR100" s="69">
        <f t="shared" si="33"/>
        <v>169718.7576585051</v>
      </c>
      <c r="BT100" s="69">
        <f t="shared" si="34"/>
        <v>162519.09369998745</v>
      </c>
      <c r="BV100" s="69">
        <f t="shared" si="35"/>
        <v>183064.7251117791</v>
      </c>
      <c r="BX100" s="69">
        <f t="shared" si="36"/>
        <v>116707.4069270837</v>
      </c>
      <c r="BZ100" s="69">
        <f t="shared" si="37"/>
        <v>158002.49584933885</v>
      </c>
    </row>
    <row r="101" spans="2:78" ht="12.75">
      <c r="B101" s="66" t="s">
        <v>197</v>
      </c>
      <c r="D101" s="66" t="s">
        <v>69</v>
      </c>
      <c r="E101" s="64"/>
      <c r="F101" s="68">
        <f t="shared" si="38"/>
        <v>824.8959240956875</v>
      </c>
      <c r="G101" s="64"/>
      <c r="H101" s="68">
        <f t="shared" si="38"/>
        <v>146.96566756282462</v>
      </c>
      <c r="I101" s="64"/>
      <c r="J101" s="68">
        <f t="shared" si="31"/>
        <v>184.68239381056918</v>
      </c>
      <c r="K101" s="64"/>
      <c r="L101" s="68">
        <f t="shared" si="32"/>
        <v>166.1318432976888</v>
      </c>
      <c r="M101" s="64"/>
      <c r="N101" s="64"/>
      <c r="O101" s="64"/>
      <c r="P101" s="64"/>
      <c r="Q101" s="64"/>
      <c r="R101" s="64"/>
      <c r="S101" s="64"/>
      <c r="T101" s="64"/>
      <c r="U101" s="64"/>
      <c r="V101" s="68">
        <f t="shared" si="39"/>
        <v>1664.1067449218863</v>
      </c>
      <c r="W101" s="64"/>
      <c r="X101" s="68">
        <f t="shared" si="40"/>
        <v>10155.492758554736</v>
      </c>
      <c r="Y101" s="64"/>
      <c r="Z101" s="68">
        <f t="shared" si="41"/>
        <v>7759.97322872212</v>
      </c>
      <c r="AA101" s="64"/>
      <c r="AB101" s="68">
        <f t="shared" si="42"/>
        <v>2023.4006555487738</v>
      </c>
      <c r="AC101" s="68"/>
      <c r="AD101" s="68"/>
      <c r="AE101" s="68"/>
      <c r="AF101" s="68"/>
      <c r="AG101" s="68"/>
      <c r="AH101" s="68"/>
      <c r="AI101" s="68"/>
      <c r="AJ101" s="68"/>
      <c r="AL101" s="69">
        <f t="shared" si="43"/>
        <v>1664.1067449218863</v>
      </c>
      <c r="AM101" s="64"/>
      <c r="AN101" s="69">
        <f t="shared" si="43"/>
        <v>10155.492758554736</v>
      </c>
      <c r="AO101" s="64"/>
      <c r="AP101" s="69">
        <f t="shared" si="43"/>
        <v>7759.97322872212</v>
      </c>
      <c r="AR101" s="69">
        <f t="shared" si="43"/>
        <v>2023.4006555487738</v>
      </c>
      <c r="AS101" s="64"/>
      <c r="AT101" s="68">
        <f t="shared" si="44"/>
        <v>1458.3301044207926</v>
      </c>
      <c r="AU101" s="64"/>
      <c r="AV101" s="68">
        <f t="shared" si="45"/>
        <v>1164.1662430538356</v>
      </c>
      <c r="AW101" s="64"/>
      <c r="AX101" s="68">
        <f t="shared" si="46"/>
        <v>1051.7786553337348</v>
      </c>
      <c r="AY101" s="64"/>
      <c r="AZ101" s="68">
        <f t="shared" si="47"/>
        <v>1114.6452734075704</v>
      </c>
      <c r="BA101" s="64"/>
      <c r="BB101" s="68">
        <f t="shared" si="48"/>
        <v>0</v>
      </c>
      <c r="BC101" s="64"/>
      <c r="BD101" s="68">
        <f t="shared" si="49"/>
        <v>0</v>
      </c>
      <c r="BE101" s="64"/>
      <c r="BF101" s="68">
        <f t="shared" si="50"/>
        <v>0</v>
      </c>
      <c r="BG101" s="64"/>
      <c r="BH101" s="68">
        <f t="shared" si="51"/>
        <v>0</v>
      </c>
      <c r="BI101" s="64"/>
      <c r="BJ101" s="68">
        <f t="shared" si="52"/>
        <v>5904.894901335725</v>
      </c>
      <c r="BK101" s="64"/>
      <c r="BL101" s="68">
        <f t="shared" si="53"/>
        <v>5597.905764471635</v>
      </c>
      <c r="BM101" s="64"/>
      <c r="BN101" s="68">
        <f t="shared" si="54"/>
        <v>11925.679241579355</v>
      </c>
      <c r="BO101" s="64"/>
      <c r="BP101" s="68">
        <f t="shared" si="55"/>
        <v>6134.098829453124</v>
      </c>
      <c r="BR101" s="69">
        <f t="shared" si="33"/>
        <v>9852.22767477409</v>
      </c>
      <c r="BT101" s="69">
        <f t="shared" si="34"/>
        <v>17064.53043364303</v>
      </c>
      <c r="BV101" s="69">
        <f t="shared" si="35"/>
        <v>20922.113519445782</v>
      </c>
      <c r="BX101" s="69">
        <f t="shared" si="36"/>
        <v>9438.276601707157</v>
      </c>
      <c r="BZ101" s="69">
        <f t="shared" si="37"/>
        <v>14319.287057392514</v>
      </c>
    </row>
    <row r="102" spans="2:78" ht="12.75">
      <c r="B102" s="66" t="s">
        <v>103</v>
      </c>
      <c r="D102" s="66" t="s">
        <v>69</v>
      </c>
      <c r="E102" s="64"/>
      <c r="F102" s="68">
        <f t="shared" si="38"/>
        <v>106.46704443317444</v>
      </c>
      <c r="G102" s="64"/>
      <c r="H102" s="68">
        <f t="shared" si="38"/>
        <v>55.97905764471636</v>
      </c>
      <c r="I102" s="64"/>
      <c r="J102" s="68">
        <f t="shared" si="31"/>
        <v>88.61442214229105</v>
      </c>
      <c r="K102" s="64"/>
      <c r="L102" s="68">
        <f t="shared" si="32"/>
        <v>87.32571250263132</v>
      </c>
      <c r="M102" s="64"/>
      <c r="N102" s="64"/>
      <c r="O102" s="64"/>
      <c r="P102" s="64"/>
      <c r="Q102" s="64"/>
      <c r="R102" s="64"/>
      <c r="S102" s="64"/>
      <c r="T102" s="64"/>
      <c r="U102" s="64"/>
      <c r="V102" s="68">
        <f t="shared" si="39"/>
        <v>188777.70063361182</v>
      </c>
      <c r="W102" s="64"/>
      <c r="X102" s="68">
        <f t="shared" si="40"/>
        <v>195679.00681117663</v>
      </c>
      <c r="Y102" s="64"/>
      <c r="Z102" s="68">
        <f t="shared" si="41"/>
        <v>193792.28767566453</v>
      </c>
      <c r="AA102" s="64"/>
      <c r="AB102" s="68">
        <f t="shared" si="42"/>
        <v>133473.4467519893</v>
      </c>
      <c r="AC102" s="68"/>
      <c r="AD102" s="68"/>
      <c r="AE102" s="68"/>
      <c r="AF102" s="68"/>
      <c r="AG102" s="68"/>
      <c r="AH102" s="68"/>
      <c r="AI102" s="68"/>
      <c r="AJ102" s="68"/>
      <c r="AL102" s="69">
        <f t="shared" si="43"/>
        <v>188777.70063361182</v>
      </c>
      <c r="AM102" s="64"/>
      <c r="AN102" s="69">
        <f t="shared" si="43"/>
        <v>195679.00681117663</v>
      </c>
      <c r="AO102" s="64"/>
      <c r="AP102" s="69">
        <f t="shared" si="43"/>
        <v>193792.28767566453</v>
      </c>
      <c r="AR102" s="69">
        <f t="shared" si="43"/>
        <v>133473.4467519893</v>
      </c>
      <c r="AS102" s="64"/>
      <c r="AT102" s="68">
        <f t="shared" si="44"/>
        <v>574.3852313117477</v>
      </c>
      <c r="AU102" s="64"/>
      <c r="AV102" s="68">
        <f t="shared" si="45"/>
        <v>630.7964607752697</v>
      </c>
      <c r="AW102" s="64"/>
      <c r="AX102" s="68">
        <f t="shared" si="46"/>
        <v>861.2990563362866</v>
      </c>
      <c r="AY102" s="64"/>
      <c r="AZ102" s="68">
        <f t="shared" si="47"/>
        <v>577.9116258304217</v>
      </c>
      <c r="BA102" s="64"/>
      <c r="BB102" s="68">
        <f t="shared" si="48"/>
        <v>0</v>
      </c>
      <c r="BC102" s="64"/>
      <c r="BD102" s="68">
        <f t="shared" si="49"/>
        <v>0</v>
      </c>
      <c r="BE102" s="64"/>
      <c r="BF102" s="68">
        <f t="shared" si="50"/>
        <v>0</v>
      </c>
      <c r="BG102" s="64"/>
      <c r="BH102" s="68">
        <f t="shared" si="51"/>
        <v>0</v>
      </c>
      <c r="BI102" s="64"/>
      <c r="BJ102" s="68">
        <f t="shared" si="52"/>
        <v>4482.35203874121</v>
      </c>
      <c r="BK102" s="64"/>
      <c r="BL102" s="68">
        <f t="shared" si="53"/>
        <v>3426.4467437400126</v>
      </c>
      <c r="BM102" s="64"/>
      <c r="BN102" s="68">
        <f t="shared" si="54"/>
        <v>49773.14739020272</v>
      </c>
      <c r="BO102" s="64"/>
      <c r="BP102" s="68">
        <f t="shared" si="55"/>
        <v>3833.8117684082035</v>
      </c>
      <c r="BR102" s="69">
        <f t="shared" si="33"/>
        <v>193940.90494809794</v>
      </c>
      <c r="BT102" s="69">
        <f t="shared" si="34"/>
        <v>199792.22907333664</v>
      </c>
      <c r="BV102" s="69">
        <f t="shared" si="35"/>
        <v>244515.34854434582</v>
      </c>
      <c r="BX102" s="69">
        <f t="shared" si="36"/>
        <v>137972.49585873057</v>
      </c>
      <c r="BZ102" s="69">
        <f t="shared" si="37"/>
        <v>194055.24460612773</v>
      </c>
    </row>
    <row r="103" spans="2:84" ht="12.75">
      <c r="B103" s="66" t="s">
        <v>111</v>
      </c>
      <c r="D103" s="66" t="s">
        <v>69</v>
      </c>
      <c r="E103" s="64"/>
      <c r="F103" s="68">
        <f t="shared" si="38"/>
        <v>7.443746299865642</v>
      </c>
      <c r="G103" s="64"/>
      <c r="H103" s="68">
        <f t="shared" si="38"/>
        <v>6.340990600463446</v>
      </c>
      <c r="I103" s="64"/>
      <c r="J103" s="68">
        <f t="shared" si="31"/>
        <v>6.145037498091583</v>
      </c>
      <c r="K103" s="64"/>
      <c r="L103" s="68">
        <f t="shared" si="32"/>
        <v>9.442536392560942</v>
      </c>
      <c r="M103" s="64"/>
      <c r="N103" s="64"/>
      <c r="O103" s="64"/>
      <c r="P103" s="64"/>
      <c r="Q103" s="64"/>
      <c r="R103" s="64"/>
      <c r="S103" s="64"/>
      <c r="T103" s="64"/>
      <c r="U103" s="64"/>
      <c r="V103" s="68">
        <f t="shared" si="39"/>
        <v>11.809789802671451</v>
      </c>
      <c r="W103" s="64"/>
      <c r="X103" s="68">
        <f t="shared" si="40"/>
        <v>18.49455591801838</v>
      </c>
      <c r="Y103" s="64"/>
      <c r="Z103" s="68">
        <f t="shared" si="41"/>
        <v>17.225981126725735</v>
      </c>
      <c r="AA103" s="64"/>
      <c r="AB103" s="68">
        <f t="shared" si="42"/>
        <v>12.850369075590459</v>
      </c>
      <c r="AC103" s="68"/>
      <c r="AD103" s="68"/>
      <c r="AE103" s="68"/>
      <c r="AF103" s="68"/>
      <c r="AG103" s="68"/>
      <c r="AH103" s="68"/>
      <c r="AI103" s="68"/>
      <c r="AJ103" s="68"/>
      <c r="AL103" s="69">
        <f t="shared" si="43"/>
        <v>11.809789802671451</v>
      </c>
      <c r="AM103" s="64"/>
      <c r="AN103" s="69">
        <f t="shared" si="43"/>
        <v>18.49455591801838</v>
      </c>
      <c r="AO103" s="64"/>
      <c r="AP103" s="69">
        <f t="shared" si="43"/>
        <v>17.225981126725735</v>
      </c>
      <c r="AR103" s="69">
        <f t="shared" si="43"/>
        <v>12.850369075590459</v>
      </c>
      <c r="AS103" s="64">
        <v>100</v>
      </c>
      <c r="AT103" s="68">
        <f t="shared" si="44"/>
        <v>10.467768234186057</v>
      </c>
      <c r="AU103" s="64">
        <v>100</v>
      </c>
      <c r="AV103" s="68">
        <f t="shared" si="45"/>
        <v>9.742667849670397</v>
      </c>
      <c r="AW103" s="64">
        <v>100</v>
      </c>
      <c r="AX103" s="68">
        <f t="shared" si="46"/>
        <v>9.606797166827814</v>
      </c>
      <c r="AY103" s="64">
        <v>100</v>
      </c>
      <c r="AZ103" s="68">
        <f t="shared" si="47"/>
        <v>8.235595650654659</v>
      </c>
      <c r="BA103" s="64"/>
      <c r="BB103" s="68">
        <f t="shared" si="48"/>
        <v>0</v>
      </c>
      <c r="BC103" s="64"/>
      <c r="BD103" s="68">
        <f t="shared" si="49"/>
        <v>0</v>
      </c>
      <c r="BE103" s="64"/>
      <c r="BF103" s="68">
        <f t="shared" si="50"/>
        <v>0</v>
      </c>
      <c r="BG103" s="64"/>
      <c r="BH103" s="68">
        <f t="shared" si="51"/>
        <v>0</v>
      </c>
      <c r="BI103" s="64"/>
      <c r="BJ103" s="68">
        <f t="shared" si="52"/>
        <v>71.30607933885717</v>
      </c>
      <c r="BK103" s="64"/>
      <c r="BL103" s="68">
        <f t="shared" si="53"/>
        <v>103.2062272210847</v>
      </c>
      <c r="BM103" s="64"/>
      <c r="BN103" s="68">
        <f t="shared" si="54"/>
        <v>45.30101767461047</v>
      </c>
      <c r="BO103" s="64"/>
      <c r="BP103" s="68">
        <f t="shared" si="55"/>
        <v>119.27414390603298</v>
      </c>
      <c r="BQ103" s="66">
        <f>SUM((AT103*AS103/100),(AL103*AK103/100),(F103*E103/100))/BR103*100</f>
        <v>10.927430652843933</v>
      </c>
      <c r="BR103" s="69">
        <f>F103+N103+V103+AT103/2+BB103+BJ103</f>
        <v>95.7934995584873</v>
      </c>
      <c r="BS103" s="66">
        <f>SUM((AV103*AU103/100),(AN103*AM103/100),(H103*G103/100))/BT103*100</f>
        <v>7.330103118399801</v>
      </c>
      <c r="BT103" s="69">
        <f>H103+P103+X103+AV103/2+BD103+BL103</f>
        <v>132.91310766440174</v>
      </c>
      <c r="BU103" s="66">
        <f>SUM((AX103*AW103/100),(AP103*AO103/100),(J103*I103/100))/BV103*100</f>
        <v>13.074842200180342</v>
      </c>
      <c r="BV103" s="69">
        <f>J103+R103+Z103+AX103/2+BF103+BN103</f>
        <v>73.4754348828417</v>
      </c>
      <c r="BW103" s="66">
        <f>SUM((AZ103*AY103/100),(AR103*AQ103/100),(L103*K103/100))/BX103*100</f>
        <v>5.6530214424951275</v>
      </c>
      <c r="BX103" s="69">
        <f>L103+T103+AB103+AZ103/2+BH103+BP103</f>
        <v>145.6848471995117</v>
      </c>
      <c r="BY103" s="66">
        <f>SUM((BX103*BW103/100),(BV103*BU103/100),(BT103*BS103/100),(BR103*BQ103/100))/BZ103/4*100</f>
        <v>8.4964595083974</v>
      </c>
      <c r="BZ103" s="69">
        <f t="shared" si="37"/>
        <v>111.9667223263106</v>
      </c>
      <c r="CC103" s="69">
        <f>AVERAGE(V103,X103,Z103,AB103)+AVERAGE(BJ103,BL103,BN103,BP103)</f>
        <v>99.86704101589784</v>
      </c>
      <c r="CD103" s="69">
        <f>AVERAGE(BB103,BD103,BF103,BH103)</f>
        <v>0</v>
      </c>
      <c r="CE103" s="69">
        <f>AVERAGE(F103,H103,J103,L103)+AVERAGE(AT103,AV103,AX103,AZ103)/2</f>
        <v>12.09968131041277</v>
      </c>
      <c r="CF103" s="69">
        <f>SUM(CC103,CD103,CE103)</f>
        <v>111.96672232631062</v>
      </c>
    </row>
    <row r="104" spans="2:78" ht="12.75">
      <c r="B104" s="66" t="s">
        <v>104</v>
      </c>
      <c r="D104" s="66" t="s">
        <v>69</v>
      </c>
      <c r="E104" s="64"/>
      <c r="F104" s="68">
        <f t="shared" si="38"/>
        <v>1485.1705357905003</v>
      </c>
      <c r="G104" s="64"/>
      <c r="H104" s="68">
        <f t="shared" si="38"/>
        <v>1304.5267120745107</v>
      </c>
      <c r="I104" s="64"/>
      <c r="J104" s="68">
        <f t="shared" si="31"/>
        <v>1316.7937495910537</v>
      </c>
      <c r="K104" s="64"/>
      <c r="L104" s="68">
        <f t="shared" si="32"/>
        <v>2243.4898496610963</v>
      </c>
      <c r="M104" s="64"/>
      <c r="N104" s="64"/>
      <c r="O104" s="64"/>
      <c r="P104" s="64"/>
      <c r="Q104" s="64"/>
      <c r="R104" s="64"/>
      <c r="S104" s="64"/>
      <c r="T104" s="64"/>
      <c r="U104" s="64"/>
      <c r="V104" s="68">
        <f t="shared" si="39"/>
        <v>146.7276914877362</v>
      </c>
      <c r="W104" s="64"/>
      <c r="X104" s="68">
        <f t="shared" si="40"/>
        <v>507.7746379277368</v>
      </c>
      <c r="Y104" s="64"/>
      <c r="Z104" s="68">
        <f t="shared" si="41"/>
        <v>1076.6238204203587</v>
      </c>
      <c r="AA104" s="64"/>
      <c r="AB104" s="68">
        <f t="shared" si="42"/>
        <v>183.88097185513422</v>
      </c>
      <c r="AC104" s="68"/>
      <c r="AD104" s="68"/>
      <c r="AE104" s="68"/>
      <c r="AF104" s="68"/>
      <c r="AG104" s="68"/>
      <c r="AH104" s="68"/>
      <c r="AI104" s="68"/>
      <c r="AJ104" s="68"/>
      <c r="AL104" s="69">
        <f t="shared" si="43"/>
        <v>146.7276914877362</v>
      </c>
      <c r="AM104" s="64"/>
      <c r="AN104" s="69">
        <f t="shared" si="43"/>
        <v>507.7746379277368</v>
      </c>
      <c r="AO104" s="64"/>
      <c r="AP104" s="69">
        <f t="shared" si="43"/>
        <v>1076.6238204203587</v>
      </c>
      <c r="AR104" s="69">
        <f t="shared" si="43"/>
        <v>183.88097185513422</v>
      </c>
      <c r="AS104" s="64"/>
      <c r="AT104" s="68">
        <f t="shared" si="44"/>
        <v>5215.990496179891</v>
      </c>
      <c r="AU104" s="64"/>
      <c r="AV104" s="68">
        <f t="shared" si="45"/>
        <v>7769.364785203258</v>
      </c>
      <c r="AW104" s="64"/>
      <c r="AX104" s="68">
        <f t="shared" si="46"/>
        <v>6219.572993351456</v>
      </c>
      <c r="AY104" s="64"/>
      <c r="AZ104" s="68">
        <f t="shared" si="47"/>
        <v>5367.336475771484</v>
      </c>
      <c r="BA104" s="64"/>
      <c r="BB104" s="68">
        <f t="shared" si="48"/>
        <v>0</v>
      </c>
      <c r="BC104" s="64"/>
      <c r="BD104" s="68">
        <f t="shared" si="49"/>
        <v>0</v>
      </c>
      <c r="BE104" s="64"/>
      <c r="BF104" s="68">
        <f t="shared" si="50"/>
        <v>0</v>
      </c>
      <c r="BG104" s="64"/>
      <c r="BH104" s="68">
        <f t="shared" si="51"/>
        <v>0</v>
      </c>
      <c r="BI104" s="64"/>
      <c r="BJ104" s="68">
        <f t="shared" si="52"/>
        <v>753.3214404431335</v>
      </c>
      <c r="BK104" s="64"/>
      <c r="BL104" s="68">
        <f t="shared" si="53"/>
        <v>899.9583013678588</v>
      </c>
      <c r="BM104" s="64"/>
      <c r="BN104" s="68">
        <f t="shared" si="54"/>
        <v>633.5517097089031</v>
      </c>
      <c r="BO104" s="64"/>
      <c r="BP104" s="68">
        <f t="shared" si="55"/>
        <v>844.8585193344002</v>
      </c>
      <c r="BR104" s="69">
        <f t="shared" si="33"/>
        <v>7601.210163901261</v>
      </c>
      <c r="BT104" s="69">
        <f t="shared" si="34"/>
        <v>10481.624436573364</v>
      </c>
      <c r="BV104" s="69">
        <f t="shared" si="35"/>
        <v>9246.542273071771</v>
      </c>
      <c r="BX104" s="69">
        <f t="shared" si="36"/>
        <v>8639.565816622115</v>
      </c>
      <c r="BZ104" s="69">
        <f t="shared" si="37"/>
        <v>8992.235672542127</v>
      </c>
    </row>
    <row r="105" spans="2:78" ht="12.75">
      <c r="B105" s="66" t="s">
        <v>106</v>
      </c>
      <c r="D105" s="66" t="s">
        <v>69</v>
      </c>
      <c r="E105" s="64">
        <v>100</v>
      </c>
      <c r="F105" s="68">
        <f t="shared" si="38"/>
        <v>1.0020427711357593</v>
      </c>
      <c r="G105" s="64">
        <v>100</v>
      </c>
      <c r="H105" s="68">
        <f t="shared" si="38"/>
        <v>0.932984294078606</v>
      </c>
      <c r="I105" s="64">
        <v>100</v>
      </c>
      <c r="J105" s="68">
        <f t="shared" si="31"/>
        <v>1.060060377029276</v>
      </c>
      <c r="K105" s="64">
        <v>100</v>
      </c>
      <c r="L105" s="68">
        <f t="shared" si="32"/>
        <v>1.1217449248305482</v>
      </c>
      <c r="M105" s="64"/>
      <c r="N105" s="64"/>
      <c r="O105" s="64"/>
      <c r="P105" s="64"/>
      <c r="Q105" s="64"/>
      <c r="R105" s="64"/>
      <c r="S105" s="64"/>
      <c r="T105" s="64"/>
      <c r="U105" s="64"/>
      <c r="V105" s="68">
        <f t="shared" si="39"/>
        <v>36.234582349105594</v>
      </c>
      <c r="W105" s="64"/>
      <c r="X105" s="68">
        <f t="shared" si="40"/>
        <v>18.907380826902724</v>
      </c>
      <c r="Y105" s="64"/>
      <c r="Z105" s="68">
        <f t="shared" si="41"/>
        <v>13.830475231553836</v>
      </c>
      <c r="AA105" s="64"/>
      <c r="AB105" s="68">
        <f t="shared" si="42"/>
        <v>33.084375631078196</v>
      </c>
      <c r="AC105" s="68"/>
      <c r="AD105" s="68"/>
      <c r="AE105" s="68"/>
      <c r="AF105" s="68"/>
      <c r="AG105" s="68"/>
      <c r="AH105" s="68"/>
      <c r="AI105" s="68"/>
      <c r="AJ105" s="68"/>
      <c r="AL105" s="69">
        <f t="shared" si="43"/>
        <v>36.234582349105594</v>
      </c>
      <c r="AM105" s="64"/>
      <c r="AN105" s="69">
        <f t="shared" si="43"/>
        <v>18.907380826902724</v>
      </c>
      <c r="AO105" s="64"/>
      <c r="AP105" s="69">
        <f t="shared" si="43"/>
        <v>13.830475231553836</v>
      </c>
      <c r="AR105" s="69">
        <f t="shared" si="43"/>
        <v>33.084375631078196</v>
      </c>
      <c r="AS105" s="64">
        <v>100</v>
      </c>
      <c r="AT105" s="68">
        <f t="shared" si="44"/>
        <v>26.1246865331823</v>
      </c>
      <c r="AU105" s="64"/>
      <c r="AV105" s="68">
        <f t="shared" si="45"/>
        <v>19.402770717563925</v>
      </c>
      <c r="AW105" s="64">
        <v>100</v>
      </c>
      <c r="AX105" s="68">
        <f t="shared" si="46"/>
        <v>19.130777116700216</v>
      </c>
      <c r="AY105" s="64">
        <v>100</v>
      </c>
      <c r="AZ105" s="68">
        <f t="shared" si="47"/>
        <v>16.542187815539098</v>
      </c>
      <c r="BA105" s="64"/>
      <c r="BB105" s="68">
        <f t="shared" si="48"/>
        <v>0</v>
      </c>
      <c r="BC105" s="64"/>
      <c r="BD105" s="68">
        <f t="shared" si="49"/>
        <v>0</v>
      </c>
      <c r="BE105" s="64"/>
      <c r="BF105" s="68">
        <f t="shared" si="50"/>
        <v>0</v>
      </c>
      <c r="BG105" s="64"/>
      <c r="BH105" s="68">
        <f t="shared" si="51"/>
        <v>0</v>
      </c>
      <c r="BI105" s="64"/>
      <c r="BJ105" s="68">
        <f t="shared" si="52"/>
        <v>40.70798757739024</v>
      </c>
      <c r="BK105" s="64"/>
      <c r="BL105" s="68">
        <f t="shared" si="53"/>
        <v>36.08089703649122</v>
      </c>
      <c r="BM105" s="64"/>
      <c r="BN105" s="68">
        <f t="shared" si="54"/>
        <v>14.658647401107958</v>
      </c>
      <c r="BO105" s="64"/>
      <c r="BP105" s="68">
        <f t="shared" si="55"/>
        <v>39.82904448290745</v>
      </c>
      <c r="BQ105" s="66">
        <f>SUM((AT105*AS105/100),(AL105*AK105/100),(F105*E105/100))/BR105*100</f>
        <v>26.066024759284723</v>
      </c>
      <c r="BR105" s="69">
        <f t="shared" si="33"/>
        <v>104.0692992308139</v>
      </c>
      <c r="BS105" s="66">
        <f>SUM((AV105*AU105/100),(AN105*AM105/100),(H105*G105/100))/BT105*100</f>
        <v>1.2386276444152142</v>
      </c>
      <c r="BT105" s="69">
        <f t="shared" si="34"/>
        <v>75.32403287503648</v>
      </c>
      <c r="BU105" s="66">
        <f>SUM((AX105*AW105/100),(AP105*AO105/100),(J105*I105/100))/BV105*100</f>
        <v>41.47669275263696</v>
      </c>
      <c r="BV105" s="69">
        <f t="shared" si="35"/>
        <v>48.67996012639128</v>
      </c>
      <c r="BW105" s="66">
        <f>SUM((AZ105*AY105/100),(AR105*AQ105/100),(L105*K105/100))/BX105*100</f>
        <v>19.50148926163975</v>
      </c>
      <c r="BX105" s="69">
        <f t="shared" si="36"/>
        <v>90.5773528543553</v>
      </c>
      <c r="BY105" s="66">
        <f>SUM((BX105*BW105/100),(BV105*BU105/100),(BT105*BS105/100),(BR105*BQ105/100))/BZ105/4*100</f>
        <v>20.68550145711545</v>
      </c>
      <c r="BZ105" s="69">
        <f t="shared" si="37"/>
        <v>79.66266127164924</v>
      </c>
    </row>
    <row r="106" spans="2:78" ht="12.75">
      <c r="B106" s="66" t="s">
        <v>101</v>
      </c>
      <c r="D106" s="66" t="s">
        <v>69</v>
      </c>
      <c r="E106" s="64"/>
      <c r="F106" s="68">
        <f t="shared" si="38"/>
        <v>8.052129410912354</v>
      </c>
      <c r="G106" s="64"/>
      <c r="H106" s="68">
        <f t="shared" si="38"/>
        <v>5.597905764471635</v>
      </c>
      <c r="I106" s="64"/>
      <c r="J106" s="68">
        <f t="shared" si="31"/>
        <v>6.352080540480114</v>
      </c>
      <c r="K106" s="64"/>
      <c r="L106" s="68">
        <f t="shared" si="32"/>
        <v>8.945560792952472</v>
      </c>
      <c r="M106" s="64"/>
      <c r="N106" s="64"/>
      <c r="O106" s="64"/>
      <c r="P106" s="64"/>
      <c r="Q106" s="64"/>
      <c r="R106" s="64"/>
      <c r="S106" s="64"/>
      <c r="T106" s="64"/>
      <c r="U106" s="64"/>
      <c r="V106" s="68">
        <f t="shared" si="39"/>
        <v>4.902852130199967</v>
      </c>
      <c r="W106" s="64"/>
      <c r="X106" s="68">
        <f t="shared" si="40"/>
        <v>4.615382481326909</v>
      </c>
      <c r="Y106" s="64"/>
      <c r="Z106" s="68">
        <f t="shared" si="41"/>
        <v>4.3147770033769755</v>
      </c>
      <c r="AA106" s="64"/>
      <c r="AB106" s="68">
        <f t="shared" si="42"/>
        <v>3.6776194371026842</v>
      </c>
      <c r="AC106" s="68"/>
      <c r="AD106" s="68"/>
      <c r="AE106" s="68"/>
      <c r="AF106" s="68"/>
      <c r="AG106" s="68"/>
      <c r="AH106" s="68"/>
      <c r="AI106" s="68"/>
      <c r="AJ106" s="68"/>
      <c r="AL106" s="69">
        <f t="shared" si="43"/>
        <v>4.902852130199967</v>
      </c>
      <c r="AM106" s="64"/>
      <c r="AN106" s="69">
        <f t="shared" si="43"/>
        <v>4.615382481326909</v>
      </c>
      <c r="AO106" s="64"/>
      <c r="AP106" s="69">
        <f t="shared" si="43"/>
        <v>4.3147770033769755</v>
      </c>
      <c r="AR106" s="69">
        <f t="shared" si="43"/>
        <v>3.6776194371026842</v>
      </c>
      <c r="AS106" s="64">
        <v>100</v>
      </c>
      <c r="AT106" s="68">
        <f t="shared" si="44"/>
        <v>52.159904961798894</v>
      </c>
      <c r="AU106" s="64">
        <v>100</v>
      </c>
      <c r="AV106" s="68">
        <f t="shared" si="45"/>
        <v>48.54820928479825</v>
      </c>
      <c r="AW106" s="64">
        <v>100</v>
      </c>
      <c r="AX106" s="68">
        <f t="shared" si="46"/>
        <v>47.86835140022824</v>
      </c>
      <c r="AY106" s="64">
        <v>100</v>
      </c>
      <c r="AZ106" s="68">
        <f t="shared" si="47"/>
        <v>41.31997128173287</v>
      </c>
      <c r="BA106" s="64"/>
      <c r="BB106" s="68">
        <f t="shared" si="48"/>
        <v>0</v>
      </c>
      <c r="BC106" s="64"/>
      <c r="BD106" s="68">
        <f t="shared" si="49"/>
        <v>0</v>
      </c>
      <c r="BE106" s="64"/>
      <c r="BF106" s="68">
        <f t="shared" si="50"/>
        <v>0</v>
      </c>
      <c r="BG106" s="64"/>
      <c r="BH106" s="68">
        <f t="shared" si="51"/>
        <v>0</v>
      </c>
      <c r="BI106" s="64"/>
      <c r="BJ106" s="68">
        <f t="shared" si="52"/>
        <v>2.0398727840977964</v>
      </c>
      <c r="BK106" s="64"/>
      <c r="BL106" s="68">
        <f t="shared" si="53"/>
        <v>7.224435905475931</v>
      </c>
      <c r="BM106" s="64"/>
      <c r="BN106" s="68">
        <f t="shared" si="54"/>
        <v>1.813697051323527</v>
      </c>
      <c r="BO106" s="64"/>
      <c r="BP106" s="68">
        <f t="shared" si="55"/>
        <v>1.5335247073632812</v>
      </c>
      <c r="BQ106" s="66">
        <f>SUM((AT106*AS106/100),(AL106*AK106/100),(F106*E106/100))/BR106*100</f>
        <v>77.67119637623233</v>
      </c>
      <c r="BR106" s="69">
        <f t="shared" si="33"/>
        <v>67.15475928700901</v>
      </c>
      <c r="BS106" s="66">
        <f>SUM((AV106*AU106/100),(AN106*AM106/100),(H106*G106/100))/BT106*100</f>
        <v>73.57357357357357</v>
      </c>
      <c r="BT106" s="69">
        <f t="shared" si="34"/>
        <v>65.98593343607273</v>
      </c>
      <c r="BU106" s="66">
        <f>SUM((AX106*AW106/100),(AP106*AO106/100),(J106*I106/100))/BV106*100</f>
        <v>79.31933580348566</v>
      </c>
      <c r="BV106" s="69">
        <f t="shared" si="35"/>
        <v>60.34890599540886</v>
      </c>
      <c r="BW106" s="66">
        <f>SUM((AZ106*AY106/100),(AR106*AQ106/100),(L106*K106/100))/BX106*100</f>
        <v>74.48169951369337</v>
      </c>
      <c r="BX106" s="69">
        <f t="shared" si="36"/>
        <v>55.47667621915131</v>
      </c>
      <c r="BY106" s="66">
        <f>SUM((BX106*BW106/100),(BV106*BU106/100),(BT106*BS106/100),(BR106*BQ106/100))/BZ106/4*100</f>
        <v>76.27395998760123</v>
      </c>
      <c r="BZ106" s="69">
        <f t="shared" si="37"/>
        <v>62.24156873441048</v>
      </c>
    </row>
    <row r="107" spans="2:84" ht="12.75">
      <c r="B107" s="66" t="s">
        <v>76</v>
      </c>
      <c r="D107" s="66" t="s">
        <v>69</v>
      </c>
      <c r="E107" s="64"/>
      <c r="F107" s="68">
        <f>F99+F102</f>
        <v>142.70162678228002</v>
      </c>
      <c r="G107" s="64"/>
      <c r="H107" s="68">
        <f>H99+H102</f>
        <v>87.68401064703359</v>
      </c>
      <c r="I107" s="64"/>
      <c r="J107" s="68">
        <f>J99+J102</f>
        <v>120.41623345316933</v>
      </c>
      <c r="K107" s="64"/>
      <c r="L107" s="68">
        <f>L99+L102</f>
        <v>141.14107028880574</v>
      </c>
      <c r="M107" s="64"/>
      <c r="N107" s="64"/>
      <c r="O107" s="64"/>
      <c r="P107" s="64"/>
      <c r="Q107" s="64"/>
      <c r="R107" s="64"/>
      <c r="S107" s="64"/>
      <c r="T107" s="64"/>
      <c r="U107" s="64"/>
      <c r="V107" s="68">
        <f>V99+V102</f>
        <v>198887.5964495351</v>
      </c>
      <c r="W107" s="64"/>
      <c r="X107" s="68">
        <f>X99+X102</f>
        <v>204678.5898248552</v>
      </c>
      <c r="Y107" s="64"/>
      <c r="Z107" s="68">
        <f>Z99+Z102</f>
        <v>200748.93389991915</v>
      </c>
      <c r="AA107" s="64"/>
      <c r="AB107" s="68">
        <f>AB99+AB102</f>
        <v>141993.0284595631</v>
      </c>
      <c r="AC107" s="68"/>
      <c r="AD107" s="68"/>
      <c r="AE107" s="68"/>
      <c r="AF107" s="68"/>
      <c r="AG107" s="68"/>
      <c r="AH107" s="68"/>
      <c r="AI107" s="68"/>
      <c r="AJ107" s="68"/>
      <c r="AK107" s="64"/>
      <c r="AL107" s="69">
        <f t="shared" si="43"/>
        <v>198887.5964495351</v>
      </c>
      <c r="AM107" s="64"/>
      <c r="AN107" s="69">
        <f t="shared" si="43"/>
        <v>204678.5898248552</v>
      </c>
      <c r="AO107" s="64"/>
      <c r="AP107" s="69">
        <f t="shared" si="43"/>
        <v>200748.93389991915</v>
      </c>
      <c r="AQ107" s="64"/>
      <c r="AR107" s="69">
        <f t="shared" si="43"/>
        <v>141993.0284595631</v>
      </c>
      <c r="AS107" s="64"/>
      <c r="AT107" s="68">
        <f>AT99+AT102</f>
        <v>992.2012796335332</v>
      </c>
      <c r="AU107" s="64"/>
      <c r="AV107" s="68">
        <f>AV99+AV102</f>
        <v>970.1385358781963</v>
      </c>
      <c r="AW107" s="64"/>
      <c r="AX107" s="68">
        <f>AX99+AX102</f>
        <v>923.4947862698012</v>
      </c>
      <c r="AY107" s="64"/>
      <c r="AZ107" s="68">
        <f>AZ99+AZ102</f>
        <v>739.0737131320258</v>
      </c>
      <c r="BA107" s="64"/>
      <c r="BB107" s="68">
        <f>BB99+BB102</f>
        <v>0</v>
      </c>
      <c r="BC107" s="64"/>
      <c r="BD107" s="68">
        <f>BD99+BD102</f>
        <v>0</v>
      </c>
      <c r="BE107" s="64"/>
      <c r="BF107" s="68">
        <f>BF99+BF102</f>
        <v>0</v>
      </c>
      <c r="BG107" s="64"/>
      <c r="BH107" s="68">
        <f>BH99+BH102</f>
        <v>0</v>
      </c>
      <c r="BI107" s="64"/>
      <c r="BJ107" s="68">
        <f>BJ99+BJ102</f>
        <v>4808.015939360332</v>
      </c>
      <c r="BK107" s="64"/>
      <c r="BL107" s="68">
        <f>BL99+BL102</f>
        <v>3805.4200100958356</v>
      </c>
      <c r="BM107" s="64"/>
      <c r="BN107" s="68">
        <f>BN99+BN102</f>
        <v>49928.843758078896</v>
      </c>
      <c r="BO107" s="64"/>
      <c r="BP107" s="68">
        <f>BP99+BP102</f>
        <v>4124.897476750308</v>
      </c>
      <c r="BR107" s="69">
        <f t="shared" si="33"/>
        <v>204830.51529531126</v>
      </c>
      <c r="BT107" s="69">
        <f t="shared" si="34"/>
        <v>209541.83238147627</v>
      </c>
      <c r="BV107" s="69">
        <f t="shared" si="35"/>
        <v>251721.68867772102</v>
      </c>
      <c r="BX107" s="69">
        <f t="shared" si="36"/>
        <v>146998.14071973425</v>
      </c>
      <c r="BZ107" s="69">
        <f t="shared" si="37"/>
        <v>203273.04426856068</v>
      </c>
      <c r="CC107" s="69">
        <f>AVERAGE(BJ107,BL107,BN107,BP107)</f>
        <v>15666.794296071343</v>
      </c>
      <c r="CD107" s="69">
        <f>AVERAGE(BB107,BD107,BF107,BH107)+AVERAGE(V107,X107,Z107,AB107)</f>
        <v>186577.03715846816</v>
      </c>
      <c r="CE107" s="69">
        <f>AVERAGE(F107,H107,J107,L107)+AVERAGE(AT107,AV107,AX107,AZ107)</f>
        <v>1029.2128140212112</v>
      </c>
      <c r="CF107" s="69">
        <f>SUM(CC107,CD107,CE107)</f>
        <v>203273.0442685607</v>
      </c>
    </row>
    <row r="108" spans="2:84" ht="12.75">
      <c r="B108" s="66" t="s">
        <v>77</v>
      </c>
      <c r="D108" s="66" t="s">
        <v>69</v>
      </c>
      <c r="E108" s="64">
        <f>SUM(F98,F100)/F108*100</f>
        <v>7.079646017699114</v>
      </c>
      <c r="F108" s="68">
        <f>F96+F98+F100</f>
        <v>909.8906234330959</v>
      </c>
      <c r="G108" s="64">
        <f>SUM(H98,H100)/H108*100</f>
        <v>9.36399419929563</v>
      </c>
      <c r="H108" s="68">
        <f>H96+H98+H100</f>
        <v>637.6658672591052</v>
      </c>
      <c r="I108" s="64">
        <f>SUM(J98,J100)/J108*100</f>
        <v>7.425895336806376</v>
      </c>
      <c r="J108" s="68">
        <f>J96+J98+J100</f>
        <v>912.4966598581226</v>
      </c>
      <c r="K108" s="64">
        <f>SUM(L98,L100)/L108*100</f>
        <v>6.118073179447731</v>
      </c>
      <c r="L108" s="68">
        <f>L96+L98+L100</f>
        <v>1172.1595495851163</v>
      </c>
      <c r="M108" s="64"/>
      <c r="N108" s="64"/>
      <c r="O108" s="64"/>
      <c r="P108" s="64"/>
      <c r="Q108" s="64"/>
      <c r="R108" s="64"/>
      <c r="S108" s="64"/>
      <c r="T108" s="64"/>
      <c r="U108" s="64"/>
      <c r="V108" s="68">
        <f>V96+V98+V100</f>
        <v>216772.2705522171</v>
      </c>
      <c r="W108" s="64"/>
      <c r="X108" s="68">
        <f>X96+X98+X100</f>
        <v>240363.17494881747</v>
      </c>
      <c r="Y108" s="64"/>
      <c r="Z108" s="68">
        <f>Z96+Z98+Z100</f>
        <v>224004.00842099887</v>
      </c>
      <c r="AA108" s="64"/>
      <c r="AB108" s="68">
        <f>AB96+AB98+AB100</f>
        <v>162695.61200896738</v>
      </c>
      <c r="AC108" s="68"/>
      <c r="AD108" s="68"/>
      <c r="AE108" s="68"/>
      <c r="AF108" s="68"/>
      <c r="AG108" s="68"/>
      <c r="AH108" s="68"/>
      <c r="AI108" s="68"/>
      <c r="AJ108" s="68"/>
      <c r="AK108" s="64"/>
      <c r="AL108" s="69">
        <f t="shared" si="43"/>
        <v>216772.2705522171</v>
      </c>
      <c r="AM108" s="64"/>
      <c r="AN108" s="69">
        <f t="shared" si="43"/>
        <v>240363.17494881747</v>
      </c>
      <c r="AO108" s="64"/>
      <c r="AP108" s="69">
        <f t="shared" si="43"/>
        <v>224004.00842099887</v>
      </c>
      <c r="AQ108" s="64"/>
      <c r="AR108" s="69">
        <f t="shared" si="43"/>
        <v>162695.61200896738</v>
      </c>
      <c r="AS108" s="64">
        <f>AT98/AT108*100</f>
        <v>3.047718564959944</v>
      </c>
      <c r="AT108" s="68">
        <f>AT96+AT98+AT100</f>
        <v>5137.258564162081</v>
      </c>
      <c r="AU108" s="64"/>
      <c r="AV108" s="68">
        <f>AV96+AV98+AV100</f>
        <v>975.0924347848085</v>
      </c>
      <c r="AW108" s="64">
        <f>AX98/AX108*100</f>
        <v>2.5875529779165736</v>
      </c>
      <c r="AX108" s="68">
        <f>AX96+AX98+AX100</f>
        <v>3712.6958361111283</v>
      </c>
      <c r="AY108" s="64">
        <f>AZ98/AZ108*100</f>
        <v>2.458147912693367</v>
      </c>
      <c r="AZ108" s="68">
        <f>AZ96+AZ98+AZ100</f>
        <v>3350.3255065033914</v>
      </c>
      <c r="BA108" s="64"/>
      <c r="BB108" s="68">
        <f>BB96+BB98+BB100</f>
        <v>0</v>
      </c>
      <c r="BC108" s="64"/>
      <c r="BD108" s="68">
        <f>BD96+BD98+BD100</f>
        <v>0</v>
      </c>
      <c r="BE108" s="64"/>
      <c r="BF108" s="68">
        <f>BF96+BF98+BF100</f>
        <v>0</v>
      </c>
      <c r="BG108" s="64"/>
      <c r="BH108" s="68">
        <f>BH96+BH98+BH100</f>
        <v>0</v>
      </c>
      <c r="BI108" s="64"/>
      <c r="BJ108" s="68">
        <f>BJ96+BJ98+BJ100</f>
        <v>18145.026286968157</v>
      </c>
      <c r="BK108" s="64"/>
      <c r="BL108" s="68">
        <f>BL96+BL98+BL100</f>
        <v>27860.479755840934</v>
      </c>
      <c r="BM108" s="64"/>
      <c r="BN108" s="68">
        <f>BN96+BN98+BN100</f>
        <v>30262.545671379903</v>
      </c>
      <c r="BO108" s="64"/>
      <c r="BP108" s="68">
        <f>BP96+BP98+BP100</f>
        <v>20545.610256442254</v>
      </c>
      <c r="BQ108" s="66">
        <f>SUM((AT108*AS108/100),(AL108*AK108/100),(F108*E108/100))/BR108*100</f>
        <v>0.09170905580514611</v>
      </c>
      <c r="BR108" s="69">
        <f t="shared" si="33"/>
        <v>240964.4460267804</v>
      </c>
      <c r="BT108" s="69">
        <f t="shared" si="34"/>
        <v>269836.4130067023</v>
      </c>
      <c r="BU108" s="66">
        <f>SUM((AX108*AW108/100),(AP108*AO108/100),(J108*I108/100))/BV108*100</f>
        <v>0.06328089664507285</v>
      </c>
      <c r="BV108" s="69">
        <f t="shared" si="35"/>
        <v>258891.746588348</v>
      </c>
      <c r="BX108" s="69">
        <f t="shared" si="36"/>
        <v>187763.70732149814</v>
      </c>
      <c r="BZ108" s="69">
        <f t="shared" si="37"/>
        <v>239364.07823583222</v>
      </c>
      <c r="CC108" s="69">
        <f>AVERAGE(BJ108,BL108,BN108,BP108)</f>
        <v>24203.415492657812</v>
      </c>
      <c r="CD108" s="69">
        <f>AVERAGE(BB108,BD108,BF108,BH108)+AVERAGE(V108,X108,Z108,AB108)</f>
        <v>210958.7664827502</v>
      </c>
      <c r="CE108" s="69">
        <f>AVERAGE(F108,H108,J108,L108)+AVERAGE(AT108,AV108,AX108,AZ108)</f>
        <v>4201.896260424212</v>
      </c>
      <c r="CF108" s="69">
        <f>SUM(CC108,CD108,CE108)</f>
        <v>239364.07823583222</v>
      </c>
    </row>
    <row r="109" spans="5:68" ht="12.75"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</row>
    <row r="110" spans="2:68" ht="12.75">
      <c r="B110" s="28" t="s">
        <v>189</v>
      </c>
      <c r="C110" s="28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</row>
    <row r="111" spans="2:68" ht="12.75">
      <c r="B111" s="66" t="s">
        <v>298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6" t="s">
        <v>300</v>
      </c>
      <c r="BD111" s="66" t="s">
        <v>300</v>
      </c>
      <c r="BF111" s="66" t="s">
        <v>300</v>
      </c>
      <c r="BH111" s="66" t="s">
        <v>300</v>
      </c>
      <c r="BJ111" s="66" t="s">
        <v>302</v>
      </c>
      <c r="BL111" s="66" t="s">
        <v>302</v>
      </c>
      <c r="BN111" s="66" t="s">
        <v>302</v>
      </c>
      <c r="BP111" s="66" t="s">
        <v>302</v>
      </c>
    </row>
    <row r="112" spans="2:68" ht="12.75">
      <c r="B112" s="66" t="s">
        <v>299</v>
      </c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 t="s">
        <v>67</v>
      </c>
      <c r="BC112" s="64"/>
      <c r="BD112" s="64" t="s">
        <v>67</v>
      </c>
      <c r="BE112" s="64"/>
      <c r="BF112" s="64" t="s">
        <v>67</v>
      </c>
      <c r="BG112" s="64"/>
      <c r="BH112" s="64" t="s">
        <v>67</v>
      </c>
      <c r="BI112" s="64"/>
      <c r="BJ112" s="64" t="s">
        <v>312</v>
      </c>
      <c r="BK112" s="64"/>
      <c r="BL112" s="64" t="s">
        <v>312</v>
      </c>
      <c r="BM112" s="64"/>
      <c r="BN112" s="64" t="s">
        <v>312</v>
      </c>
      <c r="BO112" s="64"/>
      <c r="BP112" s="64" t="s">
        <v>312</v>
      </c>
    </row>
    <row r="113" spans="2:62" ht="12.75">
      <c r="B113" s="66" t="s">
        <v>108</v>
      </c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6" t="s">
        <v>201</v>
      </c>
      <c r="BJ113" s="66" t="s">
        <v>202</v>
      </c>
    </row>
    <row r="114" spans="1:68" ht="12.75">
      <c r="A114" s="66" t="s">
        <v>189</v>
      </c>
      <c r="B114" s="66" t="s">
        <v>203</v>
      </c>
      <c r="D114" s="66" t="s">
        <v>204</v>
      </c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>
        <v>5860</v>
      </c>
      <c r="BC114" s="64"/>
      <c r="BD114" s="64">
        <v>4520</v>
      </c>
      <c r="BE114" s="64"/>
      <c r="BF114" s="64">
        <v>5760</v>
      </c>
      <c r="BG114" s="64"/>
      <c r="BH114" s="64">
        <v>4800</v>
      </c>
      <c r="BI114" s="64"/>
      <c r="BJ114" s="64">
        <v>2220</v>
      </c>
      <c r="BK114" s="64"/>
      <c r="BL114" s="64">
        <v>2260</v>
      </c>
      <c r="BM114" s="64"/>
      <c r="BN114" s="64">
        <v>2320</v>
      </c>
      <c r="BO114" s="64"/>
      <c r="BP114" s="64">
        <v>2600</v>
      </c>
    </row>
    <row r="115" spans="1:68" ht="12.75">
      <c r="A115" s="66" t="s">
        <v>189</v>
      </c>
      <c r="B115" s="66" t="s">
        <v>205</v>
      </c>
      <c r="D115" s="66" t="s">
        <v>206</v>
      </c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>
        <v>0</v>
      </c>
      <c r="BC115" s="64"/>
      <c r="BD115" s="64">
        <v>0</v>
      </c>
      <c r="BE115" s="64"/>
      <c r="BF115" s="64">
        <v>0</v>
      </c>
      <c r="BG115" s="64"/>
      <c r="BH115" s="64">
        <v>0</v>
      </c>
      <c r="BI115" s="64"/>
      <c r="BJ115" s="64">
        <v>6760</v>
      </c>
      <c r="BK115" s="64"/>
      <c r="BL115" s="64">
        <v>5260</v>
      </c>
      <c r="BM115" s="64"/>
      <c r="BN115" s="64">
        <v>8880</v>
      </c>
      <c r="BO115" s="64"/>
      <c r="BP115" s="64">
        <v>7410</v>
      </c>
    </row>
    <row r="116" spans="1:68" ht="12.75">
      <c r="A116" s="66" t="s">
        <v>189</v>
      </c>
      <c r="B116" s="66" t="s">
        <v>22</v>
      </c>
      <c r="D116" s="66" t="s">
        <v>204</v>
      </c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9">
        <v>685.6306</v>
      </c>
      <c r="BC116" s="69"/>
      <c r="BD116" s="69">
        <v>645.9478</v>
      </c>
      <c r="BE116" s="69"/>
      <c r="BF116" s="69">
        <v>648.1524</v>
      </c>
      <c r="BG116" s="69"/>
      <c r="BH116" s="69">
        <v>654.7662</v>
      </c>
      <c r="BI116" s="64"/>
      <c r="BJ116" s="64"/>
      <c r="BK116" s="64"/>
      <c r="BL116" s="64"/>
      <c r="BM116" s="64"/>
      <c r="BN116" s="64"/>
      <c r="BO116" s="64"/>
      <c r="BP116" s="64"/>
    </row>
    <row r="118" spans="2:4" ht="12.75">
      <c r="B118" s="29"/>
      <c r="C118" s="29"/>
      <c r="D118" s="29"/>
    </row>
    <row r="119" spans="2:4" ht="12.75">
      <c r="B119" s="29"/>
      <c r="C119" s="29"/>
      <c r="D119" s="29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B1">
      <selection activeCell="I23" sqref="I23"/>
    </sheetView>
  </sheetViews>
  <sheetFormatPr defaultColWidth="9.140625" defaultRowHeight="12.75"/>
  <cols>
    <col min="1" max="1" width="7.421875" style="16" hidden="1" customWidth="1"/>
    <col min="2" max="2" width="14.57421875" style="16" customWidth="1"/>
    <col min="3" max="3" width="7.421875" style="16" customWidth="1"/>
    <col min="4" max="4" width="11.140625" style="16" customWidth="1"/>
    <col min="5" max="16384" width="9.140625" style="16" customWidth="1"/>
  </cols>
  <sheetData>
    <row r="1" ht="12.75">
      <c r="B1" s="2" t="s">
        <v>269</v>
      </c>
    </row>
    <row r="3" spans="1:9" ht="12.75">
      <c r="A3" s="16" t="s">
        <v>109</v>
      </c>
      <c r="B3" s="2" t="str">
        <f>'feed 1'!B3</f>
        <v>403C10</v>
      </c>
      <c r="D3" s="16" t="s">
        <v>173</v>
      </c>
      <c r="E3" s="16">
        <v>1</v>
      </c>
      <c r="F3" s="16">
        <v>2</v>
      </c>
      <c r="G3" s="16">
        <v>3</v>
      </c>
      <c r="H3" s="16">
        <v>4</v>
      </c>
      <c r="I3" s="16" t="s">
        <v>70</v>
      </c>
    </row>
    <row r="5" spans="2:9" s="4" customFormat="1" ht="12.75">
      <c r="B5" s="9" t="s">
        <v>153</v>
      </c>
      <c r="C5" s="9" t="s">
        <v>155</v>
      </c>
      <c r="D5" s="9" t="s">
        <v>162</v>
      </c>
      <c r="E5" s="4">
        <v>463</v>
      </c>
      <c r="F5" s="4">
        <v>451</v>
      </c>
      <c r="G5" s="4">
        <v>443</v>
      </c>
      <c r="H5" s="50">
        <v>446</v>
      </c>
      <c r="I5" s="14">
        <f>AVERAGE(E5:H5)</f>
        <v>450.75</v>
      </c>
    </row>
    <row r="6" spans="2:8" s="4" customFormat="1" ht="12.75">
      <c r="B6" s="9" t="s">
        <v>153</v>
      </c>
      <c r="C6" s="9" t="s">
        <v>155</v>
      </c>
      <c r="D6" s="9" t="s">
        <v>80</v>
      </c>
      <c r="E6" s="4">
        <v>450</v>
      </c>
      <c r="F6" s="4">
        <v>441</v>
      </c>
      <c r="G6" s="4">
        <v>440</v>
      </c>
      <c r="H6" s="50">
        <v>445</v>
      </c>
    </row>
    <row r="7" spans="2:8" s="4" customFormat="1" ht="12.75">
      <c r="B7" s="9" t="s">
        <v>156</v>
      </c>
      <c r="C7" s="9" t="s">
        <v>157</v>
      </c>
      <c r="D7" s="9" t="s">
        <v>158</v>
      </c>
      <c r="E7" s="4">
        <v>42.5</v>
      </c>
      <c r="F7" s="4">
        <v>65.4</v>
      </c>
      <c r="G7" s="4">
        <v>66.1</v>
      </c>
      <c r="H7" s="50">
        <v>65.9</v>
      </c>
    </row>
    <row r="8" spans="2:8" s="4" customFormat="1" ht="12.75">
      <c r="B8" s="9" t="s">
        <v>156</v>
      </c>
      <c r="C8" s="9" t="s">
        <v>157</v>
      </c>
      <c r="D8" s="9" t="s">
        <v>80</v>
      </c>
      <c r="E8" s="4">
        <v>44.7</v>
      </c>
      <c r="F8" s="4">
        <v>66.7</v>
      </c>
      <c r="G8" s="4">
        <v>66.9</v>
      </c>
      <c r="H8" s="50">
        <v>67.1</v>
      </c>
    </row>
    <row r="9" spans="2:8" ht="12.75">
      <c r="B9" s="16" t="s">
        <v>154</v>
      </c>
      <c r="C9" s="16" t="s">
        <v>155</v>
      </c>
      <c r="D9" s="16" t="s">
        <v>162</v>
      </c>
      <c r="E9" s="16">
        <v>1755</v>
      </c>
      <c r="F9" s="16">
        <v>1730</v>
      </c>
      <c r="G9" s="16">
        <v>1735</v>
      </c>
      <c r="H9" s="16">
        <v>1749</v>
      </c>
    </row>
    <row r="10" spans="2:8" ht="12.75">
      <c r="B10" s="16" t="s">
        <v>154</v>
      </c>
      <c r="C10" s="16" t="s">
        <v>155</v>
      </c>
      <c r="D10" s="16" t="s">
        <v>80</v>
      </c>
      <c r="E10" s="16">
        <v>1705</v>
      </c>
      <c r="F10" s="16">
        <v>1705</v>
      </c>
      <c r="G10" s="16">
        <v>1725</v>
      </c>
      <c r="H10" s="16">
        <v>1721</v>
      </c>
    </row>
    <row r="11" ht="12.75">
      <c r="B11" s="2"/>
    </row>
    <row r="12" spans="1:7" ht="12.75">
      <c r="A12" s="16" t="s">
        <v>109</v>
      </c>
      <c r="B12" s="2" t="str">
        <f>'feed 1'!B48</f>
        <v>403C11</v>
      </c>
      <c r="D12" s="16" t="s">
        <v>172</v>
      </c>
      <c r="E12" s="16">
        <v>5</v>
      </c>
      <c r="F12" s="16">
        <v>6</v>
      </c>
      <c r="G12" s="16">
        <v>7</v>
      </c>
    </row>
    <row r="13" spans="2:8" s="4" customFormat="1" ht="12.75">
      <c r="B13" s="9"/>
      <c r="C13" s="9"/>
      <c r="D13" s="9"/>
      <c r="E13" s="50"/>
      <c r="G13" s="5"/>
      <c r="H13" s="50"/>
    </row>
    <row r="14" spans="2:9" ht="12.75">
      <c r="B14" s="9" t="s">
        <v>153</v>
      </c>
      <c r="C14" s="9" t="s">
        <v>155</v>
      </c>
      <c r="D14" s="9" t="s">
        <v>162</v>
      </c>
      <c r="E14" s="4">
        <v>415</v>
      </c>
      <c r="F14" s="4">
        <v>391</v>
      </c>
      <c r="G14" s="4">
        <v>405</v>
      </c>
      <c r="H14" s="50"/>
      <c r="I14" s="21">
        <f>AVERAGE(E14:G14)</f>
        <v>403.6666666666667</v>
      </c>
    </row>
    <row r="15" spans="2:8" s="4" customFormat="1" ht="12.75">
      <c r="B15" s="9" t="s">
        <v>153</v>
      </c>
      <c r="C15" s="9" t="s">
        <v>155</v>
      </c>
      <c r="D15" s="9" t="s">
        <v>80</v>
      </c>
      <c r="E15" s="4">
        <v>403</v>
      </c>
      <c r="F15" s="4">
        <v>388</v>
      </c>
      <c r="G15" s="4">
        <v>395</v>
      </c>
      <c r="H15" s="50"/>
    </row>
    <row r="16" spans="2:8" ht="12.75">
      <c r="B16" s="9" t="s">
        <v>156</v>
      </c>
      <c r="C16" s="9" t="s">
        <v>157</v>
      </c>
      <c r="D16" s="9" t="s">
        <v>158</v>
      </c>
      <c r="E16" s="4">
        <v>71.7</v>
      </c>
      <c r="F16" s="4">
        <v>68.4</v>
      </c>
      <c r="G16" s="4">
        <v>66.8</v>
      </c>
      <c r="H16" s="50"/>
    </row>
    <row r="17" spans="2:8" s="4" customFormat="1" ht="12.75">
      <c r="B17" s="9" t="s">
        <v>156</v>
      </c>
      <c r="C17" s="9" t="s">
        <v>157</v>
      </c>
      <c r="D17" s="9" t="s">
        <v>80</v>
      </c>
      <c r="E17" s="4">
        <v>72.7</v>
      </c>
      <c r="F17" s="4">
        <v>71.5</v>
      </c>
      <c r="G17" s="4">
        <v>68.1</v>
      </c>
      <c r="H17" s="50"/>
    </row>
    <row r="18" spans="2:7" ht="12.75">
      <c r="B18" s="16" t="s">
        <v>154</v>
      </c>
      <c r="C18" s="16" t="s">
        <v>155</v>
      </c>
      <c r="D18" s="16" t="s">
        <v>162</v>
      </c>
      <c r="E18" s="16">
        <v>1654</v>
      </c>
      <c r="F18" s="16">
        <v>1582</v>
      </c>
      <c r="G18" s="16">
        <v>1608</v>
      </c>
    </row>
    <row r="19" spans="2:7" ht="12.75">
      <c r="B19" s="16" t="s">
        <v>154</v>
      </c>
      <c r="C19" s="16" t="s">
        <v>155</v>
      </c>
      <c r="D19" s="16" t="s">
        <v>80</v>
      </c>
      <c r="E19" s="16">
        <v>1615</v>
      </c>
      <c r="F19" s="16">
        <v>1569</v>
      </c>
      <c r="G19" s="16">
        <v>1576</v>
      </c>
    </row>
    <row r="21" spans="1:7" ht="12.75">
      <c r="A21" s="16" t="s">
        <v>109</v>
      </c>
      <c r="B21" s="2" t="s">
        <v>159</v>
      </c>
      <c r="D21" s="16" t="s">
        <v>171</v>
      </c>
      <c r="E21" s="16">
        <v>8</v>
      </c>
      <c r="F21" s="16">
        <v>9</v>
      </c>
      <c r="G21" s="16">
        <v>10</v>
      </c>
    </row>
    <row r="23" spans="2:8" ht="12.75">
      <c r="B23" s="9" t="s">
        <v>153</v>
      </c>
      <c r="C23" s="9" t="s">
        <v>155</v>
      </c>
      <c r="D23" s="9" t="s">
        <v>162</v>
      </c>
      <c r="E23" s="4">
        <v>405</v>
      </c>
      <c r="F23" s="4">
        <v>445</v>
      </c>
      <c r="G23" s="4">
        <v>433</v>
      </c>
      <c r="H23" s="50"/>
    </row>
    <row r="24" spans="2:8" ht="12.75">
      <c r="B24" s="9" t="s">
        <v>153</v>
      </c>
      <c r="C24" s="9" t="s">
        <v>155</v>
      </c>
      <c r="D24" s="9" t="s">
        <v>80</v>
      </c>
      <c r="E24" s="4">
        <v>387</v>
      </c>
      <c r="F24" s="4">
        <v>436</v>
      </c>
      <c r="G24" s="4">
        <v>425</v>
      </c>
      <c r="H24" s="50"/>
    </row>
    <row r="25" spans="2:8" ht="12.75">
      <c r="B25" s="9" t="s">
        <v>156</v>
      </c>
      <c r="C25" s="9" t="s">
        <v>157</v>
      </c>
      <c r="D25" s="9" t="s">
        <v>158</v>
      </c>
      <c r="E25" s="4">
        <v>49.4</v>
      </c>
      <c r="F25" s="4">
        <v>45.5</v>
      </c>
      <c r="G25" s="4">
        <v>48.7</v>
      </c>
      <c r="H25" s="50"/>
    </row>
    <row r="26" spans="2:8" s="4" customFormat="1" ht="12.75">
      <c r="B26" s="9" t="s">
        <v>156</v>
      </c>
      <c r="C26" s="9" t="s">
        <v>157</v>
      </c>
      <c r="D26" s="9" t="s">
        <v>80</v>
      </c>
      <c r="E26" s="4">
        <v>49.8</v>
      </c>
      <c r="F26" s="4">
        <v>45.7</v>
      </c>
      <c r="G26" s="4">
        <v>51.8</v>
      </c>
      <c r="H26" s="50"/>
    </row>
    <row r="27" spans="2:7" ht="12.75">
      <c r="B27" s="16" t="s">
        <v>154</v>
      </c>
      <c r="C27" s="16" t="s">
        <v>155</v>
      </c>
      <c r="D27" s="16" t="s">
        <v>162</v>
      </c>
      <c r="E27" s="16">
        <v>1548</v>
      </c>
      <c r="F27" s="16">
        <v>1656</v>
      </c>
      <c r="G27" s="16">
        <v>1635</v>
      </c>
    </row>
    <row r="28" spans="2:7" ht="12.75">
      <c r="B28" s="16" t="s">
        <v>154</v>
      </c>
      <c r="C28" s="16" t="s">
        <v>155</v>
      </c>
      <c r="D28" s="16" t="s">
        <v>80</v>
      </c>
      <c r="E28" s="16">
        <v>1507</v>
      </c>
      <c r="F28" s="16">
        <v>1647</v>
      </c>
      <c r="G28" s="16">
        <v>1632</v>
      </c>
    </row>
    <row r="30" spans="1:7" ht="12.75">
      <c r="A30" s="16" t="s">
        <v>109</v>
      </c>
      <c r="B30" s="2" t="s">
        <v>176</v>
      </c>
      <c r="D30" s="16" t="s">
        <v>171</v>
      </c>
      <c r="E30" s="16">
        <v>11</v>
      </c>
      <c r="F30" s="16">
        <v>12</v>
      </c>
      <c r="G30" s="16">
        <v>13</v>
      </c>
    </row>
    <row r="32" spans="2:8" ht="12.75">
      <c r="B32" s="9" t="s">
        <v>153</v>
      </c>
      <c r="C32" s="9" t="s">
        <v>155</v>
      </c>
      <c r="D32" s="9" t="s">
        <v>162</v>
      </c>
      <c r="E32" s="4">
        <v>405</v>
      </c>
      <c r="F32" s="4">
        <v>445</v>
      </c>
      <c r="G32" s="4">
        <v>433</v>
      </c>
      <c r="H32" s="50"/>
    </row>
    <row r="33" spans="2:8" ht="12.75">
      <c r="B33" s="9" t="s">
        <v>153</v>
      </c>
      <c r="C33" s="9" t="s">
        <v>155</v>
      </c>
      <c r="D33" s="9" t="s">
        <v>80</v>
      </c>
      <c r="E33" s="4">
        <v>387</v>
      </c>
      <c r="F33" s="4">
        <v>436</v>
      </c>
      <c r="G33" s="4">
        <v>425</v>
      </c>
      <c r="H33" s="50"/>
    </row>
    <row r="34" spans="2:8" ht="12.75">
      <c r="B34" s="9" t="s">
        <v>156</v>
      </c>
      <c r="C34" s="9" t="s">
        <v>157</v>
      </c>
      <c r="D34" s="9" t="s">
        <v>158</v>
      </c>
      <c r="E34" s="4">
        <v>49.4</v>
      </c>
      <c r="F34" s="4">
        <v>45.5</v>
      </c>
      <c r="G34" s="4">
        <v>48.7</v>
      </c>
      <c r="H34" s="50"/>
    </row>
    <row r="35" spans="2:8" s="4" customFormat="1" ht="12.75">
      <c r="B35" s="9" t="s">
        <v>156</v>
      </c>
      <c r="C35" s="9" t="s">
        <v>157</v>
      </c>
      <c r="D35" s="9" t="s">
        <v>80</v>
      </c>
      <c r="E35" s="4">
        <v>49.8</v>
      </c>
      <c r="F35" s="4">
        <v>45.7</v>
      </c>
      <c r="G35" s="4">
        <v>51.8</v>
      </c>
      <c r="H35" s="50"/>
    </row>
    <row r="36" spans="2:7" ht="12.75">
      <c r="B36" s="16" t="s">
        <v>154</v>
      </c>
      <c r="C36" s="16" t="s">
        <v>155</v>
      </c>
      <c r="D36" s="16" t="s">
        <v>162</v>
      </c>
      <c r="E36" s="16">
        <v>1548</v>
      </c>
      <c r="F36" s="16">
        <v>1656</v>
      </c>
      <c r="G36" s="16">
        <v>1635</v>
      </c>
    </row>
    <row r="37" spans="2:7" ht="12.75">
      <c r="B37" s="16" t="s">
        <v>154</v>
      </c>
      <c r="C37" s="16" t="s">
        <v>155</v>
      </c>
      <c r="D37" s="16" t="s">
        <v>80</v>
      </c>
      <c r="E37" s="16">
        <v>1507</v>
      </c>
      <c r="F37" s="16">
        <v>1647</v>
      </c>
      <c r="G37" s="16">
        <v>1632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25"/>
  <sheetViews>
    <sheetView workbookViewId="0" topLeftCell="C1">
      <selection activeCell="B1" sqref="B1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3.8515625" style="0" customWidth="1"/>
    <col min="4" max="4" width="5.421875" style="0" customWidth="1"/>
  </cols>
  <sheetData>
    <row r="1" ht="12.75">
      <c r="C1" s="2" t="s">
        <v>268</v>
      </c>
    </row>
    <row r="3" ht="12.75">
      <c r="C3" s="28" t="s">
        <v>181</v>
      </c>
    </row>
    <row r="5" spans="1:31" s="66" customFormat="1" ht="12.75">
      <c r="A5" s="66" t="s">
        <v>181</v>
      </c>
      <c r="B5" s="66" t="s">
        <v>265</v>
      </c>
      <c r="C5" s="66" t="s">
        <v>266</v>
      </c>
      <c r="D5" s="66" t="s">
        <v>155</v>
      </c>
      <c r="E5" s="64">
        <v>1558</v>
      </c>
      <c r="F5" s="64">
        <v>1594</v>
      </c>
      <c r="G5" s="64">
        <v>1705</v>
      </c>
      <c r="H5" s="64">
        <v>1639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22" s="66" customFormat="1" ht="12.75">
      <c r="A6" s="66" t="s">
        <v>181</v>
      </c>
      <c r="B6" s="66" t="s">
        <v>265</v>
      </c>
      <c r="C6" s="66" t="s">
        <v>267</v>
      </c>
      <c r="D6" s="66" t="s">
        <v>155</v>
      </c>
      <c r="E6" s="64">
        <v>487</v>
      </c>
      <c r="F6" s="64">
        <v>495</v>
      </c>
      <c r="G6" s="64">
        <v>503</v>
      </c>
      <c r="H6" s="64">
        <v>490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3" s="66" customFormat="1" ht="12.75">
      <c r="A7" s="66" t="s">
        <v>181</v>
      </c>
      <c r="B7" s="66" t="s">
        <v>265</v>
      </c>
      <c r="C7" s="66" t="s">
        <v>156</v>
      </c>
      <c r="D7" s="66" t="s">
        <v>157</v>
      </c>
      <c r="E7" s="64">
        <v>25.4</v>
      </c>
      <c r="F7" s="64">
        <v>28.2</v>
      </c>
      <c r="G7" s="64">
        <v>20.2</v>
      </c>
      <c r="H7" s="64">
        <v>16.6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5:23" s="66" customFormat="1" ht="12.75"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  <row r="9" spans="3:23" s="66" customFormat="1" ht="12.75">
      <c r="C9" s="28" t="s">
        <v>186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</row>
    <row r="10" spans="5:23" s="66" customFormat="1" ht="12.75"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</row>
    <row r="11" spans="1:31" s="66" customFormat="1" ht="12.75">
      <c r="A11" s="66" t="s">
        <v>186</v>
      </c>
      <c r="B11" s="66" t="s">
        <v>265</v>
      </c>
      <c r="C11" s="66" t="s">
        <v>266</v>
      </c>
      <c r="D11" s="66" t="s">
        <v>155</v>
      </c>
      <c r="E11" s="64">
        <v>1311</v>
      </c>
      <c r="F11" s="64">
        <v>1319</v>
      </c>
      <c r="G11" s="64">
        <v>1293</v>
      </c>
      <c r="H11" s="64">
        <v>1322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22" s="66" customFormat="1" ht="12.75">
      <c r="A12" s="66" t="s">
        <v>186</v>
      </c>
      <c r="B12" s="66" t="s">
        <v>265</v>
      </c>
      <c r="C12" s="66" t="s">
        <v>267</v>
      </c>
      <c r="D12" s="66" t="s">
        <v>155</v>
      </c>
      <c r="E12" s="64">
        <v>423</v>
      </c>
      <c r="F12" s="64">
        <v>363</v>
      </c>
      <c r="G12" s="64">
        <v>392</v>
      </c>
      <c r="H12" s="64">
        <v>368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3" s="66" customFormat="1" ht="12.75">
      <c r="A13" s="66" t="s">
        <v>186</v>
      </c>
      <c r="B13" s="66" t="s">
        <v>265</v>
      </c>
      <c r="C13" s="66" t="s">
        <v>156</v>
      </c>
      <c r="D13" s="66" t="s">
        <v>157</v>
      </c>
      <c r="E13" s="64">
        <v>24.8</v>
      </c>
      <c r="F13" s="64">
        <v>25.2</v>
      </c>
      <c r="G13" s="64">
        <v>25.9</v>
      </c>
      <c r="H13" s="64">
        <v>26.1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</row>
    <row r="14" spans="5:23" s="66" customFormat="1" ht="12.75"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</row>
    <row r="15" spans="3:23" s="66" customFormat="1" ht="12.75">
      <c r="C15" s="28" t="s">
        <v>187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5:23" s="66" customFormat="1" ht="12.75"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</row>
    <row r="17" spans="1:31" s="66" customFormat="1" ht="12.75">
      <c r="A17" s="66" t="s">
        <v>187</v>
      </c>
      <c r="B17" s="66" t="s">
        <v>265</v>
      </c>
      <c r="C17" s="66" t="s">
        <v>266</v>
      </c>
      <c r="D17" s="66" t="s">
        <v>155</v>
      </c>
      <c r="E17" s="64">
        <v>1393</v>
      </c>
      <c r="F17" s="64">
        <v>1630</v>
      </c>
      <c r="G17" s="64">
        <v>1601</v>
      </c>
      <c r="H17" s="64">
        <v>1662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22" s="66" customFormat="1" ht="12.75">
      <c r="A18" s="66" t="s">
        <v>187</v>
      </c>
      <c r="B18" s="66" t="s">
        <v>265</v>
      </c>
      <c r="C18" s="66" t="s">
        <v>267</v>
      </c>
      <c r="D18" s="66" t="s">
        <v>155</v>
      </c>
      <c r="E18" s="64">
        <v>416</v>
      </c>
      <c r="F18" s="64">
        <v>428</v>
      </c>
      <c r="G18" s="64">
        <v>436</v>
      </c>
      <c r="H18" s="64">
        <v>445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3" s="66" customFormat="1" ht="12.75">
      <c r="A19" s="66" t="s">
        <v>187</v>
      </c>
      <c r="B19" s="66" t="s">
        <v>265</v>
      </c>
      <c r="C19" s="66" t="s">
        <v>156</v>
      </c>
      <c r="D19" s="66" t="s">
        <v>157</v>
      </c>
      <c r="E19" s="64">
        <v>42</v>
      </c>
      <c r="F19" s="64">
        <v>45.6</v>
      </c>
      <c r="G19" s="64">
        <v>42.1</v>
      </c>
      <c r="H19" s="64">
        <v>43.5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</row>
    <row r="20" spans="5:23" s="66" customFormat="1" ht="12.75"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</row>
    <row r="21" spans="3:23" s="66" customFormat="1" ht="12.75">
      <c r="C21" s="28" t="s">
        <v>189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</row>
    <row r="22" spans="5:23" s="66" customFormat="1" ht="12.75"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1:31" s="66" customFormat="1" ht="12.75">
      <c r="A23" s="66" t="s">
        <v>189</v>
      </c>
      <c r="B23" s="66" t="s">
        <v>265</v>
      </c>
      <c r="C23" s="66" t="s">
        <v>266</v>
      </c>
      <c r="D23" s="66" t="s">
        <v>155</v>
      </c>
      <c r="E23" s="64">
        <v>1393</v>
      </c>
      <c r="F23" s="64">
        <v>1415</v>
      </c>
      <c r="G23" s="64">
        <v>1380</v>
      </c>
      <c r="H23" s="64">
        <v>1442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22" s="66" customFormat="1" ht="12.75">
      <c r="A24" s="66" t="s">
        <v>189</v>
      </c>
      <c r="B24" s="66" t="s">
        <v>265</v>
      </c>
      <c r="C24" s="66" t="s">
        <v>267</v>
      </c>
      <c r="D24" s="66" t="s">
        <v>155</v>
      </c>
      <c r="E24" s="64">
        <v>372</v>
      </c>
      <c r="F24" s="64">
        <v>386</v>
      </c>
      <c r="G24" s="64">
        <v>371</v>
      </c>
      <c r="H24" s="64">
        <v>369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3" s="66" customFormat="1" ht="12.75">
      <c r="A25" s="66" t="s">
        <v>189</v>
      </c>
      <c r="B25" s="66" t="s">
        <v>265</v>
      </c>
      <c r="C25" s="66" t="s">
        <v>156</v>
      </c>
      <c r="D25" s="66" t="s">
        <v>157</v>
      </c>
      <c r="E25" s="64">
        <v>46.3</v>
      </c>
      <c r="F25" s="64">
        <v>46.3</v>
      </c>
      <c r="G25" s="64">
        <v>47.6</v>
      </c>
      <c r="H25" s="64">
        <v>47.8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2004-02-25T17:37:33Z</cp:lastPrinted>
  <dcterms:created xsi:type="dcterms:W3CDTF">2000-01-10T00:44:42Z</dcterms:created>
  <dcterms:modified xsi:type="dcterms:W3CDTF">2005-03-10T17:45:54Z</dcterms:modified>
  <cp:category/>
  <cp:version/>
  <cp:contentType/>
  <cp:contentStatus/>
</cp:coreProperties>
</file>