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1" sheetId="11" r:id="rId11"/>
    <sheet name="df c50" sheetId="12" r:id="rId12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<sst xmlns="http://schemas.openxmlformats.org/spreadsheetml/2006/main" count="1525" uniqueCount="282">
  <si>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</si>
  <si>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</si>
  <si>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</si>
  <si>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</si>
  <si>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</si>
  <si>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</si>
  <si>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</si>
  <si>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</si>
  <si>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</si>
  <si>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</si>
  <si>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</si>
  <si>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</si>
  <si>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</si>
  <si>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</si>
  <si>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</si>
  <si>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</si>
  <si>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</si>
  <si>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</si>
  <si>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</si>
  <si>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</si>
  <si>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</si>
  <si>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</si>
  <si>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</si>
  <si>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</si>
  <si>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</si>
  <si>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</si>
  <si>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</si>
  <si>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</si>
  <si>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</si>
  <si>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</si>
  <si>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</si>
  <si>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</si>
  <si>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</si>
  <si>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</si>
  <si>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</si>
  <si>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</si>
  <si>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</si>
  <si>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</si>
  <si>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</si>
  <si>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</si>
  <si>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</si>
  <si>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</si>
  <si>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</si>
  <si>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</si>
  <si>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</si>
  <si>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</si>
  <si>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</si>
  <si>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</si>
  <si>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</si>
  <si>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</si>
  <si>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HCl</t>
  </si>
  <si>
    <t>Cl2</t>
  </si>
  <si>
    <t>lb/hr</t>
  </si>
  <si>
    <t>Run 1</t>
  </si>
  <si>
    <t>Spike</t>
  </si>
  <si>
    <t>ug/dscm</t>
  </si>
  <si>
    <t>SVM</t>
  </si>
  <si>
    <t>LVM</t>
  </si>
  <si>
    <t>O2 (%)</t>
  </si>
  <si>
    <t>TEQ Cond Avg</t>
  </si>
  <si>
    <t>Total Cond Avg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</si>
  <si>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</si>
  <si>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</si>
  <si>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</si>
  <si>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</si>
  <si>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</si>
  <si>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</si>
  <si>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</si>
  <si>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</si>
  <si>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</si>
  <si>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</si>
  <si>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</si>
  <si>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</si>
  <si>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</si>
  <si>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</si>
  <si>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</si>
  <si>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</si>
  <si>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</si>
  <si>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</si>
  <si>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>Trial Burn</t>
  </si>
  <si>
    <t xml:space="preserve">   O2</t>
  </si>
  <si>
    <t xml:space="preserve">   Moisture</t>
  </si>
  <si>
    <t>Sampling Train</t>
  </si>
  <si>
    <t>Trial burn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</si>
  <si>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</si>
  <si>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</si>
  <si>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</si>
  <si>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</si>
  <si>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</si>
  <si>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</si>
  <si>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</si>
  <si>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</si>
  <si>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</si>
  <si>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</si>
  <si>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</si>
  <si>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</si>
  <si>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Metals</t>
  </si>
  <si>
    <t>nd</t>
  </si>
  <si>
    <t>Detected in sample volume (pg)</t>
  </si>
  <si>
    <t>n</t>
  </si>
  <si>
    <t>Phase I ID No.</t>
  </si>
  <si>
    <t>CO (RA)</t>
  </si>
  <si>
    <t>Run 2</t>
  </si>
  <si>
    <t>Stack Gas Flowrate</t>
  </si>
  <si>
    <t>Oxygen</t>
  </si>
  <si>
    <t>Feedrate MTEC Calculations</t>
  </si>
  <si>
    <t>PM, HCl/Cl2</t>
  </si>
  <si>
    <t>Chlorine</t>
  </si>
  <si>
    <t>Heating Value</t>
  </si>
  <si>
    <t>Btu/lb</t>
  </si>
  <si>
    <t>Thermal Feedrate</t>
  </si>
  <si>
    <t>MMBtu/hr</t>
  </si>
  <si>
    <t>Estimated Firing Rate</t>
  </si>
  <si>
    <t>DOE Oak Ridge K-25</t>
  </si>
  <si>
    <t>Oak Ridge</t>
  </si>
  <si>
    <t>TN</t>
  </si>
  <si>
    <t>Rotary kiln</t>
  </si>
  <si>
    <t>Q/VS/PBS/IWS</t>
  </si>
  <si>
    <t>Quench, venturi scrubber, packed bed scrubber, ionizing wet scrubber (2 in series)</t>
  </si>
  <si>
    <t>TRC Environmental Corp</t>
  </si>
  <si>
    <t>Final Report, Trial Burn of the TSCA Incinerator, U.S. Department of Energy, Oak Ridge East Tennessee Technology Park, Oak Ridge Tennessee, September 7, 2001, TRC Project No. 02261 - 0020 - 00000</t>
  </si>
  <si>
    <t>Trial burn, low temp, DRE, solid PCBs</t>
  </si>
  <si>
    <t>Trial burn, low temp, DRE, liquid PCBs</t>
  </si>
  <si>
    <t>Trial burn, max temp, max metals</t>
  </si>
  <si>
    <t>PM, HCl/Cl2, D/F, VOC, PCB, HC/CO</t>
  </si>
  <si>
    <t>PM, D/F, CO/HC, VOC, DRE</t>
  </si>
  <si>
    <t>PM, HCl/Cl2, metals, CO/HC</t>
  </si>
  <si>
    <t>May 23-24, 2001</t>
  </si>
  <si>
    <t>May 19-21, 2001</t>
  </si>
  <si>
    <t>May 15, 16, 25, 2001</t>
  </si>
  <si>
    <t>POHC DRE</t>
  </si>
  <si>
    <t>POHC Feedrate</t>
  </si>
  <si>
    <t>POHC Emissions</t>
  </si>
  <si>
    <t>Carbon Tetrachloride</t>
  </si>
  <si>
    <t>PCB</t>
  </si>
  <si>
    <t>Trichlorobenzene</t>
  </si>
  <si>
    <t>g/hr</t>
  </si>
  <si>
    <t>HC (RA)</t>
  </si>
  <si>
    <t>NOx (RA)</t>
  </si>
  <si>
    <t>V</t>
  </si>
  <si>
    <t>ug/dscf</t>
  </si>
  <si>
    <t>DOE Oak Ridge, TN</t>
  </si>
  <si>
    <t>Trial burn, low temp DRE, May 2001</t>
  </si>
  <si>
    <t>g/s</t>
  </si>
  <si>
    <t>&gt;</t>
  </si>
  <si>
    <t>Other TCDD</t>
  </si>
  <si>
    <t>Other PCDD</t>
  </si>
  <si>
    <t>Other HxCDD</t>
  </si>
  <si>
    <t>Other HpCDD</t>
  </si>
  <si>
    <t>Other TCDF</t>
  </si>
  <si>
    <t>Other PCDF</t>
  </si>
  <si>
    <t>Other HxCDF</t>
  </si>
  <si>
    <t>Other HpCDF</t>
  </si>
  <si>
    <t>Run 3</t>
  </si>
  <si>
    <t>Solid Waste</t>
  </si>
  <si>
    <t>Primary Organic Liquid Waste</t>
  </si>
  <si>
    <t>Secondary Organic Liquid Waste</t>
  </si>
  <si>
    <t>Aqueous Waste</t>
  </si>
  <si>
    <t>Arsenic</t>
  </si>
  <si>
    <t>Cadmium</t>
  </si>
  <si>
    <t>Chromium</t>
  </si>
  <si>
    <t>Lead</t>
  </si>
  <si>
    <t>Antimony</t>
  </si>
  <si>
    <t>Beryllium</t>
  </si>
  <si>
    <t>Barium</t>
  </si>
  <si>
    <t>Cobolt</t>
  </si>
  <si>
    <t>Manganese</t>
  </si>
  <si>
    <t>Mercury</t>
  </si>
  <si>
    <t>Nickel</t>
  </si>
  <si>
    <t>Selenium</t>
  </si>
  <si>
    <t>Silver</t>
  </si>
  <si>
    <t>Thallium</t>
  </si>
  <si>
    <t>Vanadium</t>
  </si>
  <si>
    <t>Kiln Exit Temperature</t>
  </si>
  <si>
    <t>F</t>
  </si>
  <si>
    <t>Kiln Speed</t>
  </si>
  <si>
    <t>rpm</t>
  </si>
  <si>
    <t>Kiln Pressure</t>
  </si>
  <si>
    <t>in WC</t>
  </si>
  <si>
    <t>Venturi Scrubber Pressure Drop</t>
  </si>
  <si>
    <t>Venturi Scrubber Flowrate</t>
  </si>
  <si>
    <t>gpm</t>
  </si>
  <si>
    <t>Packed Bed pH</t>
  </si>
  <si>
    <t>IWS #1 Voltage</t>
  </si>
  <si>
    <t>IWS #2 Voltage</t>
  </si>
  <si>
    <t>IWS Blowdown</t>
  </si>
  <si>
    <t>Afterburner Exit Temperature</t>
  </si>
  <si>
    <t>357C10</t>
  </si>
  <si>
    <t>357C11</t>
  </si>
  <si>
    <t>357C12</t>
  </si>
  <si>
    <t>Report Name/Date</t>
  </si>
  <si>
    <t>Report Prepare</t>
  </si>
  <si>
    <t>Testing Firm</t>
  </si>
  <si>
    <t>Testing Dates</t>
  </si>
  <si>
    <t>Condition Descr</t>
  </si>
  <si>
    <t>Content</t>
  </si>
  <si>
    <t>357C1</t>
  </si>
  <si>
    <t>R1</t>
  </si>
  <si>
    <t>R2</t>
  </si>
  <si>
    <t>R3</t>
  </si>
  <si>
    <t/>
  </si>
  <si>
    <t>PM/HCl</t>
  </si>
  <si>
    <t>Hexachloroethane</t>
  </si>
  <si>
    <t>Trichlorofluoromethane</t>
  </si>
  <si>
    <t>Liq primary</t>
  </si>
  <si>
    <t>Aqueous</t>
  </si>
  <si>
    <t>SCC Liq Waste</t>
  </si>
  <si>
    <t>Sludge</t>
  </si>
  <si>
    <t>Solid</t>
  </si>
  <si>
    <t>wt %</t>
  </si>
  <si>
    <t>ppmw</t>
  </si>
  <si>
    <t>Condition Description</t>
  </si>
  <si>
    <t>Trial burn, MAX WASTE, CL, ASH FEED; MINIMUM TEMP</t>
  </si>
  <si>
    <t>Combustor Class</t>
  </si>
  <si>
    <t>Combustor Type</t>
  </si>
  <si>
    <t>Rotary kiln, afterburner, International Waste Energy Systems, kiln is 6' diameter, 25' long</t>
  </si>
  <si>
    <t>TN0890090004</t>
  </si>
  <si>
    <t>Stack Gas Emissions 1</t>
  </si>
  <si>
    <t>Stack Gas Emissions 2</t>
  </si>
  <si>
    <t>Feedstream 2</t>
  </si>
  <si>
    <t>IT Corp</t>
  </si>
  <si>
    <t>RCRA Trial Burn Report for a Dual Purpose RCRA/TSCA Incinerator at the U.S. Department of Energy's K-25 Facility in Oak Ridge, Tennessee, August 31, 1989</t>
  </si>
  <si>
    <t>June 12-14, 1989</t>
  </si>
  <si>
    <t>357C?</t>
  </si>
  <si>
    <t>35711</t>
  </si>
  <si>
    <t>in H2O</t>
  </si>
  <si>
    <t>35710</t>
  </si>
  <si>
    <t>35712</t>
  </si>
  <si>
    <t>Kiln Temperature</t>
  </si>
  <si>
    <t>Afterburner Temperature</t>
  </si>
  <si>
    <t>VS Pressure Drop</t>
  </si>
  <si>
    <t>PBS Temperature</t>
  </si>
  <si>
    <t>PBS pH</t>
  </si>
  <si>
    <t>Process Information 2</t>
  </si>
  <si>
    <t>357C50</t>
  </si>
  <si>
    <t>PCDD/PCDF data from 1995 testing provided to EPA by DOE</t>
  </si>
  <si>
    <t>E1</t>
  </si>
  <si>
    <t>Total Chlorine</t>
  </si>
  <si>
    <t>Aluminum</t>
  </si>
  <si>
    <t>Cobalt</t>
  </si>
  <si>
    <t>Copper</t>
  </si>
  <si>
    <t>Zinc</t>
  </si>
  <si>
    <t>E2</t>
  </si>
  <si>
    <t>Cond Dates</t>
  </si>
  <si>
    <t>Number of Sister Facilities</t>
  </si>
  <si>
    <t>APCS Detailed Acronym</t>
  </si>
  <si>
    <t>APCS General Class</t>
  </si>
  <si>
    <t>WQ, HEWS, LEWS, IWS</t>
  </si>
  <si>
    <t>Liq, solid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</si>
  <si>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</si>
  <si>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</si>
  <si>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</si>
  <si>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</si>
  <si>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</si>
  <si>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</si>
  <si>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</si>
  <si>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</si>
  <si>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</si>
  <si>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c11</t>
  </si>
  <si>
    <t>Onsite Incinerator, government, mixed waste</t>
  </si>
  <si>
    <t>Feedstream Number</t>
  </si>
  <si>
    <t>Feed Class</t>
  </si>
  <si>
    <t>Solid HW</t>
  </si>
  <si>
    <t>F1</t>
  </si>
  <si>
    <t>Liq HW</t>
  </si>
  <si>
    <t>F2</t>
  </si>
  <si>
    <t>F3</t>
  </si>
  <si>
    <t>F4</t>
  </si>
  <si>
    <t>F5</t>
  </si>
  <si>
    <t>F6</t>
  </si>
  <si>
    <t>Sludge HW</t>
  </si>
  <si>
    <t>Feed Class 2</t>
  </si>
  <si>
    <t>ETTP TSCA Incinerator</t>
  </si>
  <si>
    <t>No</t>
  </si>
  <si>
    <t>Radioactive (mixed) liquid, sludge, solid wastes, PCBs</t>
  </si>
  <si>
    <t>Natural gas</t>
  </si>
  <si>
    <t>RCRA 1997</t>
  </si>
  <si>
    <t>Full ND</t>
  </si>
  <si>
    <t>Normal testing, 1995</t>
  </si>
  <si>
    <t>df c50</t>
  </si>
  <si>
    <t>N</t>
  </si>
  <si>
    <t>HC levels considered unreasonably high, likely problems with HC analyzer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</si>
</sst>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mm/dd/yy"/>
    <numFmt numFmtId="178" formatCode="0.0E+00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/>
    </xf>
    <xf numFmtId="11" fontId="0" fillId="0" borderId="0" xfId="0" applyNumberFormat="1" applyFont="1" applyAlignment="1">
      <alignment/>
    </xf>
    <xf numFmtId="0" fontId="0" fillId="0" borderId="0" xfId="20" applyFont="1">
      <alignment/>
      <protection/>
    </xf>
    <xf numFmtId="0" fontId="3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NumberFormat="1" applyFont="1" applyBorder="1">
      <alignment/>
      <protection/>
    </xf>
    <xf numFmtId="166" fontId="0" fillId="0" borderId="0" xfId="20" applyNumberFormat="1" applyFont="1" applyBorder="1">
      <alignment/>
      <protection/>
    </xf>
    <xf numFmtId="165" fontId="0" fillId="0" borderId="0" xfId="20" applyNumberFormat="1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NumberFormat="1" applyFont="1" applyFill="1" applyBorder="1">
      <alignment/>
      <protection/>
    </xf>
    <xf numFmtId="1" fontId="0" fillId="0" borderId="0" xfId="20" applyNumberFormat="1" applyFont="1" applyFill="1" applyBorder="1">
      <alignment/>
      <protection/>
    </xf>
    <xf numFmtId="177" fontId="0" fillId="0" borderId="0" xfId="20" applyNumberFormat="1" applyFont="1" applyAlignment="1">
      <alignment horizontal="left"/>
      <protection/>
    </xf>
    <xf numFmtId="0" fontId="3" fillId="0" borderId="0" xfId="20" applyFont="1" applyFill="1" applyBorder="1">
      <alignment/>
      <protection/>
    </xf>
    <xf numFmtId="0" fontId="0" fillId="0" borderId="0" xfId="20" applyFont="1" applyAlignment="1">
      <alignment vertical="top" wrapText="1"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2" fontId="0" fillId="0" borderId="0" xfId="20" applyNumberFormat="1" applyFont="1" applyFill="1" applyBorder="1">
      <alignment/>
      <protection/>
    </xf>
    <xf numFmtId="167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357 ol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B1" sqref="B1"/>
    </sheetView>
  </sheetViews>
  <sheetFormatPr defaultColWidth="9.140625" defaultRowHeight="12.75"/>
  <sheetData>
    <row r="1" ht="12.75">
      <c r="A1" t="s">
        <v>249</v>
      </c>
    </row>
    <row r="2" ht="12.75">
      <c r="A2" t="s">
        <v>250</v>
      </c>
    </row>
    <row r="3" ht="12.75">
      <c r="A3" t="s">
        <v>251</v>
      </c>
    </row>
    <row r="4" ht="12.75">
      <c r="A4" t="s">
        <v>252</v>
      </c>
    </row>
    <row r="5" ht="12.75">
      <c r="A5" t="s">
        <v>253</v>
      </c>
    </row>
    <row r="6" ht="12.75">
      <c r="A6" t="s">
        <v>254</v>
      </c>
    </row>
    <row r="7" ht="12.75">
      <c r="A7" t="s">
        <v>255</v>
      </c>
    </row>
    <row r="8" ht="12.75">
      <c r="A8" t="s">
        <v>256</v>
      </c>
    </row>
    <row r="9" ht="12.75">
      <c r="A9" t="s">
        <v>257</v>
      </c>
    </row>
    <row r="10" ht="12.75">
      <c r="A10" t="s">
        <v>258</v>
      </c>
    </row>
    <row r="11" ht="12.75">
      <c r="A11" t="s">
        <v>279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B33" sqref="B33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5.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52" customWidth="1"/>
    <col min="11" max="11" width="9.28125" style="0" customWidth="1"/>
    <col min="13" max="13" width="9.28125" style="0" customWidth="1"/>
    <col min="14" max="14" width="7.140625" style="0" customWidth="1"/>
    <col min="16" max="16" width="9.28125" style="0" customWidth="1"/>
    <col min="18" max="18" width="9.28125" style="0" customWidth="1"/>
  </cols>
  <sheetData>
    <row r="1" spans="1:18" ht="12.75">
      <c r="A1" s="43" t="s">
        <v>67</v>
      </c>
      <c r="B1" s="28"/>
      <c r="C1" s="28"/>
      <c r="D1" s="28"/>
      <c r="E1" s="35"/>
      <c r="F1" s="36"/>
      <c r="G1" s="35"/>
      <c r="H1" s="36"/>
      <c r="I1" s="39"/>
      <c r="J1" s="35"/>
      <c r="K1" s="35"/>
      <c r="L1" s="35"/>
      <c r="M1" s="35"/>
      <c r="N1" s="35"/>
      <c r="O1" s="35"/>
      <c r="P1" s="35"/>
      <c r="Q1" s="35"/>
      <c r="R1" s="35"/>
    </row>
    <row r="2" spans="1:18" ht="9" customHeight="1">
      <c r="A2" s="28" t="s">
        <v>280</v>
      </c>
      <c r="B2" s="28"/>
      <c r="C2" s="28"/>
      <c r="D2" s="28"/>
      <c r="E2" s="35"/>
      <c r="F2" s="36"/>
      <c r="G2" s="35"/>
      <c r="H2" s="36"/>
      <c r="I2" s="39"/>
      <c r="J2" s="35"/>
      <c r="K2" s="35"/>
      <c r="L2" s="35"/>
      <c r="M2" s="35"/>
      <c r="N2" s="35"/>
      <c r="O2" s="35"/>
      <c r="P2" s="35"/>
      <c r="Q2" s="35"/>
      <c r="R2" s="35"/>
    </row>
    <row r="3" spans="1:18" ht="12.75">
      <c r="A3" s="28" t="s">
        <v>20</v>
      </c>
      <c r="B3" s="28"/>
      <c r="C3" s="11" t="s">
        <v>141</v>
      </c>
      <c r="D3" s="11"/>
      <c r="E3" s="35"/>
      <c r="F3" s="36"/>
      <c r="G3" s="35"/>
      <c r="H3" s="36"/>
      <c r="I3" s="39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28" t="s">
        <v>21</v>
      </c>
      <c r="B4" s="28"/>
      <c r="C4" s="11" t="s">
        <v>187</v>
      </c>
      <c r="D4" s="11"/>
      <c r="E4" s="37"/>
      <c r="F4" s="38"/>
      <c r="G4" s="37"/>
      <c r="H4" s="38"/>
      <c r="I4" s="39"/>
      <c r="J4" s="37"/>
      <c r="K4" s="37"/>
      <c r="L4" s="37"/>
      <c r="M4" s="37"/>
      <c r="N4" s="37"/>
      <c r="O4" s="37"/>
      <c r="P4" s="37"/>
      <c r="Q4" s="37"/>
      <c r="R4" s="37"/>
    </row>
    <row r="5" spans="1:18" ht="12.75">
      <c r="A5" s="28" t="s">
        <v>22</v>
      </c>
      <c r="B5" s="28"/>
      <c r="C5" s="13" t="s">
        <v>142</v>
      </c>
      <c r="D5" s="13"/>
      <c r="E5" s="13"/>
      <c r="F5" s="13"/>
      <c r="G5" s="13"/>
      <c r="H5" s="13"/>
      <c r="I5" s="48"/>
      <c r="J5" s="13"/>
      <c r="K5" s="35"/>
      <c r="L5" s="13"/>
      <c r="M5" s="35"/>
      <c r="N5" s="35"/>
      <c r="O5" s="13"/>
      <c r="P5" s="35"/>
      <c r="Q5" s="13"/>
      <c r="R5" s="35"/>
    </row>
    <row r="6" spans="1:18" ht="12.75">
      <c r="A6" s="28"/>
      <c r="B6" s="28"/>
      <c r="C6" s="30"/>
      <c r="D6" s="30"/>
      <c r="E6" s="39"/>
      <c r="F6" s="36"/>
      <c r="G6" s="39"/>
      <c r="H6" s="36"/>
      <c r="I6" s="39"/>
      <c r="J6" s="39"/>
      <c r="K6" s="35"/>
      <c r="L6" s="39"/>
      <c r="M6" s="35"/>
      <c r="N6" s="35"/>
      <c r="O6" s="39"/>
      <c r="P6" s="35"/>
      <c r="Q6" s="39"/>
      <c r="R6" s="35"/>
    </row>
    <row r="7" spans="1:18" ht="12.75">
      <c r="A7" s="28"/>
      <c r="B7" s="28"/>
      <c r="C7" s="30" t="s">
        <v>23</v>
      </c>
      <c r="D7" s="30"/>
      <c r="E7" s="40" t="s">
        <v>53</v>
      </c>
      <c r="F7" s="40"/>
      <c r="G7" s="40"/>
      <c r="H7" s="40"/>
      <c r="I7" s="12"/>
      <c r="J7" s="40" t="s">
        <v>102</v>
      </c>
      <c r="K7" s="40"/>
      <c r="L7" s="40"/>
      <c r="M7" s="40"/>
      <c r="N7" s="12"/>
      <c r="O7" s="40" t="s">
        <v>153</v>
      </c>
      <c r="P7" s="40"/>
      <c r="Q7" s="40"/>
      <c r="R7" s="40"/>
    </row>
    <row r="8" spans="1:18" ht="12.75">
      <c r="A8" s="28"/>
      <c r="B8" s="28"/>
      <c r="C8" s="30" t="s">
        <v>24</v>
      </c>
      <c r="D8" s="28"/>
      <c r="E8" s="39" t="s">
        <v>25</v>
      </c>
      <c r="F8" s="38" t="s">
        <v>26</v>
      </c>
      <c r="G8" s="39" t="s">
        <v>25</v>
      </c>
      <c r="H8" s="38" t="s">
        <v>26</v>
      </c>
      <c r="I8" s="39"/>
      <c r="J8" s="39" t="s">
        <v>25</v>
      </c>
      <c r="K8" s="39" t="s">
        <v>27</v>
      </c>
      <c r="L8" s="39" t="s">
        <v>25</v>
      </c>
      <c r="M8" s="39" t="s">
        <v>27</v>
      </c>
      <c r="N8" s="35"/>
      <c r="O8" s="39" t="s">
        <v>25</v>
      </c>
      <c r="P8" s="39" t="s">
        <v>27</v>
      </c>
      <c r="Q8" s="39" t="s">
        <v>25</v>
      </c>
      <c r="R8" s="39" t="s">
        <v>27</v>
      </c>
    </row>
    <row r="9" spans="1:18" ht="12.75">
      <c r="A9" s="28"/>
      <c r="B9" s="28"/>
      <c r="C9" s="30"/>
      <c r="D9" s="28"/>
      <c r="E9" s="39" t="s">
        <v>277</v>
      </c>
      <c r="F9" s="39" t="s">
        <v>277</v>
      </c>
      <c r="G9" s="39" t="s">
        <v>66</v>
      </c>
      <c r="H9" s="38" t="s">
        <v>66</v>
      </c>
      <c r="I9" s="39"/>
      <c r="J9" s="39" t="s">
        <v>277</v>
      </c>
      <c r="K9" s="39" t="s">
        <v>277</v>
      </c>
      <c r="L9" s="39" t="s">
        <v>66</v>
      </c>
      <c r="M9" s="38" t="s">
        <v>66</v>
      </c>
      <c r="N9" s="35"/>
      <c r="O9" s="39" t="s">
        <v>277</v>
      </c>
      <c r="P9" s="39" t="s">
        <v>277</v>
      </c>
      <c r="Q9" s="39" t="s">
        <v>66</v>
      </c>
      <c r="R9" s="38" t="s">
        <v>66</v>
      </c>
    </row>
    <row r="10" spans="1:18" ht="12.75">
      <c r="A10" s="28" t="s">
        <v>98</v>
      </c>
      <c r="B10" s="28"/>
      <c r="C10" s="28"/>
      <c r="D10" s="28"/>
      <c r="E10" s="35"/>
      <c r="F10" s="36"/>
      <c r="G10" s="35"/>
      <c r="H10" s="36"/>
      <c r="I10" s="39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28"/>
      <c r="B11" s="28" t="s">
        <v>28</v>
      </c>
      <c r="C11" s="30">
        <v>1</v>
      </c>
      <c r="D11" t="s">
        <v>97</v>
      </c>
      <c r="E11">
        <v>9.2</v>
      </c>
      <c r="F11" s="33">
        <f aca="true" t="shared" si="0" ref="F11:F35">IF(E11="","",E11*$C11)</f>
        <v>9.2</v>
      </c>
      <c r="G11" s="33">
        <f aca="true" t="shared" si="1" ref="G11:G35">IF(E11=0,"",IF(D11="nd",E11/2,E11))</f>
        <v>4.6</v>
      </c>
      <c r="H11" s="33">
        <f aca="true" t="shared" si="2" ref="H11:H35">IF(G11="","",G11*$C11)</f>
        <v>4.6</v>
      </c>
      <c r="I11" t="s">
        <v>97</v>
      </c>
      <c r="J11">
        <v>7.3</v>
      </c>
      <c r="K11" s="33">
        <f aca="true" t="shared" si="3" ref="K11:K35">IF(J11="","",J11*$C11)</f>
        <v>7.3</v>
      </c>
      <c r="L11" s="33">
        <f>IF(J11=0,"",IF(I11="nd",J11/2,J11))</f>
        <v>3.65</v>
      </c>
      <c r="M11" s="33">
        <f aca="true" t="shared" si="4" ref="M11:M35">IF(L11="","",L11*$C11)</f>
        <v>3.65</v>
      </c>
      <c r="N11" t="s">
        <v>97</v>
      </c>
      <c r="O11">
        <v>11.4</v>
      </c>
      <c r="P11" s="33">
        <f aca="true" t="shared" si="5" ref="P11:P35">IF(O11="","",O11*$C11)</f>
        <v>11.4</v>
      </c>
      <c r="Q11" s="33">
        <f aca="true" t="shared" si="6" ref="Q11:Q35">IF(O11=0,"",IF(N11="nd",O11/2,O11))</f>
        <v>5.7</v>
      </c>
      <c r="R11" s="33">
        <f aca="true" t="shared" si="7" ref="R11:R35">IF(Q11="","",Q11*$C11)</f>
        <v>5.7</v>
      </c>
    </row>
    <row r="12" spans="1:18" ht="12.75">
      <c r="A12" s="28"/>
      <c r="B12" s="28" t="s">
        <v>145</v>
      </c>
      <c r="C12" s="30">
        <v>0</v>
      </c>
      <c r="E12">
        <v>109</v>
      </c>
      <c r="F12" s="41">
        <f t="shared" si="0"/>
        <v>0</v>
      </c>
      <c r="G12" s="41">
        <f>IF(E12=0,"",IF(D12="nd",E12/2,E12))</f>
        <v>109</v>
      </c>
      <c r="H12" s="41">
        <f t="shared" si="2"/>
        <v>0</v>
      </c>
      <c r="I12"/>
      <c r="J12">
        <v>70.1</v>
      </c>
      <c r="K12" s="33">
        <f t="shared" si="3"/>
        <v>0</v>
      </c>
      <c r="L12" s="41">
        <f>IF(J12=0,"",IF(I12="nd",J12/2,J12))</f>
        <v>70.1</v>
      </c>
      <c r="M12" s="33">
        <f t="shared" si="4"/>
        <v>0</v>
      </c>
      <c r="O12">
        <v>85.7</v>
      </c>
      <c r="P12" s="33">
        <f t="shared" si="5"/>
        <v>0</v>
      </c>
      <c r="Q12" s="41">
        <f t="shared" si="6"/>
        <v>85.7</v>
      </c>
      <c r="R12" s="33">
        <f t="shared" si="7"/>
        <v>0</v>
      </c>
    </row>
    <row r="13" spans="1:18" ht="12.75">
      <c r="A13" s="28"/>
      <c r="B13" s="28" t="s">
        <v>29</v>
      </c>
      <c r="C13" s="30">
        <v>0.5</v>
      </c>
      <c r="E13">
        <v>8.4</v>
      </c>
      <c r="F13" s="33">
        <f t="shared" si="0"/>
        <v>4.2</v>
      </c>
      <c r="G13" s="33">
        <f t="shared" si="1"/>
        <v>8.4</v>
      </c>
      <c r="H13" s="33">
        <f t="shared" si="2"/>
        <v>4.2</v>
      </c>
      <c r="I13"/>
      <c r="J13">
        <v>8.8</v>
      </c>
      <c r="K13" s="33">
        <f t="shared" si="3"/>
        <v>4.4</v>
      </c>
      <c r="L13" s="33">
        <f aca="true" t="shared" si="8" ref="L13:L35">IF(J13=0,"",IF(I13="nd",J13/2,J13))</f>
        <v>8.8</v>
      </c>
      <c r="M13" s="33">
        <f t="shared" si="4"/>
        <v>4.4</v>
      </c>
      <c r="O13">
        <v>13</v>
      </c>
      <c r="P13" s="33">
        <f t="shared" si="5"/>
        <v>6.5</v>
      </c>
      <c r="Q13" s="33">
        <f t="shared" si="6"/>
        <v>13</v>
      </c>
      <c r="R13" s="33">
        <f t="shared" si="7"/>
        <v>6.5</v>
      </c>
    </row>
    <row r="14" spans="1:18" ht="12.75">
      <c r="A14" s="28"/>
      <c r="B14" s="28" t="s">
        <v>146</v>
      </c>
      <c r="C14" s="30">
        <v>0</v>
      </c>
      <c r="E14">
        <v>113</v>
      </c>
      <c r="F14" s="41">
        <f t="shared" si="0"/>
        <v>0</v>
      </c>
      <c r="G14" s="41">
        <f>IF(E14=0,"",IF(D14="nd",E14/2,E14))</f>
        <v>113</v>
      </c>
      <c r="H14" s="41">
        <f t="shared" si="2"/>
        <v>0</v>
      </c>
      <c r="I14"/>
      <c r="J14">
        <v>94.3</v>
      </c>
      <c r="K14" s="33">
        <f t="shared" si="3"/>
        <v>0</v>
      </c>
      <c r="L14" s="41">
        <f>IF(J14=0,"",IF(I14="nd",J14/2,J14))</f>
        <v>94.3</v>
      </c>
      <c r="M14" s="33">
        <f t="shared" si="4"/>
        <v>0</v>
      </c>
      <c r="O14">
        <v>75</v>
      </c>
      <c r="P14" s="33">
        <f t="shared" si="5"/>
        <v>0</v>
      </c>
      <c r="Q14" s="41">
        <f t="shared" si="6"/>
        <v>75</v>
      </c>
      <c r="R14" s="33">
        <f t="shared" si="7"/>
        <v>0</v>
      </c>
    </row>
    <row r="15" spans="1:18" ht="12.75">
      <c r="A15" s="28"/>
      <c r="B15" s="28" t="s">
        <v>30</v>
      </c>
      <c r="C15" s="30">
        <v>0.1</v>
      </c>
      <c r="E15">
        <v>4.5</v>
      </c>
      <c r="F15" s="33">
        <f t="shared" si="0"/>
        <v>0.45</v>
      </c>
      <c r="G15" s="33">
        <f t="shared" si="1"/>
        <v>4.5</v>
      </c>
      <c r="H15" s="33">
        <f t="shared" si="2"/>
        <v>0.45</v>
      </c>
      <c r="I15"/>
      <c r="J15">
        <v>5.3</v>
      </c>
      <c r="K15" s="33">
        <f t="shared" si="3"/>
        <v>0.53</v>
      </c>
      <c r="L15" s="33">
        <f t="shared" si="8"/>
        <v>5.3</v>
      </c>
      <c r="M15" s="33">
        <f t="shared" si="4"/>
        <v>0.53</v>
      </c>
      <c r="O15">
        <v>9.6</v>
      </c>
      <c r="P15" s="33">
        <f t="shared" si="5"/>
        <v>0.96</v>
      </c>
      <c r="Q15" s="33">
        <f t="shared" si="6"/>
        <v>9.6</v>
      </c>
      <c r="R15" s="33">
        <f t="shared" si="7"/>
        <v>0.96</v>
      </c>
    </row>
    <row r="16" spans="1:18" ht="12.75">
      <c r="A16" s="28"/>
      <c r="B16" s="28" t="s">
        <v>31</v>
      </c>
      <c r="C16" s="30">
        <v>0.1</v>
      </c>
      <c r="E16">
        <v>8</v>
      </c>
      <c r="F16" s="33">
        <f t="shared" si="0"/>
        <v>0.8</v>
      </c>
      <c r="G16" s="33">
        <f t="shared" si="1"/>
        <v>8</v>
      </c>
      <c r="H16" s="33">
        <f t="shared" si="2"/>
        <v>0.8</v>
      </c>
      <c r="I16"/>
      <c r="J16">
        <v>7.4</v>
      </c>
      <c r="K16" s="33">
        <f t="shared" si="3"/>
        <v>0.7400000000000001</v>
      </c>
      <c r="L16" s="33">
        <f t="shared" si="8"/>
        <v>7.4</v>
      </c>
      <c r="M16" s="33">
        <f t="shared" si="4"/>
        <v>0.7400000000000001</v>
      </c>
      <c r="O16">
        <v>11.1</v>
      </c>
      <c r="P16" s="33">
        <f t="shared" si="5"/>
        <v>1.11</v>
      </c>
      <c r="Q16" s="33">
        <f t="shared" si="6"/>
        <v>11.1</v>
      </c>
      <c r="R16" s="33">
        <f t="shared" si="7"/>
        <v>1.11</v>
      </c>
    </row>
    <row r="17" spans="1:18" ht="12.75">
      <c r="A17" s="28"/>
      <c r="B17" s="28" t="s">
        <v>32</v>
      </c>
      <c r="C17" s="30">
        <v>0.1</v>
      </c>
      <c r="E17">
        <v>9</v>
      </c>
      <c r="F17" s="33">
        <f t="shared" si="0"/>
        <v>0.9</v>
      </c>
      <c r="G17" s="33">
        <f t="shared" si="1"/>
        <v>9</v>
      </c>
      <c r="H17" s="33">
        <f t="shared" si="2"/>
        <v>0.9</v>
      </c>
      <c r="I17"/>
      <c r="J17">
        <v>10.8</v>
      </c>
      <c r="K17" s="33">
        <f t="shared" si="3"/>
        <v>1.08</v>
      </c>
      <c r="L17" s="33">
        <f t="shared" si="8"/>
        <v>10.8</v>
      </c>
      <c r="M17" s="33">
        <f t="shared" si="4"/>
        <v>1.08</v>
      </c>
      <c r="O17">
        <v>16</v>
      </c>
      <c r="P17" s="33">
        <f t="shared" si="5"/>
        <v>1.6</v>
      </c>
      <c r="Q17" s="33">
        <f t="shared" si="6"/>
        <v>16</v>
      </c>
      <c r="R17" s="33">
        <f t="shared" si="7"/>
        <v>1.6</v>
      </c>
    </row>
    <row r="18" spans="1:18" ht="12.75">
      <c r="A18" s="28"/>
      <c r="B18" s="28" t="s">
        <v>147</v>
      </c>
      <c r="C18" s="30">
        <v>0</v>
      </c>
      <c r="E18">
        <v>142</v>
      </c>
      <c r="F18" s="41">
        <f t="shared" si="0"/>
        <v>0</v>
      </c>
      <c r="G18" s="41">
        <f>IF(E18=0,"",IF(D18="nd",E18/2,E18))</f>
        <v>142</v>
      </c>
      <c r="H18" s="41">
        <f t="shared" si="2"/>
        <v>0</v>
      </c>
      <c r="I18"/>
      <c r="J18">
        <v>70.6</v>
      </c>
      <c r="K18" s="33">
        <f t="shared" si="3"/>
        <v>0</v>
      </c>
      <c r="L18" s="41">
        <f>IF(J18=0,"",IF(I18="nd",J18/2,J18))</f>
        <v>70.6</v>
      </c>
      <c r="M18" s="33">
        <f t="shared" si="4"/>
        <v>0</v>
      </c>
      <c r="O18">
        <v>79</v>
      </c>
      <c r="P18" s="33">
        <f t="shared" si="5"/>
        <v>0</v>
      </c>
      <c r="Q18" s="41">
        <f t="shared" si="6"/>
        <v>79</v>
      </c>
      <c r="R18" s="33">
        <f t="shared" si="7"/>
        <v>0</v>
      </c>
    </row>
    <row r="19" spans="1:18" ht="12.75">
      <c r="A19" s="28"/>
      <c r="B19" s="28" t="s">
        <v>33</v>
      </c>
      <c r="C19" s="30">
        <v>0.01</v>
      </c>
      <c r="E19">
        <v>25.3</v>
      </c>
      <c r="F19" s="33">
        <f t="shared" si="0"/>
        <v>0.253</v>
      </c>
      <c r="G19" s="33">
        <f t="shared" si="1"/>
        <v>25.3</v>
      </c>
      <c r="H19" s="33">
        <f t="shared" si="2"/>
        <v>0.253</v>
      </c>
      <c r="I19"/>
      <c r="J19">
        <v>31.8</v>
      </c>
      <c r="K19" s="33">
        <f t="shared" si="3"/>
        <v>0.318</v>
      </c>
      <c r="L19" s="33">
        <f t="shared" si="8"/>
        <v>31.8</v>
      </c>
      <c r="M19" s="33">
        <f t="shared" si="4"/>
        <v>0.318</v>
      </c>
      <c r="O19">
        <v>58</v>
      </c>
      <c r="P19" s="33">
        <f t="shared" si="5"/>
        <v>0.58</v>
      </c>
      <c r="Q19" s="33">
        <f t="shared" si="6"/>
        <v>58</v>
      </c>
      <c r="R19" s="33">
        <f t="shared" si="7"/>
        <v>0.58</v>
      </c>
    </row>
    <row r="20" spans="1:18" ht="12.75">
      <c r="A20" s="28"/>
      <c r="B20" s="28" t="s">
        <v>148</v>
      </c>
      <c r="C20" s="30">
        <v>0</v>
      </c>
      <c r="E20">
        <v>21.7</v>
      </c>
      <c r="F20" s="41">
        <f t="shared" si="0"/>
        <v>0</v>
      </c>
      <c r="G20" s="41">
        <f>IF(E20=0,"",IF(D20="nd",E20/2,E20))</f>
        <v>21.7</v>
      </c>
      <c r="H20" s="41">
        <f t="shared" si="2"/>
        <v>0</v>
      </c>
      <c r="I20"/>
      <c r="J20">
        <v>24</v>
      </c>
      <c r="K20" s="33">
        <f t="shared" si="3"/>
        <v>0</v>
      </c>
      <c r="L20" s="41">
        <f>IF(J20=0,"",IF(I20="nd",J20/2,J20))</f>
        <v>24</v>
      </c>
      <c r="M20" s="33">
        <f t="shared" si="4"/>
        <v>0</v>
      </c>
      <c r="O20">
        <v>30</v>
      </c>
      <c r="P20" s="33">
        <f t="shared" si="5"/>
        <v>0</v>
      </c>
      <c r="Q20" s="41">
        <f t="shared" si="6"/>
        <v>30</v>
      </c>
      <c r="R20" s="33">
        <f t="shared" si="7"/>
        <v>0</v>
      </c>
    </row>
    <row r="21" spans="1:18" ht="12.75">
      <c r="A21" s="28"/>
      <c r="B21" s="28" t="s">
        <v>34</v>
      </c>
      <c r="C21" s="30">
        <v>0.001</v>
      </c>
      <c r="E21">
        <v>80</v>
      </c>
      <c r="F21" s="33">
        <f t="shared" si="0"/>
        <v>0.08</v>
      </c>
      <c r="G21" s="33">
        <f t="shared" si="1"/>
        <v>80</v>
      </c>
      <c r="H21" s="33">
        <f t="shared" si="2"/>
        <v>0.08</v>
      </c>
      <c r="I21"/>
      <c r="J21">
        <v>59</v>
      </c>
      <c r="K21" s="33">
        <f t="shared" si="3"/>
        <v>0.059000000000000004</v>
      </c>
      <c r="L21" s="41">
        <f t="shared" si="8"/>
        <v>59</v>
      </c>
      <c r="M21" s="33">
        <f t="shared" si="4"/>
        <v>0.059000000000000004</v>
      </c>
      <c r="O21">
        <v>202</v>
      </c>
      <c r="P21" s="33">
        <f t="shared" si="5"/>
        <v>0.202</v>
      </c>
      <c r="Q21" s="41">
        <f t="shared" si="6"/>
        <v>202</v>
      </c>
      <c r="R21" s="33">
        <f t="shared" si="7"/>
        <v>0.202</v>
      </c>
    </row>
    <row r="22" spans="1:18" ht="12.75">
      <c r="A22" s="28"/>
      <c r="B22" s="28" t="s">
        <v>35</v>
      </c>
      <c r="C22" s="30">
        <v>0.1</v>
      </c>
      <c r="E22">
        <v>43.5</v>
      </c>
      <c r="F22" s="33">
        <f t="shared" si="0"/>
        <v>4.3500000000000005</v>
      </c>
      <c r="G22" s="33">
        <f t="shared" si="1"/>
        <v>43.5</v>
      </c>
      <c r="H22" s="33">
        <f t="shared" si="2"/>
        <v>4.3500000000000005</v>
      </c>
      <c r="I22"/>
      <c r="J22">
        <v>63.9</v>
      </c>
      <c r="K22" s="33">
        <f t="shared" si="3"/>
        <v>6.390000000000001</v>
      </c>
      <c r="L22" s="41">
        <f t="shared" si="8"/>
        <v>63.9</v>
      </c>
      <c r="M22" s="33">
        <f t="shared" si="4"/>
        <v>6.390000000000001</v>
      </c>
      <c r="O22">
        <v>62.1</v>
      </c>
      <c r="P22" s="33">
        <f t="shared" si="5"/>
        <v>6.210000000000001</v>
      </c>
      <c r="Q22" s="41">
        <f t="shared" si="6"/>
        <v>62.1</v>
      </c>
      <c r="R22" s="33">
        <f t="shared" si="7"/>
        <v>6.210000000000001</v>
      </c>
    </row>
    <row r="23" spans="1:18" ht="12.75">
      <c r="A23" s="28"/>
      <c r="B23" s="28" t="s">
        <v>149</v>
      </c>
      <c r="C23" s="30">
        <v>0</v>
      </c>
      <c r="E23">
        <v>1596</v>
      </c>
      <c r="F23" s="41">
        <f t="shared" si="0"/>
        <v>0</v>
      </c>
      <c r="G23" s="41">
        <f>IF(E23=0,"",IF(D23="nd",E23/2,E23))</f>
        <v>1596</v>
      </c>
      <c r="H23" s="41">
        <f t="shared" si="2"/>
        <v>0</v>
      </c>
      <c r="I23"/>
      <c r="J23">
        <v>1941.9</v>
      </c>
      <c r="K23" s="33">
        <f t="shared" si="3"/>
        <v>0</v>
      </c>
      <c r="L23" s="41">
        <f>IF(J23=0,"",IF(I23="nd",J23/2,J23))</f>
        <v>1941.9</v>
      </c>
      <c r="M23" s="33">
        <f t="shared" si="4"/>
        <v>0</v>
      </c>
      <c r="O23">
        <v>2242.1</v>
      </c>
      <c r="P23" s="33">
        <f t="shared" si="5"/>
        <v>0</v>
      </c>
      <c r="Q23" s="41">
        <f t="shared" si="6"/>
        <v>2242.1</v>
      </c>
      <c r="R23" s="33">
        <f t="shared" si="7"/>
        <v>0</v>
      </c>
    </row>
    <row r="24" spans="1:18" ht="12.75">
      <c r="A24" s="28"/>
      <c r="B24" s="28" t="s">
        <v>36</v>
      </c>
      <c r="C24" s="30">
        <v>0.05</v>
      </c>
      <c r="E24">
        <v>60.2</v>
      </c>
      <c r="F24" s="41">
        <f t="shared" si="0"/>
        <v>3.0100000000000002</v>
      </c>
      <c r="G24" s="41">
        <f t="shared" si="1"/>
        <v>60.2</v>
      </c>
      <c r="H24" s="41">
        <f t="shared" si="2"/>
        <v>3.0100000000000002</v>
      </c>
      <c r="I24"/>
      <c r="J24">
        <v>79.8</v>
      </c>
      <c r="K24" s="33">
        <f t="shared" si="3"/>
        <v>3.99</v>
      </c>
      <c r="L24" s="41">
        <f t="shared" si="8"/>
        <v>79.8</v>
      </c>
      <c r="M24" s="33">
        <f t="shared" si="4"/>
        <v>3.99</v>
      </c>
      <c r="O24">
        <v>89.3</v>
      </c>
      <c r="P24" s="33">
        <f t="shared" si="5"/>
        <v>4.465</v>
      </c>
      <c r="Q24" s="41">
        <f t="shared" si="6"/>
        <v>89.3</v>
      </c>
      <c r="R24" s="33">
        <f t="shared" si="7"/>
        <v>4.465</v>
      </c>
    </row>
    <row r="25" spans="1:18" ht="12.75">
      <c r="A25" s="28"/>
      <c r="B25" s="28" t="s">
        <v>37</v>
      </c>
      <c r="C25" s="30">
        <v>0.5</v>
      </c>
      <c r="E25">
        <v>104</v>
      </c>
      <c r="F25" s="41">
        <f t="shared" si="0"/>
        <v>52</v>
      </c>
      <c r="G25" s="41">
        <f t="shared" si="1"/>
        <v>104</v>
      </c>
      <c r="H25" s="41">
        <f t="shared" si="2"/>
        <v>52</v>
      </c>
      <c r="I25"/>
      <c r="J25">
        <v>171.8</v>
      </c>
      <c r="K25" s="33">
        <f t="shared" si="3"/>
        <v>85.9</v>
      </c>
      <c r="L25" s="41">
        <f t="shared" si="8"/>
        <v>171.8</v>
      </c>
      <c r="M25" s="33">
        <f t="shared" si="4"/>
        <v>85.9</v>
      </c>
      <c r="O25">
        <v>191.3</v>
      </c>
      <c r="P25" s="33">
        <f t="shared" si="5"/>
        <v>95.65</v>
      </c>
      <c r="Q25" s="41">
        <f t="shared" si="6"/>
        <v>191.3</v>
      </c>
      <c r="R25" s="33">
        <f t="shared" si="7"/>
        <v>95.65</v>
      </c>
    </row>
    <row r="26" spans="1:18" ht="12.75">
      <c r="A26" s="28"/>
      <c r="B26" s="28" t="s">
        <v>150</v>
      </c>
      <c r="C26" s="30">
        <v>0</v>
      </c>
      <c r="E26">
        <v>975.8</v>
      </c>
      <c r="F26" s="41">
        <f t="shared" si="0"/>
        <v>0</v>
      </c>
      <c r="G26" s="41">
        <f>IF(E26=0,"",IF(D26="nd",E26/2,E26))</f>
        <v>975.8</v>
      </c>
      <c r="H26" s="41">
        <f t="shared" si="2"/>
        <v>0</v>
      </c>
      <c r="I26"/>
      <c r="J26">
        <v>1355.7</v>
      </c>
      <c r="K26" s="33">
        <f t="shared" si="3"/>
        <v>0</v>
      </c>
      <c r="L26" s="41">
        <f>IF(J26=0,"",IF(I26="nd",J26/2,J26))</f>
        <v>1355.7</v>
      </c>
      <c r="M26" s="33">
        <f t="shared" si="4"/>
        <v>0</v>
      </c>
      <c r="O26">
        <v>1626</v>
      </c>
      <c r="P26" s="33">
        <f t="shared" si="5"/>
        <v>0</v>
      </c>
      <c r="Q26" s="41">
        <f t="shared" si="6"/>
        <v>1626</v>
      </c>
      <c r="R26" s="33">
        <f t="shared" si="7"/>
        <v>0</v>
      </c>
    </row>
    <row r="27" spans="1:18" ht="12.75">
      <c r="A27" s="28"/>
      <c r="B27" s="28" t="s">
        <v>38</v>
      </c>
      <c r="C27" s="30">
        <v>0.1</v>
      </c>
      <c r="E27">
        <v>163</v>
      </c>
      <c r="F27" s="41">
        <f t="shared" si="0"/>
        <v>16.3</v>
      </c>
      <c r="G27" s="41">
        <f t="shared" si="1"/>
        <v>163</v>
      </c>
      <c r="H27" s="41">
        <f t="shared" si="2"/>
        <v>16.3</v>
      </c>
      <c r="I27"/>
      <c r="J27">
        <v>223.5</v>
      </c>
      <c r="K27" s="33">
        <f t="shared" si="3"/>
        <v>22.35</v>
      </c>
      <c r="L27" s="41">
        <f t="shared" si="8"/>
        <v>223.5</v>
      </c>
      <c r="M27" s="33">
        <f t="shared" si="4"/>
        <v>22.35</v>
      </c>
      <c r="O27">
        <v>272</v>
      </c>
      <c r="P27" s="33">
        <f t="shared" si="5"/>
        <v>27.200000000000003</v>
      </c>
      <c r="Q27" s="41">
        <f t="shared" si="6"/>
        <v>272</v>
      </c>
      <c r="R27" s="33">
        <f t="shared" si="7"/>
        <v>27.200000000000003</v>
      </c>
    </row>
    <row r="28" spans="1:18" ht="12.75">
      <c r="A28" s="28"/>
      <c r="B28" s="28" t="s">
        <v>39</v>
      </c>
      <c r="C28" s="30">
        <v>0.1</v>
      </c>
      <c r="E28">
        <v>67.4</v>
      </c>
      <c r="F28" s="41">
        <f t="shared" si="0"/>
        <v>6.740000000000001</v>
      </c>
      <c r="G28" s="41">
        <f t="shared" si="1"/>
        <v>67.4</v>
      </c>
      <c r="H28" s="41">
        <f t="shared" si="2"/>
        <v>6.740000000000001</v>
      </c>
      <c r="I28"/>
      <c r="J28">
        <v>87.2</v>
      </c>
      <c r="K28" s="33">
        <f t="shared" si="3"/>
        <v>8.72</v>
      </c>
      <c r="L28" s="41">
        <f t="shared" si="8"/>
        <v>87.2</v>
      </c>
      <c r="M28" s="33">
        <f t="shared" si="4"/>
        <v>8.72</v>
      </c>
      <c r="O28">
        <v>121.4</v>
      </c>
      <c r="P28" s="33">
        <f t="shared" si="5"/>
        <v>12.14</v>
      </c>
      <c r="Q28" s="41">
        <f t="shared" si="6"/>
        <v>121.4</v>
      </c>
      <c r="R28" s="33">
        <f t="shared" si="7"/>
        <v>12.14</v>
      </c>
    </row>
    <row r="29" spans="1:18" ht="12.75">
      <c r="A29" s="28"/>
      <c r="B29" s="28" t="s">
        <v>40</v>
      </c>
      <c r="C29" s="30">
        <v>0.1</v>
      </c>
      <c r="E29">
        <v>47.9</v>
      </c>
      <c r="F29" s="41">
        <f t="shared" si="0"/>
        <v>4.79</v>
      </c>
      <c r="G29" s="41">
        <f t="shared" si="1"/>
        <v>47.9</v>
      </c>
      <c r="H29" s="41">
        <f t="shared" si="2"/>
        <v>4.79</v>
      </c>
      <c r="I29"/>
      <c r="J29">
        <v>77.6</v>
      </c>
      <c r="K29" s="33">
        <f t="shared" si="3"/>
        <v>7.76</v>
      </c>
      <c r="L29" s="41">
        <f t="shared" si="8"/>
        <v>77.6</v>
      </c>
      <c r="M29" s="33">
        <f t="shared" si="4"/>
        <v>7.76</v>
      </c>
      <c r="O29">
        <v>95</v>
      </c>
      <c r="P29" s="33">
        <f t="shared" si="5"/>
        <v>9.5</v>
      </c>
      <c r="Q29" s="41">
        <f t="shared" si="6"/>
        <v>95</v>
      </c>
      <c r="R29" s="33">
        <f t="shared" si="7"/>
        <v>9.5</v>
      </c>
    </row>
    <row r="30" spans="1:18" ht="12.75">
      <c r="A30" s="28"/>
      <c r="B30" s="28" t="s">
        <v>41</v>
      </c>
      <c r="C30" s="30">
        <v>0.1</v>
      </c>
      <c r="D30" t="s">
        <v>97</v>
      </c>
      <c r="E30">
        <v>6.6</v>
      </c>
      <c r="F30" s="41">
        <f t="shared" si="0"/>
        <v>0.66</v>
      </c>
      <c r="G30" s="41">
        <f t="shared" si="1"/>
        <v>3.3</v>
      </c>
      <c r="H30" s="41">
        <f t="shared" si="2"/>
        <v>0.33</v>
      </c>
      <c r="I30"/>
      <c r="J30">
        <v>13.2</v>
      </c>
      <c r="K30" s="33">
        <f t="shared" si="3"/>
        <v>1.32</v>
      </c>
      <c r="L30" s="41">
        <f t="shared" si="8"/>
        <v>13.2</v>
      </c>
      <c r="M30" s="33">
        <f t="shared" si="4"/>
        <v>1.32</v>
      </c>
      <c r="O30">
        <v>16</v>
      </c>
      <c r="P30" s="33">
        <f t="shared" si="5"/>
        <v>1.6</v>
      </c>
      <c r="Q30" s="41">
        <f t="shared" si="6"/>
        <v>16</v>
      </c>
      <c r="R30" s="33">
        <f t="shared" si="7"/>
        <v>1.6</v>
      </c>
    </row>
    <row r="31" spans="1:18" ht="12.75">
      <c r="A31" s="28"/>
      <c r="B31" s="28" t="s">
        <v>151</v>
      </c>
      <c r="C31" s="30">
        <v>0</v>
      </c>
      <c r="E31">
        <v>409.7</v>
      </c>
      <c r="F31" s="41">
        <f t="shared" si="0"/>
        <v>0</v>
      </c>
      <c r="G31" s="41">
        <f>IF(E31=0,"",IF(D31="nd",E31/2,E31))</f>
        <v>409.7</v>
      </c>
      <c r="H31" s="41">
        <f t="shared" si="2"/>
        <v>0</v>
      </c>
      <c r="I31"/>
      <c r="J31">
        <v>553.7</v>
      </c>
      <c r="K31" s="33">
        <f t="shared" si="3"/>
        <v>0</v>
      </c>
      <c r="L31" s="41">
        <f>IF(J31=0,"",IF(I31="nd",J31/2,J31))</f>
        <v>553.7</v>
      </c>
      <c r="M31" s="33">
        <f t="shared" si="4"/>
        <v>0</v>
      </c>
      <c r="O31">
        <v>705.2</v>
      </c>
      <c r="P31" s="33">
        <f t="shared" si="5"/>
        <v>0</v>
      </c>
      <c r="Q31" s="41">
        <f t="shared" si="6"/>
        <v>705.2</v>
      </c>
      <c r="R31" s="33">
        <f t="shared" si="7"/>
        <v>0</v>
      </c>
    </row>
    <row r="32" spans="1:18" ht="12.75">
      <c r="A32" s="28"/>
      <c r="B32" s="28" t="s">
        <v>42</v>
      </c>
      <c r="C32" s="30">
        <v>0.01</v>
      </c>
      <c r="E32">
        <v>116</v>
      </c>
      <c r="F32" s="41">
        <f t="shared" si="0"/>
        <v>1.16</v>
      </c>
      <c r="G32" s="41">
        <f t="shared" si="1"/>
        <v>116</v>
      </c>
      <c r="H32" s="41">
        <f t="shared" si="2"/>
        <v>1.16</v>
      </c>
      <c r="I32"/>
      <c r="J32">
        <v>195.5</v>
      </c>
      <c r="K32" s="33">
        <f t="shared" si="3"/>
        <v>1.955</v>
      </c>
      <c r="L32" s="41">
        <f t="shared" si="8"/>
        <v>195.5</v>
      </c>
      <c r="M32" s="33">
        <f t="shared" si="4"/>
        <v>1.955</v>
      </c>
      <c r="O32">
        <v>263.9</v>
      </c>
      <c r="P32" s="33">
        <f t="shared" si="5"/>
        <v>2.639</v>
      </c>
      <c r="Q32" s="41">
        <f t="shared" si="6"/>
        <v>263.9</v>
      </c>
      <c r="R32" s="33">
        <f t="shared" si="7"/>
        <v>2.639</v>
      </c>
    </row>
    <row r="33" spans="1:18" ht="12.75">
      <c r="A33" s="28"/>
      <c r="B33" s="28" t="s">
        <v>43</v>
      </c>
      <c r="C33" s="30">
        <v>0.01</v>
      </c>
      <c r="E33">
        <v>28.5</v>
      </c>
      <c r="F33" s="41">
        <f t="shared" si="0"/>
        <v>0.28500000000000003</v>
      </c>
      <c r="G33" s="41">
        <f t="shared" si="1"/>
        <v>28.5</v>
      </c>
      <c r="H33" s="41">
        <f t="shared" si="2"/>
        <v>0.28500000000000003</v>
      </c>
      <c r="I33"/>
      <c r="J33">
        <v>54.6</v>
      </c>
      <c r="K33" s="33">
        <f t="shared" si="3"/>
        <v>0.546</v>
      </c>
      <c r="L33" s="41">
        <f t="shared" si="8"/>
        <v>54.6</v>
      </c>
      <c r="M33" s="33">
        <f t="shared" si="4"/>
        <v>0.546</v>
      </c>
      <c r="O33">
        <v>75.9</v>
      </c>
      <c r="P33" s="33">
        <f t="shared" si="5"/>
        <v>0.7590000000000001</v>
      </c>
      <c r="Q33" s="41">
        <f t="shared" si="6"/>
        <v>75.9</v>
      </c>
      <c r="R33" s="33">
        <f t="shared" si="7"/>
        <v>0.7590000000000001</v>
      </c>
    </row>
    <row r="34" spans="1:18" ht="12.75">
      <c r="A34" s="28"/>
      <c r="B34" s="28" t="s">
        <v>152</v>
      </c>
      <c r="C34" s="30">
        <v>0</v>
      </c>
      <c r="E34">
        <v>83.5</v>
      </c>
      <c r="F34" s="41">
        <f t="shared" si="0"/>
        <v>0</v>
      </c>
      <c r="G34" s="41">
        <f>IF(E34=0,"",IF(D34="nd",E34/2,E34))</f>
        <v>83.5</v>
      </c>
      <c r="H34" s="41">
        <f t="shared" si="2"/>
        <v>0</v>
      </c>
      <c r="I34"/>
      <c r="J34">
        <v>130.9</v>
      </c>
      <c r="K34" s="33">
        <f t="shared" si="3"/>
        <v>0</v>
      </c>
      <c r="L34" s="41">
        <f>IF(J34=0,"",IF(I34="nd",J34/2,J34))</f>
        <v>130.9</v>
      </c>
      <c r="M34" s="33">
        <f t="shared" si="4"/>
        <v>0</v>
      </c>
      <c r="O34">
        <v>167</v>
      </c>
      <c r="P34" s="33">
        <f t="shared" si="5"/>
        <v>0</v>
      </c>
      <c r="Q34" s="41">
        <f t="shared" si="6"/>
        <v>167</v>
      </c>
      <c r="R34" s="33">
        <f t="shared" si="7"/>
        <v>0</v>
      </c>
    </row>
    <row r="35" spans="1:18" ht="12.75">
      <c r="A35" s="28"/>
      <c r="B35" s="28" t="s">
        <v>44</v>
      </c>
      <c r="C35" s="30">
        <v>0.001</v>
      </c>
      <c r="E35">
        <v>91</v>
      </c>
      <c r="F35" s="41">
        <f t="shared" si="0"/>
        <v>0.091</v>
      </c>
      <c r="G35" s="41">
        <f t="shared" si="1"/>
        <v>91</v>
      </c>
      <c r="H35" s="41">
        <f t="shared" si="2"/>
        <v>0.091</v>
      </c>
      <c r="I35"/>
      <c r="J35">
        <v>132</v>
      </c>
      <c r="K35" s="33">
        <f t="shared" si="3"/>
        <v>0.132</v>
      </c>
      <c r="L35" s="41">
        <f t="shared" si="8"/>
        <v>132</v>
      </c>
      <c r="M35" s="33">
        <f t="shared" si="4"/>
        <v>0.132</v>
      </c>
      <c r="O35">
        <v>241</v>
      </c>
      <c r="P35" s="33">
        <f t="shared" si="5"/>
        <v>0.241</v>
      </c>
      <c r="Q35" s="41">
        <f t="shared" si="6"/>
        <v>241</v>
      </c>
      <c r="R35" s="33">
        <f t="shared" si="7"/>
        <v>0.241</v>
      </c>
    </row>
    <row r="36" spans="1:18" ht="12.75">
      <c r="A36" s="28"/>
      <c r="B36" s="28"/>
      <c r="C36" s="28"/>
      <c r="D36" s="28"/>
      <c r="E36" s="33"/>
      <c r="F36" s="36"/>
      <c r="G36" s="33"/>
      <c r="H36" s="36"/>
      <c r="I36" s="53"/>
      <c r="J36" s="13"/>
      <c r="K36" s="31"/>
      <c r="L36" s="31"/>
      <c r="M36" s="31"/>
      <c r="N36" s="33"/>
      <c r="O36" s="13"/>
      <c r="P36" s="31"/>
      <c r="Q36" s="31"/>
      <c r="R36" s="31"/>
    </row>
    <row r="37" spans="1:18" ht="12.75">
      <c r="A37" s="28"/>
      <c r="B37" s="28" t="s">
        <v>45</v>
      </c>
      <c r="C37" s="28"/>
      <c r="D37" s="28"/>
      <c r="E37" s="33"/>
      <c r="F37">
        <v>115.67</v>
      </c>
      <c r="G37">
        <v>115.67</v>
      </c>
      <c r="H37">
        <v>115.67</v>
      </c>
      <c r="I37"/>
      <c r="K37">
        <v>112.29</v>
      </c>
      <c r="L37">
        <v>112.29</v>
      </c>
      <c r="M37">
        <v>112.29</v>
      </c>
      <c r="N37" s="33"/>
      <c r="P37">
        <v>110.958</v>
      </c>
      <c r="Q37">
        <v>110.958</v>
      </c>
      <c r="R37">
        <v>110.958</v>
      </c>
    </row>
    <row r="38" spans="1:18" ht="12.75">
      <c r="A38" s="28"/>
      <c r="B38" s="28" t="s">
        <v>58</v>
      </c>
      <c r="C38" s="28"/>
      <c r="D38" s="28"/>
      <c r="E38" s="33"/>
      <c r="F38">
        <v>9.6</v>
      </c>
      <c r="G38">
        <v>9.6</v>
      </c>
      <c r="H38">
        <v>9.6</v>
      </c>
      <c r="I38"/>
      <c r="K38">
        <v>9.1</v>
      </c>
      <c r="L38">
        <v>9.1</v>
      </c>
      <c r="M38">
        <v>9.1</v>
      </c>
      <c r="N38" s="33"/>
      <c r="P38">
        <v>8.5</v>
      </c>
      <c r="Q38">
        <v>8.5</v>
      </c>
      <c r="R38">
        <v>8.5</v>
      </c>
    </row>
    <row r="39" spans="1:18" ht="12.75">
      <c r="A39" s="28"/>
      <c r="B39" s="28"/>
      <c r="C39" s="28"/>
      <c r="D39" s="28"/>
      <c r="E39" s="33"/>
      <c r="F39" s="13"/>
      <c r="G39" s="33"/>
      <c r="H39" s="13"/>
      <c r="I39" s="48"/>
      <c r="J39" s="33"/>
      <c r="K39" s="34"/>
      <c r="L39" s="31"/>
      <c r="M39" s="34"/>
      <c r="N39" s="33"/>
      <c r="O39" s="33"/>
      <c r="P39" s="34"/>
      <c r="Q39" s="31"/>
      <c r="R39" s="34"/>
    </row>
    <row r="40" spans="1:18" ht="12.75">
      <c r="A40" s="28"/>
      <c r="B40" s="28" t="s">
        <v>95</v>
      </c>
      <c r="C40" s="36"/>
      <c r="D40" s="36"/>
      <c r="E40" s="31"/>
      <c r="F40" s="32">
        <f>SUM(F11:F35)/1000</f>
        <v>0.10526899999999997</v>
      </c>
      <c r="G40" s="31">
        <f>SUM(G11:G35)/1000</f>
        <v>4.315300000000001</v>
      </c>
      <c r="H40" s="32">
        <f>SUM(H11:H35)/1000</f>
        <v>0.10033899999999998</v>
      </c>
      <c r="I40" s="38"/>
      <c r="J40" s="31"/>
      <c r="K40" s="32">
        <f>SUM(K11:K35)/1000</f>
        <v>0.15349000000000002</v>
      </c>
      <c r="L40" s="31">
        <f>SUM(L11:L35)/1000</f>
        <v>5.46705</v>
      </c>
      <c r="M40" s="32">
        <f>SUM(M11:M35)/1000</f>
        <v>0.14984</v>
      </c>
      <c r="N40" s="36"/>
      <c r="O40" s="31"/>
      <c r="P40" s="32">
        <f>SUM(P11:P35)/1000</f>
        <v>0.182756</v>
      </c>
      <c r="Q40" s="31">
        <f>SUM(Q11:Q35)/1000</f>
        <v>6.753299999999999</v>
      </c>
      <c r="R40" s="32">
        <f>SUM(R11:R35)/1000</f>
        <v>0.17705600000000002</v>
      </c>
    </row>
    <row r="41" spans="1:18" ht="12.75">
      <c r="A41" s="28"/>
      <c r="B41" s="28" t="s">
        <v>46</v>
      </c>
      <c r="C41" s="36"/>
      <c r="D41" s="31">
        <f>(F41-H41)*2/F41*100</f>
        <v>9.366480160351122</v>
      </c>
      <c r="E41" s="33"/>
      <c r="F41" s="32">
        <f>(F40/F37/0.0283*(21-7)/(21-F38))</f>
        <v>0.03949267130362805</v>
      </c>
      <c r="G41" s="32">
        <f>(G40/G37/0.0283*(21-7)/(21-G38))</f>
        <v>1.6189260321324053</v>
      </c>
      <c r="H41" s="32">
        <f>(H40/H37/0.0283*(21-7)/(21-H38))</f>
        <v>0.03764313469240455</v>
      </c>
      <c r="I41" s="31">
        <f>(K41-M41)*2/K41*100</f>
        <v>4.756010163528574</v>
      </c>
      <c r="J41" s="33"/>
      <c r="K41" s="32">
        <f>K40/K37/0.0283*(21-7)/(21-K38)</f>
        <v>0.05682424092722915</v>
      </c>
      <c r="L41" s="33">
        <f>(L40/L37/0.0283*(21-7)/(21-L38))</f>
        <v>2.0239817992130313</v>
      </c>
      <c r="M41" s="32">
        <f>M40/M37/0.0283*(21-7)/(21-M38)</f>
        <v>0.05547295759030566</v>
      </c>
      <c r="N41" s="31">
        <f>(P41-R41)*2/P41*100</f>
        <v>6.237825297117474</v>
      </c>
      <c r="O41" s="33"/>
      <c r="P41" s="32">
        <f>P40/P37/0.0283*(21-7)/(21-P38)</f>
        <v>0.06518454090514114</v>
      </c>
      <c r="Q41" s="33">
        <f>(Q40/Q37/0.0283*(21-7)/(21-Q38))</f>
        <v>2.4087349257736523</v>
      </c>
      <c r="R41" s="32">
        <f>R40/R37/0.0283*(21-7)/(21-R38)</f>
        <v>0.06315149201394575</v>
      </c>
    </row>
    <row r="42" spans="1:18" ht="12.75">
      <c r="A42" s="28"/>
      <c r="B42" s="28"/>
      <c r="C42" s="28"/>
      <c r="D42" s="28"/>
      <c r="E42" s="32"/>
      <c r="F42" s="36"/>
      <c r="G42" s="32"/>
      <c r="H42" s="36"/>
      <c r="I42" s="54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2.75">
      <c r="A43" s="33"/>
      <c r="B43" s="28" t="s">
        <v>59</v>
      </c>
      <c r="C43" s="36">
        <f>AVERAGE(H41,M41,R41)</f>
        <v>0.05208919476555199</v>
      </c>
      <c r="D43" s="33"/>
      <c r="E43" s="33"/>
      <c r="F43" s="36"/>
      <c r="G43" s="33"/>
      <c r="H43" s="36"/>
      <c r="I43" s="5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12.75">
      <c r="A44" s="28"/>
      <c r="B44" s="28" t="s">
        <v>60</v>
      </c>
      <c r="C44" s="36">
        <f>AVERAGE(G41,L41,Q41)</f>
        <v>2.0172142523730296</v>
      </c>
      <c r="D44" s="28"/>
      <c r="E44" s="35"/>
      <c r="F44" s="36"/>
      <c r="G44" s="35"/>
      <c r="H44" s="36"/>
      <c r="I44" s="39"/>
      <c r="J44" s="35"/>
      <c r="K44" s="35"/>
      <c r="L44" s="35"/>
      <c r="M44" s="35"/>
      <c r="N44" s="35"/>
      <c r="O44" s="35"/>
      <c r="P44" s="35"/>
      <c r="Q44" s="35"/>
      <c r="R44" s="35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6"/>
      <c r="Q85" s="4"/>
      <c r="R85" s="6"/>
    </row>
    <row r="86" spans="1:18" ht="12.75">
      <c r="A86" s="2"/>
      <c r="B86" s="2"/>
      <c r="C86" s="3"/>
      <c r="D86" s="3"/>
      <c r="E86" s="4"/>
      <c r="F86" s="7"/>
      <c r="G86" s="4"/>
      <c r="H86" s="7"/>
      <c r="I86" s="55"/>
      <c r="J86" s="4"/>
      <c r="K86" s="4"/>
      <c r="L86" s="4"/>
      <c r="M86" s="4"/>
      <c r="N86" s="3"/>
      <c r="O86" s="4"/>
      <c r="P86" s="4"/>
      <c r="Q86" s="4"/>
      <c r="R86" s="4"/>
    </row>
    <row r="87" spans="1:18" ht="12.75">
      <c r="A87" s="2"/>
      <c r="B87" s="2"/>
      <c r="C87" s="3"/>
      <c r="D87" s="3"/>
      <c r="E87" s="7"/>
      <c r="F87" s="3"/>
      <c r="G87" s="5"/>
      <c r="H87" s="3"/>
      <c r="I87" s="55"/>
      <c r="J87" s="7"/>
      <c r="K87" s="3"/>
      <c r="L87" s="4"/>
      <c r="M87" s="3"/>
      <c r="N87" s="3"/>
      <c r="O87" s="7"/>
      <c r="P87" s="3"/>
      <c r="Q87" s="4"/>
      <c r="R87" s="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87"/>
  <sheetViews>
    <sheetView workbookViewId="0" topLeftCell="A1">
      <selection activeCell="B33" sqref="B33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7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6.140625" style="52" customWidth="1"/>
    <col min="11" max="11" width="9.28125" style="0" customWidth="1"/>
    <col min="13" max="13" width="9.28125" style="0" customWidth="1"/>
    <col min="14" max="14" width="4.8515625" style="0" customWidth="1"/>
    <col min="16" max="16" width="9.28125" style="0" customWidth="1"/>
    <col min="18" max="18" width="9.28125" style="0" customWidth="1"/>
    <col min="21" max="21" width="9.00390625" style="0" customWidth="1"/>
  </cols>
  <sheetData>
    <row r="1" spans="1:21" ht="12.75">
      <c r="A1" s="43" t="s">
        <v>67</v>
      </c>
      <c r="B1" s="28"/>
      <c r="C1" s="28"/>
      <c r="D1" s="28"/>
      <c r="E1" s="35"/>
      <c r="F1" s="36"/>
      <c r="G1" s="35"/>
      <c r="H1" s="36"/>
      <c r="I1" s="39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9" customHeight="1">
      <c r="A2" s="28" t="s">
        <v>280</v>
      </c>
      <c r="B2" s="28"/>
      <c r="C2" s="28"/>
      <c r="D2" s="28"/>
      <c r="E2" s="35"/>
      <c r="F2" s="36"/>
      <c r="G2" s="35"/>
      <c r="H2" s="36"/>
      <c r="I2" s="39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28" t="s">
        <v>20</v>
      </c>
      <c r="B3" s="28"/>
      <c r="C3" s="11" t="s">
        <v>141</v>
      </c>
      <c r="D3" s="11"/>
      <c r="E3" s="35"/>
      <c r="F3" s="36"/>
      <c r="G3" s="35"/>
      <c r="H3" s="36"/>
      <c r="I3" s="39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28" t="s">
        <v>21</v>
      </c>
      <c r="B4" s="28"/>
      <c r="C4" s="11" t="s">
        <v>188</v>
      </c>
      <c r="D4" s="11"/>
      <c r="E4" s="37"/>
      <c r="F4" s="38"/>
      <c r="G4" s="37"/>
      <c r="H4" s="38"/>
      <c r="I4" s="39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>
      <c r="A5" s="28" t="s">
        <v>22</v>
      </c>
      <c r="B5" s="28"/>
      <c r="C5" s="13" t="s">
        <v>142</v>
      </c>
      <c r="D5" s="13"/>
      <c r="E5" s="13"/>
      <c r="F5" s="13"/>
      <c r="G5" s="13"/>
      <c r="H5" s="13"/>
      <c r="I5" s="48"/>
      <c r="J5" s="13"/>
      <c r="K5" s="35"/>
      <c r="L5" s="13"/>
      <c r="M5" s="35"/>
      <c r="N5" s="35"/>
      <c r="O5" s="13"/>
      <c r="P5" s="35"/>
      <c r="Q5" s="13"/>
      <c r="R5" s="35"/>
      <c r="S5" s="35"/>
      <c r="T5" s="35"/>
      <c r="U5" s="35"/>
    </row>
    <row r="6" spans="1:21" ht="7.5" customHeight="1">
      <c r="A6" s="28"/>
      <c r="B6" s="28"/>
      <c r="C6" s="30"/>
      <c r="D6" s="30"/>
      <c r="E6" s="39"/>
      <c r="F6" s="36"/>
      <c r="G6" s="39"/>
      <c r="H6" s="36"/>
      <c r="I6" s="39"/>
      <c r="J6" s="39"/>
      <c r="K6" s="35"/>
      <c r="L6" s="39"/>
      <c r="M6" s="35"/>
      <c r="N6" s="35"/>
      <c r="O6" s="39"/>
      <c r="P6" s="35"/>
      <c r="Q6" s="39"/>
      <c r="R6" s="35"/>
      <c r="S6" s="39"/>
      <c r="T6" s="39"/>
      <c r="U6" s="35"/>
    </row>
    <row r="7" spans="1:18" ht="12.75">
      <c r="A7" s="28"/>
      <c r="B7" s="28"/>
      <c r="C7" s="30" t="s">
        <v>23</v>
      </c>
      <c r="D7" s="30"/>
      <c r="E7" s="40" t="s">
        <v>53</v>
      </c>
      <c r="F7" s="40"/>
      <c r="G7" s="40"/>
      <c r="H7" s="40"/>
      <c r="I7" s="12"/>
      <c r="J7" s="40" t="s">
        <v>102</v>
      </c>
      <c r="K7" s="40"/>
      <c r="L7" s="40"/>
      <c r="M7" s="40"/>
      <c r="N7" s="12"/>
      <c r="O7" s="40" t="s">
        <v>153</v>
      </c>
      <c r="P7" s="40"/>
      <c r="Q7" s="40"/>
      <c r="R7" s="40"/>
    </row>
    <row r="8" spans="1:18" ht="12.75">
      <c r="A8" s="28"/>
      <c r="B8" s="28"/>
      <c r="C8" s="30" t="s">
        <v>24</v>
      </c>
      <c r="D8" s="28"/>
      <c r="E8" s="39" t="s">
        <v>25</v>
      </c>
      <c r="F8" s="38" t="s">
        <v>26</v>
      </c>
      <c r="G8" s="39" t="s">
        <v>25</v>
      </c>
      <c r="H8" s="38" t="s">
        <v>26</v>
      </c>
      <c r="I8" s="39"/>
      <c r="J8" s="39" t="s">
        <v>25</v>
      </c>
      <c r="K8" s="39" t="s">
        <v>27</v>
      </c>
      <c r="L8" s="39" t="s">
        <v>25</v>
      </c>
      <c r="M8" s="39" t="s">
        <v>27</v>
      </c>
      <c r="N8" s="35"/>
      <c r="O8" s="39" t="s">
        <v>25</v>
      </c>
      <c r="P8" s="39" t="s">
        <v>27</v>
      </c>
      <c r="Q8" s="39" t="s">
        <v>25</v>
      </c>
      <c r="R8" s="39" t="s">
        <v>27</v>
      </c>
    </row>
    <row r="9" spans="1:18" ht="12.75">
      <c r="A9" s="28"/>
      <c r="B9" s="28"/>
      <c r="C9" s="30"/>
      <c r="D9" s="28"/>
      <c r="E9" s="39" t="s">
        <v>277</v>
      </c>
      <c r="F9" s="39" t="s">
        <v>277</v>
      </c>
      <c r="G9" s="39" t="s">
        <v>66</v>
      </c>
      <c r="H9" s="38" t="s">
        <v>66</v>
      </c>
      <c r="I9" s="39"/>
      <c r="J9" s="39" t="s">
        <v>277</v>
      </c>
      <c r="K9" s="39" t="s">
        <v>277</v>
      </c>
      <c r="L9" s="39" t="s">
        <v>66</v>
      </c>
      <c r="M9" s="38" t="s">
        <v>66</v>
      </c>
      <c r="N9" s="35"/>
      <c r="O9" s="39" t="s">
        <v>277</v>
      </c>
      <c r="P9" s="39" t="s">
        <v>277</v>
      </c>
      <c r="Q9" s="39" t="s">
        <v>66</v>
      </c>
      <c r="R9" s="38" t="s">
        <v>66</v>
      </c>
    </row>
    <row r="10" spans="1:21" ht="12.75">
      <c r="A10" s="28" t="s">
        <v>98</v>
      </c>
      <c r="B10" s="28"/>
      <c r="C10" s="28"/>
      <c r="D10" s="28"/>
      <c r="E10" s="35"/>
      <c r="F10" s="36"/>
      <c r="G10" s="35"/>
      <c r="H10" s="36"/>
      <c r="I10" s="39"/>
      <c r="J10" s="35"/>
      <c r="K10" s="35"/>
      <c r="L10" s="35"/>
      <c r="M10" s="35"/>
      <c r="N10" s="35"/>
      <c r="O10" s="35"/>
      <c r="P10" s="35"/>
      <c r="Q10" s="35"/>
      <c r="R10" s="35"/>
      <c r="S10" s="31"/>
      <c r="T10" s="35"/>
      <c r="U10" s="35"/>
    </row>
    <row r="11" spans="1:21" ht="12.75">
      <c r="A11" s="28"/>
      <c r="B11" s="28" t="s">
        <v>28</v>
      </c>
      <c r="C11" s="30">
        <v>1</v>
      </c>
      <c r="D11" t="s">
        <v>97</v>
      </c>
      <c r="E11">
        <v>14</v>
      </c>
      <c r="F11" s="33">
        <f aca="true" t="shared" si="0" ref="F11:F35">IF(E11="","",E11*$C11)</f>
        <v>14</v>
      </c>
      <c r="G11" s="33">
        <f aca="true" t="shared" si="1" ref="G11:G35">IF(E11=0,"",IF(D11="nd",E11/2,E11))</f>
        <v>7</v>
      </c>
      <c r="H11" s="33">
        <f aca="true" t="shared" si="2" ref="H11:H35">IF(G11="","",G11*$C11)</f>
        <v>7</v>
      </c>
      <c r="I11" t="s">
        <v>97</v>
      </c>
      <c r="J11">
        <v>12.7</v>
      </c>
      <c r="K11" s="33">
        <f aca="true" t="shared" si="3" ref="K11:K35">IF(J11="","",J11*$C11)</f>
        <v>12.7</v>
      </c>
      <c r="L11" s="33">
        <f>IF(J11=0,"",IF(I11="nd",J11/2,J11))</f>
        <v>6.35</v>
      </c>
      <c r="M11" s="33">
        <f aca="true" t="shared" si="4" ref="M11:M35">IF(L11="","",L11*$C11)</f>
        <v>6.35</v>
      </c>
      <c r="N11" t="s">
        <v>97</v>
      </c>
      <c r="O11">
        <v>15.8</v>
      </c>
      <c r="P11" s="33">
        <f aca="true" t="shared" si="5" ref="P11:P35">IF(O11="","",O11*$C11)</f>
        <v>15.8</v>
      </c>
      <c r="Q11" s="33">
        <f aca="true" t="shared" si="6" ref="Q11:Q35">IF(O11=0,"",IF(N11="nd",O11/2,O11))</f>
        <v>7.9</v>
      </c>
      <c r="R11" s="33">
        <f aca="true" t="shared" si="7" ref="R11:R35">IF(Q11="","",Q11*$C11)</f>
        <v>7.9</v>
      </c>
      <c r="T11" s="41">
        <f>IF(S11=0,"",IF(#REF!="nd",S11/2,S11))</f>
      </c>
      <c r="U11" s="41">
        <f aca="true" t="shared" si="8" ref="U11:U35">IF(T11="","",T11*$C11)</f>
      </c>
    </row>
    <row r="12" spans="1:21" ht="12.75">
      <c r="A12" s="28"/>
      <c r="B12" s="28" t="s">
        <v>87</v>
      </c>
      <c r="C12" s="30">
        <v>0</v>
      </c>
      <c r="E12">
        <v>24</v>
      </c>
      <c r="F12" s="41">
        <f t="shared" si="0"/>
        <v>0</v>
      </c>
      <c r="G12" s="41">
        <f>IF(E12=0,"",IF(D12="nd",E12/2,E12))</f>
        <v>24</v>
      </c>
      <c r="H12" s="41">
        <f t="shared" si="2"/>
        <v>0</v>
      </c>
      <c r="I12"/>
      <c r="J12">
        <v>38</v>
      </c>
      <c r="K12" s="33">
        <f t="shared" si="3"/>
        <v>0</v>
      </c>
      <c r="L12" s="41">
        <f>IF(J12=0,"",IF(I12="nd",J12/2,J12))</f>
        <v>38</v>
      </c>
      <c r="M12" s="33">
        <f t="shared" si="4"/>
        <v>0</v>
      </c>
      <c r="O12">
        <v>40.8</v>
      </c>
      <c r="P12" s="33">
        <f t="shared" si="5"/>
        <v>0</v>
      </c>
      <c r="Q12" s="41">
        <f t="shared" si="6"/>
        <v>40.8</v>
      </c>
      <c r="R12" s="33">
        <f t="shared" si="7"/>
        <v>0</v>
      </c>
      <c r="T12" s="41">
        <f>IF(S12=0,"",IF(#REF!="nd",S12/2,S12))</f>
      </c>
      <c r="U12" s="41">
        <f>IF(T12="","",T12*$C12)</f>
      </c>
    </row>
    <row r="13" spans="1:21" ht="12.75">
      <c r="A13" s="28"/>
      <c r="B13" s="28" t="s">
        <v>29</v>
      </c>
      <c r="C13" s="30">
        <v>0.5</v>
      </c>
      <c r="D13" t="s">
        <v>97</v>
      </c>
      <c r="E13">
        <v>10.4</v>
      </c>
      <c r="F13" s="33">
        <f t="shared" si="0"/>
        <v>5.2</v>
      </c>
      <c r="G13" s="33">
        <f t="shared" si="1"/>
        <v>5.2</v>
      </c>
      <c r="H13" s="33">
        <f t="shared" si="2"/>
        <v>2.6</v>
      </c>
      <c r="I13"/>
      <c r="J13">
        <v>9.9</v>
      </c>
      <c r="K13" s="33">
        <f t="shared" si="3"/>
        <v>4.95</v>
      </c>
      <c r="L13" s="33">
        <f aca="true" t="shared" si="9" ref="L13:L35">IF(J13=0,"",IF(I13="nd",J13/2,J13))</f>
        <v>9.9</v>
      </c>
      <c r="M13" s="33">
        <f t="shared" si="4"/>
        <v>4.95</v>
      </c>
      <c r="N13" t="s">
        <v>97</v>
      </c>
      <c r="O13">
        <v>11.2</v>
      </c>
      <c r="P13" s="33">
        <f t="shared" si="5"/>
        <v>5.6</v>
      </c>
      <c r="Q13" s="33">
        <f t="shared" si="6"/>
        <v>5.6</v>
      </c>
      <c r="R13" s="33">
        <f t="shared" si="7"/>
        <v>2.8</v>
      </c>
      <c r="T13" s="41">
        <f>IF(S13=0,"",IF(#REF!="nd",S13/2,S13))</f>
      </c>
      <c r="U13" s="41">
        <f t="shared" si="8"/>
      </c>
    </row>
    <row r="14" spans="1:21" ht="12.75">
      <c r="A14" s="28"/>
      <c r="B14" s="28" t="s">
        <v>88</v>
      </c>
      <c r="C14" s="30">
        <v>0</v>
      </c>
      <c r="E14">
        <v>31.7</v>
      </c>
      <c r="F14" s="41">
        <f t="shared" si="0"/>
        <v>0</v>
      </c>
      <c r="G14" s="41">
        <f>IF(E14=0,"",IF(D14="nd",E14/2,E14))</f>
        <v>31.7</v>
      </c>
      <c r="H14" s="41">
        <f t="shared" si="2"/>
        <v>0</v>
      </c>
      <c r="I14"/>
      <c r="J14">
        <v>61.7</v>
      </c>
      <c r="K14" s="33">
        <f t="shared" si="3"/>
        <v>0</v>
      </c>
      <c r="L14" s="41">
        <f>IF(J14=0,"",IF(I14="nd",J14/2,J14))</f>
        <v>61.7</v>
      </c>
      <c r="M14" s="33">
        <f t="shared" si="4"/>
        <v>0</v>
      </c>
      <c r="O14">
        <v>57</v>
      </c>
      <c r="P14" s="33">
        <f t="shared" si="5"/>
        <v>0</v>
      </c>
      <c r="Q14" s="41">
        <f t="shared" si="6"/>
        <v>57</v>
      </c>
      <c r="R14" s="33">
        <f t="shared" si="7"/>
        <v>0</v>
      </c>
      <c r="T14" s="41">
        <f>IF(S14=0,"",IF(#REF!="nd",S14/2,S14))</f>
      </c>
      <c r="U14" s="41">
        <f>IF(T14="","",T14*$C14)</f>
      </c>
    </row>
    <row r="15" spans="1:21" ht="12.75">
      <c r="A15" s="28"/>
      <c r="B15" s="28" t="s">
        <v>30</v>
      </c>
      <c r="C15" s="30">
        <v>0.1</v>
      </c>
      <c r="D15" t="s">
        <v>97</v>
      </c>
      <c r="E15">
        <v>7.5</v>
      </c>
      <c r="F15" s="33">
        <f t="shared" si="0"/>
        <v>0.75</v>
      </c>
      <c r="G15" s="33">
        <f t="shared" si="1"/>
        <v>3.75</v>
      </c>
      <c r="H15" s="33">
        <f t="shared" si="2"/>
        <v>0.375</v>
      </c>
      <c r="I15" t="s">
        <v>97</v>
      </c>
      <c r="J15">
        <v>7.1</v>
      </c>
      <c r="K15" s="33">
        <f t="shared" si="3"/>
        <v>0.71</v>
      </c>
      <c r="L15" s="33">
        <f t="shared" si="9"/>
        <v>3.55</v>
      </c>
      <c r="M15" s="33">
        <f t="shared" si="4"/>
        <v>0.355</v>
      </c>
      <c r="N15" t="s">
        <v>97</v>
      </c>
      <c r="O15">
        <v>8.3</v>
      </c>
      <c r="P15" s="33">
        <f t="shared" si="5"/>
        <v>0.8300000000000001</v>
      </c>
      <c r="Q15" s="33">
        <f t="shared" si="6"/>
        <v>4.15</v>
      </c>
      <c r="R15" s="33">
        <f t="shared" si="7"/>
        <v>0.41500000000000004</v>
      </c>
      <c r="T15" s="41">
        <f>IF(S15=0,"",IF(#REF!="nd",S15/2,S15))</f>
      </c>
      <c r="U15" s="41">
        <f t="shared" si="8"/>
      </c>
    </row>
    <row r="16" spans="1:21" ht="12.75">
      <c r="A16" s="28"/>
      <c r="B16" s="28" t="s">
        <v>31</v>
      </c>
      <c r="C16" s="30">
        <v>0.1</v>
      </c>
      <c r="D16" t="s">
        <v>97</v>
      </c>
      <c r="E16">
        <v>7.6</v>
      </c>
      <c r="F16" s="33">
        <f t="shared" si="0"/>
        <v>0.76</v>
      </c>
      <c r="G16" s="33">
        <f t="shared" si="1"/>
        <v>3.8</v>
      </c>
      <c r="H16" s="33">
        <f t="shared" si="2"/>
        <v>0.38</v>
      </c>
      <c r="I16" t="s">
        <v>97</v>
      </c>
      <c r="J16">
        <v>7.1</v>
      </c>
      <c r="K16" s="33">
        <f t="shared" si="3"/>
        <v>0.71</v>
      </c>
      <c r="L16" s="33">
        <f t="shared" si="9"/>
        <v>3.55</v>
      </c>
      <c r="M16" s="33">
        <f t="shared" si="4"/>
        <v>0.355</v>
      </c>
      <c r="N16" t="s">
        <v>97</v>
      </c>
      <c r="O16">
        <v>8.3</v>
      </c>
      <c r="P16" s="33">
        <f t="shared" si="5"/>
        <v>0.8300000000000001</v>
      </c>
      <c r="Q16" s="33">
        <f t="shared" si="6"/>
        <v>4.15</v>
      </c>
      <c r="R16" s="33">
        <f t="shared" si="7"/>
        <v>0.41500000000000004</v>
      </c>
      <c r="T16" s="41">
        <f>IF(S16=0,"",IF(#REF!="nd",S16/2,S16))</f>
      </c>
      <c r="U16" s="41">
        <f t="shared" si="8"/>
      </c>
    </row>
    <row r="17" spans="1:21" ht="12.75">
      <c r="A17" s="28"/>
      <c r="B17" s="28" t="s">
        <v>32</v>
      </c>
      <c r="C17" s="30">
        <v>0.1</v>
      </c>
      <c r="E17">
        <v>9.4</v>
      </c>
      <c r="F17" s="33">
        <f t="shared" si="0"/>
        <v>0.9400000000000001</v>
      </c>
      <c r="G17" s="33">
        <f t="shared" si="1"/>
        <v>9.4</v>
      </c>
      <c r="H17" s="33">
        <f t="shared" si="2"/>
        <v>0.9400000000000001</v>
      </c>
      <c r="I17"/>
      <c r="J17">
        <v>10.5</v>
      </c>
      <c r="K17" s="33">
        <f t="shared" si="3"/>
        <v>1.05</v>
      </c>
      <c r="L17" s="33">
        <f t="shared" si="9"/>
        <v>10.5</v>
      </c>
      <c r="M17" s="33">
        <f t="shared" si="4"/>
        <v>1.05</v>
      </c>
      <c r="N17" t="s">
        <v>97</v>
      </c>
      <c r="O17">
        <v>7.7</v>
      </c>
      <c r="P17" s="33">
        <f t="shared" si="5"/>
        <v>0.77</v>
      </c>
      <c r="Q17" s="33">
        <f t="shared" si="6"/>
        <v>3.85</v>
      </c>
      <c r="R17" s="33">
        <f t="shared" si="7"/>
        <v>0.385</v>
      </c>
      <c r="T17" s="41">
        <f>IF(S17=0,"",IF(#REF!="nd",S17/2,S17))</f>
      </c>
      <c r="U17" s="41">
        <f t="shared" si="8"/>
      </c>
    </row>
    <row r="18" spans="1:21" ht="12.75">
      <c r="A18" s="28"/>
      <c r="B18" s="28" t="s">
        <v>89</v>
      </c>
      <c r="C18" s="30">
        <v>0</v>
      </c>
      <c r="E18">
        <v>35.9</v>
      </c>
      <c r="F18" s="41">
        <f t="shared" si="0"/>
        <v>0</v>
      </c>
      <c r="G18" s="41">
        <f>IF(E18=0,"",IF(D18="nd",E18/2,E18))</f>
        <v>35.9</v>
      </c>
      <c r="H18" s="41">
        <f t="shared" si="2"/>
        <v>0</v>
      </c>
      <c r="I18"/>
      <c r="J18">
        <v>49.2</v>
      </c>
      <c r="K18" s="33">
        <f t="shared" si="3"/>
        <v>0</v>
      </c>
      <c r="L18" s="41">
        <f>IF(J18=0,"",IF(I18="nd",J18/2,J18))</f>
        <v>49.2</v>
      </c>
      <c r="M18" s="33">
        <f t="shared" si="4"/>
        <v>0</v>
      </c>
      <c r="O18">
        <v>38.9</v>
      </c>
      <c r="P18" s="33">
        <f t="shared" si="5"/>
        <v>0</v>
      </c>
      <c r="Q18" s="41">
        <f t="shared" si="6"/>
        <v>38.9</v>
      </c>
      <c r="R18" s="33">
        <f t="shared" si="7"/>
        <v>0</v>
      </c>
      <c r="T18" s="41">
        <f>IF(S18=0,"",IF(#REF!="nd",S18/2,S18))</f>
      </c>
      <c r="U18" s="41">
        <f>IF(T18="","",T18*$C18)</f>
      </c>
    </row>
    <row r="19" spans="1:21" ht="12.75">
      <c r="A19" s="28"/>
      <c r="B19" s="28" t="s">
        <v>33</v>
      </c>
      <c r="C19" s="30">
        <v>0.01</v>
      </c>
      <c r="E19">
        <v>27</v>
      </c>
      <c r="F19" s="33">
        <f t="shared" si="0"/>
        <v>0.27</v>
      </c>
      <c r="G19" s="33">
        <f t="shared" si="1"/>
        <v>27</v>
      </c>
      <c r="H19" s="33">
        <f t="shared" si="2"/>
        <v>0.27</v>
      </c>
      <c r="I19"/>
      <c r="J19">
        <v>28.4</v>
      </c>
      <c r="K19" s="33">
        <f t="shared" si="3"/>
        <v>0.284</v>
      </c>
      <c r="L19" s="33">
        <f t="shared" si="9"/>
        <v>28.4</v>
      </c>
      <c r="M19" s="33">
        <f t="shared" si="4"/>
        <v>0.284</v>
      </c>
      <c r="O19">
        <v>22.5</v>
      </c>
      <c r="P19" s="33">
        <f t="shared" si="5"/>
        <v>0.225</v>
      </c>
      <c r="Q19" s="33">
        <f t="shared" si="6"/>
        <v>22.5</v>
      </c>
      <c r="R19" s="33">
        <f t="shared" si="7"/>
        <v>0.225</v>
      </c>
      <c r="T19" s="41">
        <f>IF(S19=0,"",IF(#REF!="nd",S19/2,S19))</f>
      </c>
      <c r="U19" s="41">
        <f t="shared" si="8"/>
      </c>
    </row>
    <row r="20" spans="1:21" ht="12.75">
      <c r="A20" s="28"/>
      <c r="B20" s="28" t="s">
        <v>90</v>
      </c>
      <c r="C20" s="30">
        <v>0</v>
      </c>
      <c r="E20">
        <v>13</v>
      </c>
      <c r="F20" s="41">
        <f t="shared" si="0"/>
        <v>0</v>
      </c>
      <c r="G20" s="41">
        <f>IF(E20=0,"",IF(D20="nd",E20/2,E20))</f>
        <v>13</v>
      </c>
      <c r="H20" s="41">
        <f t="shared" si="2"/>
        <v>0</v>
      </c>
      <c r="I20"/>
      <c r="J20">
        <v>22</v>
      </c>
      <c r="K20" s="33">
        <f t="shared" si="3"/>
        <v>0</v>
      </c>
      <c r="L20" s="41">
        <f>IF(J20=0,"",IF(I20="nd",J20/2,J20))</f>
        <v>22</v>
      </c>
      <c r="M20" s="33">
        <f t="shared" si="4"/>
        <v>0</v>
      </c>
      <c r="O20">
        <v>19.5</v>
      </c>
      <c r="P20" s="33">
        <f t="shared" si="5"/>
        <v>0</v>
      </c>
      <c r="Q20" s="41">
        <f t="shared" si="6"/>
        <v>19.5</v>
      </c>
      <c r="R20" s="33">
        <f t="shared" si="7"/>
        <v>0</v>
      </c>
      <c r="T20" s="41">
        <f>IF(S20=0,"",IF(#REF!="nd",S20/2,S20))</f>
      </c>
      <c r="U20" s="41">
        <f>IF(T20="","",T20*$C20)</f>
      </c>
    </row>
    <row r="21" spans="1:21" ht="12.75">
      <c r="A21" s="28"/>
      <c r="B21" s="28" t="s">
        <v>34</v>
      </c>
      <c r="C21" s="30">
        <v>0.001</v>
      </c>
      <c r="E21">
        <v>115</v>
      </c>
      <c r="F21" s="33">
        <f t="shared" si="0"/>
        <v>0.115</v>
      </c>
      <c r="G21" s="33">
        <f t="shared" si="1"/>
        <v>115</v>
      </c>
      <c r="H21" s="33">
        <f t="shared" si="2"/>
        <v>0.115</v>
      </c>
      <c r="I21"/>
      <c r="J21">
        <v>74</v>
      </c>
      <c r="K21" s="33">
        <f t="shared" si="3"/>
        <v>0.074</v>
      </c>
      <c r="L21" s="41">
        <f t="shared" si="9"/>
        <v>74</v>
      </c>
      <c r="M21" s="33">
        <f t="shared" si="4"/>
        <v>0.074</v>
      </c>
      <c r="O21">
        <v>141</v>
      </c>
      <c r="P21" s="33">
        <f t="shared" si="5"/>
        <v>0.14100000000000001</v>
      </c>
      <c r="Q21" s="41">
        <f t="shared" si="6"/>
        <v>141</v>
      </c>
      <c r="R21" s="33">
        <f t="shared" si="7"/>
        <v>0.14100000000000001</v>
      </c>
      <c r="T21" s="41">
        <f>IF(S21=0,"",IF(#REF!="nd",S21/2,S21))</f>
      </c>
      <c r="U21" s="41">
        <f t="shared" si="8"/>
      </c>
    </row>
    <row r="22" spans="1:21" ht="12.75">
      <c r="A22" s="28"/>
      <c r="B22" s="28" t="s">
        <v>35</v>
      </c>
      <c r="C22" s="30">
        <v>0.1</v>
      </c>
      <c r="E22">
        <v>68</v>
      </c>
      <c r="F22" s="33">
        <f t="shared" si="0"/>
        <v>6.800000000000001</v>
      </c>
      <c r="G22" s="33">
        <f t="shared" si="1"/>
        <v>68</v>
      </c>
      <c r="H22" s="33">
        <f t="shared" si="2"/>
        <v>6.800000000000001</v>
      </c>
      <c r="I22"/>
      <c r="J22">
        <v>35.7</v>
      </c>
      <c r="K22" s="33">
        <f t="shared" si="3"/>
        <v>3.5700000000000003</v>
      </c>
      <c r="L22" s="41">
        <f t="shared" si="9"/>
        <v>35.7</v>
      </c>
      <c r="M22" s="33">
        <f t="shared" si="4"/>
        <v>3.5700000000000003</v>
      </c>
      <c r="O22">
        <v>45</v>
      </c>
      <c r="P22" s="33">
        <f t="shared" si="5"/>
        <v>4.5</v>
      </c>
      <c r="Q22" s="41">
        <f t="shared" si="6"/>
        <v>45</v>
      </c>
      <c r="R22" s="33">
        <f t="shared" si="7"/>
        <v>4.5</v>
      </c>
      <c r="T22" s="41">
        <f>IF(S22=0,"",IF(#REF!="nd",S22/2,S22))</f>
      </c>
      <c r="U22" s="41">
        <f t="shared" si="8"/>
      </c>
    </row>
    <row r="23" spans="1:21" ht="12.75">
      <c r="A23" s="28"/>
      <c r="B23" s="28" t="s">
        <v>91</v>
      </c>
      <c r="C23" s="30">
        <v>0</v>
      </c>
      <c r="E23">
        <v>1222</v>
      </c>
      <c r="F23" s="41">
        <f t="shared" si="0"/>
        <v>0</v>
      </c>
      <c r="G23" s="41">
        <f>IF(E23=0,"",IF(D23="nd",E23/2,E23))</f>
        <v>1222</v>
      </c>
      <c r="H23" s="41">
        <f t="shared" si="2"/>
        <v>0</v>
      </c>
      <c r="I23"/>
      <c r="J23">
        <v>1473.7</v>
      </c>
      <c r="K23" s="33">
        <f t="shared" si="3"/>
        <v>0</v>
      </c>
      <c r="L23" s="41">
        <f>IF(J23=0,"",IF(I23="nd",J23/2,J23))</f>
        <v>1473.7</v>
      </c>
      <c r="M23" s="33">
        <f t="shared" si="4"/>
        <v>0</v>
      </c>
      <c r="O23">
        <v>975</v>
      </c>
      <c r="P23" s="33">
        <f t="shared" si="5"/>
        <v>0</v>
      </c>
      <c r="Q23" s="41">
        <f t="shared" si="6"/>
        <v>975</v>
      </c>
      <c r="R23" s="33">
        <f t="shared" si="7"/>
        <v>0</v>
      </c>
      <c r="T23" s="41">
        <f>IF(S23=0,"",IF(#REF!="nd",S23/2,S23))</f>
      </c>
      <c r="U23" s="41">
        <f>IF(T23="","",T23*$C23)</f>
      </c>
    </row>
    <row r="24" spans="1:21" ht="12.75">
      <c r="A24" s="28"/>
      <c r="B24" s="28" t="s">
        <v>36</v>
      </c>
      <c r="C24" s="30">
        <v>0.05</v>
      </c>
      <c r="E24">
        <v>48</v>
      </c>
      <c r="F24" s="41">
        <f t="shared" si="0"/>
        <v>2.4000000000000004</v>
      </c>
      <c r="G24" s="41">
        <f t="shared" si="1"/>
        <v>48</v>
      </c>
      <c r="H24" s="41">
        <f t="shared" si="2"/>
        <v>2.4000000000000004</v>
      </c>
      <c r="I24"/>
      <c r="J24">
        <v>47.9</v>
      </c>
      <c r="K24" s="33">
        <f t="shared" si="3"/>
        <v>2.395</v>
      </c>
      <c r="L24" s="41">
        <f t="shared" si="9"/>
        <v>47.9</v>
      </c>
      <c r="M24" s="33">
        <f t="shared" si="4"/>
        <v>2.395</v>
      </c>
      <c r="O24">
        <v>39.4</v>
      </c>
      <c r="P24" s="33">
        <f t="shared" si="5"/>
        <v>1.97</v>
      </c>
      <c r="Q24" s="41">
        <f t="shared" si="6"/>
        <v>39.4</v>
      </c>
      <c r="R24" s="33">
        <f t="shared" si="7"/>
        <v>1.97</v>
      </c>
      <c r="T24" s="41">
        <f>IF(S24=0,"",IF(#REF!="nd",S24/2,S24))</f>
      </c>
      <c r="U24" s="41">
        <f t="shared" si="8"/>
      </c>
    </row>
    <row r="25" spans="1:21" ht="12.75">
      <c r="A25" s="28"/>
      <c r="B25" s="28" t="s">
        <v>37</v>
      </c>
      <c r="C25" s="30">
        <v>0.5</v>
      </c>
      <c r="E25">
        <v>82</v>
      </c>
      <c r="F25" s="41">
        <f t="shared" si="0"/>
        <v>41</v>
      </c>
      <c r="G25" s="41">
        <f t="shared" si="1"/>
        <v>82</v>
      </c>
      <c r="H25" s="41">
        <f t="shared" si="2"/>
        <v>41</v>
      </c>
      <c r="I25"/>
      <c r="J25">
        <v>112.9</v>
      </c>
      <c r="K25" s="33">
        <f t="shared" si="3"/>
        <v>56.45</v>
      </c>
      <c r="L25" s="41">
        <f t="shared" si="9"/>
        <v>112.9</v>
      </c>
      <c r="M25" s="33">
        <f t="shared" si="4"/>
        <v>56.45</v>
      </c>
      <c r="O25">
        <v>56.3</v>
      </c>
      <c r="P25" s="33">
        <f t="shared" si="5"/>
        <v>28.15</v>
      </c>
      <c r="Q25" s="41">
        <f t="shared" si="6"/>
        <v>56.3</v>
      </c>
      <c r="R25" s="33">
        <f t="shared" si="7"/>
        <v>28.15</v>
      </c>
      <c r="T25" s="41">
        <f>IF(S25=0,"",IF(#REF!="nd",S25/2,S25))</f>
      </c>
      <c r="U25" s="41">
        <f t="shared" si="8"/>
      </c>
    </row>
    <row r="26" spans="1:21" ht="12.75">
      <c r="A26" s="28"/>
      <c r="B26" s="28" t="s">
        <v>92</v>
      </c>
      <c r="C26" s="30">
        <v>0</v>
      </c>
      <c r="E26">
        <v>830</v>
      </c>
      <c r="F26" s="41">
        <f t="shared" si="0"/>
        <v>0</v>
      </c>
      <c r="G26" s="41">
        <f>IF(E26=0,"",IF(D26="nd",E26/2,E26))</f>
        <v>830</v>
      </c>
      <c r="H26" s="41">
        <f t="shared" si="2"/>
        <v>0</v>
      </c>
      <c r="I26"/>
      <c r="J26">
        <v>1049</v>
      </c>
      <c r="K26" s="33">
        <f t="shared" si="3"/>
        <v>0</v>
      </c>
      <c r="L26" s="41">
        <f>IF(J26=0,"",IF(I26="nd",J26/2,J26))</f>
        <v>1049</v>
      </c>
      <c r="M26" s="33">
        <f t="shared" si="4"/>
        <v>0</v>
      </c>
      <c r="O26">
        <v>467.4</v>
      </c>
      <c r="P26" s="33">
        <f t="shared" si="5"/>
        <v>0</v>
      </c>
      <c r="Q26" s="41">
        <f t="shared" si="6"/>
        <v>467.4</v>
      </c>
      <c r="R26" s="33">
        <f t="shared" si="7"/>
        <v>0</v>
      </c>
      <c r="T26" s="41">
        <f>IF(S26=0,"",IF(#REF!="nd",S26/2,S26))</f>
      </c>
      <c r="U26" s="41">
        <f>IF(T26="","",T26*$C26)</f>
      </c>
    </row>
    <row r="27" spans="1:21" ht="12.75">
      <c r="A27" s="28"/>
      <c r="B27" s="28" t="s">
        <v>38</v>
      </c>
      <c r="C27" s="30">
        <v>0.1</v>
      </c>
      <c r="E27">
        <v>136</v>
      </c>
      <c r="F27" s="41">
        <f t="shared" si="0"/>
        <v>13.600000000000001</v>
      </c>
      <c r="G27" s="41">
        <f t="shared" si="1"/>
        <v>136</v>
      </c>
      <c r="H27" s="41">
        <f t="shared" si="2"/>
        <v>13.600000000000001</v>
      </c>
      <c r="I27"/>
      <c r="J27">
        <v>163.1</v>
      </c>
      <c r="K27" s="33">
        <f t="shared" si="3"/>
        <v>16.31</v>
      </c>
      <c r="L27" s="41">
        <f t="shared" si="9"/>
        <v>163.1</v>
      </c>
      <c r="M27" s="33">
        <f t="shared" si="4"/>
        <v>16.31</v>
      </c>
      <c r="O27">
        <v>73.4</v>
      </c>
      <c r="P27" s="33">
        <f t="shared" si="5"/>
        <v>7.340000000000001</v>
      </c>
      <c r="Q27" s="41">
        <f t="shared" si="6"/>
        <v>73.4</v>
      </c>
      <c r="R27" s="33">
        <f t="shared" si="7"/>
        <v>7.340000000000001</v>
      </c>
      <c r="T27" s="41">
        <f>IF(S27=0,"",IF(#REF!="nd",S27/2,S27))</f>
      </c>
      <c r="U27" s="41">
        <f t="shared" si="8"/>
      </c>
    </row>
    <row r="28" spans="1:21" ht="12.75">
      <c r="A28" s="28"/>
      <c r="B28" s="28" t="s">
        <v>39</v>
      </c>
      <c r="C28" s="30">
        <v>0.1</v>
      </c>
      <c r="E28">
        <v>48</v>
      </c>
      <c r="F28" s="41">
        <f t="shared" si="0"/>
        <v>4.800000000000001</v>
      </c>
      <c r="G28" s="41">
        <f t="shared" si="1"/>
        <v>48</v>
      </c>
      <c r="H28" s="41">
        <f t="shared" si="2"/>
        <v>4.800000000000001</v>
      </c>
      <c r="I28"/>
      <c r="J28">
        <v>60.4</v>
      </c>
      <c r="K28" s="33">
        <f t="shared" si="3"/>
        <v>6.04</v>
      </c>
      <c r="L28" s="41">
        <f t="shared" si="9"/>
        <v>60.4</v>
      </c>
      <c r="M28" s="33">
        <f t="shared" si="4"/>
        <v>6.04</v>
      </c>
      <c r="O28">
        <v>27.8</v>
      </c>
      <c r="P28" s="33">
        <f t="shared" si="5"/>
        <v>2.7800000000000002</v>
      </c>
      <c r="Q28" s="41">
        <f t="shared" si="6"/>
        <v>27.8</v>
      </c>
      <c r="R28" s="33">
        <f t="shared" si="7"/>
        <v>2.7800000000000002</v>
      </c>
      <c r="T28" s="41">
        <f>IF(S28=0,"",IF(#REF!="nd",S28/2,S28))</f>
      </c>
      <c r="U28" s="41">
        <f t="shared" si="8"/>
      </c>
    </row>
    <row r="29" spans="1:21" ht="12.75">
      <c r="A29" s="28"/>
      <c r="B29" s="28" t="s">
        <v>40</v>
      </c>
      <c r="C29" s="30">
        <v>0.1</v>
      </c>
      <c r="E29">
        <v>38</v>
      </c>
      <c r="F29" s="41">
        <f t="shared" si="0"/>
        <v>3.8000000000000003</v>
      </c>
      <c r="G29" s="41">
        <f t="shared" si="1"/>
        <v>38</v>
      </c>
      <c r="H29" s="41">
        <f t="shared" si="2"/>
        <v>3.8000000000000003</v>
      </c>
      <c r="I29"/>
      <c r="J29">
        <v>59</v>
      </c>
      <c r="K29" s="33">
        <f t="shared" si="3"/>
        <v>5.9</v>
      </c>
      <c r="L29" s="41">
        <f t="shared" si="9"/>
        <v>59</v>
      </c>
      <c r="M29" s="33">
        <f t="shared" si="4"/>
        <v>5.9</v>
      </c>
      <c r="O29">
        <v>21.2</v>
      </c>
      <c r="P29" s="33">
        <f t="shared" si="5"/>
        <v>2.12</v>
      </c>
      <c r="Q29" s="41">
        <f t="shared" si="6"/>
        <v>21.2</v>
      </c>
      <c r="R29" s="33">
        <f t="shared" si="7"/>
        <v>2.12</v>
      </c>
      <c r="T29" s="41">
        <f>IF(S29=0,"",IF(#REF!="nd",S29/2,S29))</f>
      </c>
      <c r="U29" s="41">
        <f t="shared" si="8"/>
      </c>
    </row>
    <row r="30" spans="1:21" ht="12.75">
      <c r="A30" s="28"/>
      <c r="B30" s="28" t="s">
        <v>41</v>
      </c>
      <c r="C30" s="30">
        <v>0.1</v>
      </c>
      <c r="E30">
        <v>9.1</v>
      </c>
      <c r="F30" s="41">
        <f t="shared" si="0"/>
        <v>0.91</v>
      </c>
      <c r="G30" s="41">
        <f t="shared" si="1"/>
        <v>9.1</v>
      </c>
      <c r="H30" s="41">
        <f t="shared" si="2"/>
        <v>0.91</v>
      </c>
      <c r="I30" t="s">
        <v>97</v>
      </c>
      <c r="J30">
        <v>6.9</v>
      </c>
      <c r="K30" s="33">
        <f t="shared" si="3"/>
        <v>0.6900000000000001</v>
      </c>
      <c r="L30" s="41">
        <f t="shared" si="9"/>
        <v>3.45</v>
      </c>
      <c r="M30" s="33">
        <f t="shared" si="4"/>
        <v>0.34500000000000003</v>
      </c>
      <c r="N30" t="s">
        <v>97</v>
      </c>
      <c r="O30">
        <v>9.1</v>
      </c>
      <c r="P30" s="33">
        <f t="shared" si="5"/>
        <v>0.91</v>
      </c>
      <c r="Q30" s="41">
        <f t="shared" si="6"/>
        <v>4.55</v>
      </c>
      <c r="R30" s="33">
        <f t="shared" si="7"/>
        <v>0.455</v>
      </c>
      <c r="T30" s="41">
        <f>IF(S30=0,"",IF(#REF!="nd",S30/2,S30))</f>
      </c>
      <c r="U30" s="41">
        <f t="shared" si="8"/>
      </c>
    </row>
    <row r="31" spans="1:21" ht="12.75">
      <c r="A31" s="28"/>
      <c r="B31" s="28" t="s">
        <v>93</v>
      </c>
      <c r="C31" s="30">
        <v>0</v>
      </c>
      <c r="E31">
        <v>292.8</v>
      </c>
      <c r="F31" s="41">
        <f t="shared" si="0"/>
        <v>0</v>
      </c>
      <c r="G31" s="41">
        <f>IF(E31=0,"",IF(D31="nd",E31/2,E31))</f>
        <v>292.8</v>
      </c>
      <c r="H31" s="41">
        <f t="shared" si="2"/>
        <v>0</v>
      </c>
      <c r="I31"/>
      <c r="J31">
        <v>692</v>
      </c>
      <c r="K31" s="33">
        <f t="shared" si="3"/>
        <v>0</v>
      </c>
      <c r="L31" s="41">
        <f>IF(J31=0,"",IF(I31="nd",J31/2,J31))</f>
        <v>692</v>
      </c>
      <c r="M31" s="33">
        <f t="shared" si="4"/>
        <v>0</v>
      </c>
      <c r="O31">
        <v>169.3</v>
      </c>
      <c r="P31" s="33">
        <f t="shared" si="5"/>
        <v>0</v>
      </c>
      <c r="Q31" s="41">
        <f t="shared" si="6"/>
        <v>169.3</v>
      </c>
      <c r="R31" s="33">
        <f t="shared" si="7"/>
        <v>0</v>
      </c>
      <c r="T31" s="41">
        <f>IF(S31=0,"",IF(#REF!="nd",S31/2,S31))</f>
      </c>
      <c r="U31" s="41">
        <f>IF(T31="","",T31*$C31)</f>
      </c>
    </row>
    <row r="32" spans="1:21" ht="12.75">
      <c r="A32" s="28"/>
      <c r="B32" s="28" t="s">
        <v>42</v>
      </c>
      <c r="C32" s="30">
        <v>0.01</v>
      </c>
      <c r="E32">
        <v>112</v>
      </c>
      <c r="F32" s="41">
        <f t="shared" si="0"/>
        <v>1.12</v>
      </c>
      <c r="G32" s="41">
        <f t="shared" si="1"/>
        <v>112</v>
      </c>
      <c r="H32" s="41">
        <f t="shared" si="2"/>
        <v>1.12</v>
      </c>
      <c r="I32"/>
      <c r="J32">
        <v>135.5</v>
      </c>
      <c r="K32" s="33">
        <f t="shared" si="3"/>
        <v>1.355</v>
      </c>
      <c r="L32" s="41">
        <f t="shared" si="9"/>
        <v>135.5</v>
      </c>
      <c r="M32" s="33">
        <f t="shared" si="4"/>
        <v>1.355</v>
      </c>
      <c r="O32">
        <v>62.7</v>
      </c>
      <c r="P32" s="33">
        <f t="shared" si="5"/>
        <v>0.627</v>
      </c>
      <c r="Q32" s="41">
        <f t="shared" si="6"/>
        <v>62.7</v>
      </c>
      <c r="R32" s="33">
        <f t="shared" si="7"/>
        <v>0.627</v>
      </c>
      <c r="T32" s="41">
        <f>IF(S32=0,"",IF(#REF!="nd",S32/2,S32))</f>
      </c>
      <c r="U32" s="41">
        <f t="shared" si="8"/>
      </c>
    </row>
    <row r="33" spans="1:21" ht="12.75">
      <c r="A33" s="28"/>
      <c r="B33" s="28" t="s">
        <v>43</v>
      </c>
      <c r="C33" s="30">
        <v>0.01</v>
      </c>
      <c r="E33">
        <v>29.5</v>
      </c>
      <c r="F33" s="41">
        <f t="shared" si="0"/>
        <v>0.295</v>
      </c>
      <c r="G33" s="41">
        <f t="shared" si="1"/>
        <v>29.5</v>
      </c>
      <c r="H33" s="41">
        <f t="shared" si="2"/>
        <v>0.295</v>
      </c>
      <c r="I33"/>
      <c r="J33">
        <v>44.4</v>
      </c>
      <c r="K33" s="33">
        <f t="shared" si="3"/>
        <v>0.444</v>
      </c>
      <c r="L33" s="41">
        <f t="shared" si="9"/>
        <v>44.4</v>
      </c>
      <c r="M33" s="33">
        <f t="shared" si="4"/>
        <v>0.444</v>
      </c>
      <c r="O33">
        <v>24.2</v>
      </c>
      <c r="P33" s="33">
        <f t="shared" si="5"/>
        <v>0.242</v>
      </c>
      <c r="Q33" s="41">
        <f t="shared" si="6"/>
        <v>24.2</v>
      </c>
      <c r="R33" s="33">
        <f t="shared" si="7"/>
        <v>0.242</v>
      </c>
      <c r="T33" s="41">
        <f>IF(S33=0,"",IF(#REF!="nd",S33/2,S33))</f>
      </c>
      <c r="U33" s="41">
        <f t="shared" si="8"/>
      </c>
    </row>
    <row r="34" spans="1:21" ht="12.75">
      <c r="A34" s="28"/>
      <c r="B34" s="28" t="s">
        <v>94</v>
      </c>
      <c r="C34" s="30">
        <v>0</v>
      </c>
      <c r="E34">
        <v>64</v>
      </c>
      <c r="F34" s="41">
        <f t="shared" si="0"/>
        <v>0</v>
      </c>
      <c r="G34" s="41">
        <f>IF(E34=0,"",IF(D34="nd",E34/2,E34))</f>
        <v>64</v>
      </c>
      <c r="H34" s="41">
        <f t="shared" si="2"/>
        <v>0</v>
      </c>
      <c r="I34"/>
      <c r="J34">
        <v>111.1</v>
      </c>
      <c r="K34" s="33">
        <f t="shared" si="3"/>
        <v>0</v>
      </c>
      <c r="L34" s="41">
        <f>IF(J34=0,"",IF(I34="nd",J34/2,J34))</f>
        <v>111.1</v>
      </c>
      <c r="M34" s="33">
        <f t="shared" si="4"/>
        <v>0</v>
      </c>
      <c r="O34">
        <v>43.1</v>
      </c>
      <c r="P34" s="33">
        <f t="shared" si="5"/>
        <v>0</v>
      </c>
      <c r="Q34" s="41">
        <f t="shared" si="6"/>
        <v>43.1</v>
      </c>
      <c r="R34" s="33">
        <f t="shared" si="7"/>
        <v>0</v>
      </c>
      <c r="T34" s="41">
        <f>IF(S34=0,"",IF(#REF!="nd",S34/2,S34))</f>
      </c>
      <c r="U34" s="41">
        <f>IF(T34="","",T34*$C34)</f>
      </c>
    </row>
    <row r="35" spans="1:21" ht="12.75">
      <c r="A35" s="28"/>
      <c r="B35" s="28" t="s">
        <v>44</v>
      </c>
      <c r="C35" s="30">
        <v>0.001</v>
      </c>
      <c r="E35">
        <v>102</v>
      </c>
      <c r="F35" s="41">
        <f t="shared" si="0"/>
        <v>0.10200000000000001</v>
      </c>
      <c r="G35" s="41">
        <f t="shared" si="1"/>
        <v>102</v>
      </c>
      <c r="H35" s="41">
        <f t="shared" si="2"/>
        <v>0.10200000000000001</v>
      </c>
      <c r="I35"/>
      <c r="J35">
        <v>108</v>
      </c>
      <c r="K35" s="33">
        <f t="shared" si="3"/>
        <v>0.108</v>
      </c>
      <c r="L35" s="41">
        <f t="shared" si="9"/>
        <v>108</v>
      </c>
      <c r="M35" s="33">
        <f t="shared" si="4"/>
        <v>0.108</v>
      </c>
      <c r="O35">
        <v>47.1</v>
      </c>
      <c r="P35" s="33">
        <f t="shared" si="5"/>
        <v>0.0471</v>
      </c>
      <c r="Q35" s="41">
        <f t="shared" si="6"/>
        <v>47.1</v>
      </c>
      <c r="R35" s="33">
        <f t="shared" si="7"/>
        <v>0.0471</v>
      </c>
      <c r="T35" s="41">
        <f>IF(S35=0,"",IF(#REF!="nd",S35/2,S35))</f>
      </c>
      <c r="U35" s="41">
        <f t="shared" si="8"/>
      </c>
    </row>
    <row r="36" spans="1:21" ht="12.75">
      <c r="A36" s="28"/>
      <c r="B36" s="28"/>
      <c r="C36" s="28"/>
      <c r="D36" s="28"/>
      <c r="E36" s="33"/>
      <c r="F36" s="36"/>
      <c r="G36" s="33"/>
      <c r="H36" s="36"/>
      <c r="I36" s="53"/>
      <c r="J36" s="13"/>
      <c r="K36" s="31"/>
      <c r="L36" s="31"/>
      <c r="M36" s="31"/>
      <c r="N36" s="33"/>
      <c r="O36" s="13"/>
      <c r="P36" s="31"/>
      <c r="Q36" s="31"/>
      <c r="R36" s="31"/>
      <c r="S36" s="13"/>
      <c r="T36" s="33"/>
      <c r="U36" s="35"/>
    </row>
    <row r="37" spans="1:21" ht="12.75">
      <c r="A37" s="28"/>
      <c r="B37" s="28" t="s">
        <v>45</v>
      </c>
      <c r="C37" s="28"/>
      <c r="D37" s="28"/>
      <c r="E37" s="33"/>
      <c r="F37">
        <v>112.677</v>
      </c>
      <c r="G37">
        <v>112.677</v>
      </c>
      <c r="H37">
        <v>112.677</v>
      </c>
      <c r="I37"/>
      <c r="K37">
        <v>113.4947</v>
      </c>
      <c r="L37">
        <v>113.947</v>
      </c>
      <c r="M37">
        <v>113.4947</v>
      </c>
      <c r="N37" s="33"/>
      <c r="P37">
        <v>116.143</v>
      </c>
      <c r="Q37">
        <v>116.143</v>
      </c>
      <c r="R37">
        <v>116.143</v>
      </c>
      <c r="S37" s="33"/>
      <c r="T37" s="33"/>
      <c r="U37" s="33"/>
    </row>
    <row r="38" spans="1:21" ht="12.75">
      <c r="A38" s="28"/>
      <c r="B38" s="28" t="s">
        <v>58</v>
      </c>
      <c r="C38" s="28"/>
      <c r="D38" s="28"/>
      <c r="E38" s="33"/>
      <c r="F38">
        <v>9.8</v>
      </c>
      <c r="G38">
        <v>9.8</v>
      </c>
      <c r="H38">
        <v>9.8</v>
      </c>
      <c r="I38"/>
      <c r="K38">
        <v>9.7</v>
      </c>
      <c r="L38">
        <v>9.7</v>
      </c>
      <c r="M38">
        <v>9.7</v>
      </c>
      <c r="N38" s="33"/>
      <c r="P38">
        <v>9.7</v>
      </c>
      <c r="Q38">
        <v>9.7</v>
      </c>
      <c r="R38">
        <v>9.7</v>
      </c>
      <c r="S38" s="33"/>
      <c r="T38" s="33"/>
      <c r="U38" s="33"/>
    </row>
    <row r="39" spans="1:21" ht="12.75">
      <c r="A39" s="28"/>
      <c r="B39" s="28"/>
      <c r="C39" s="28"/>
      <c r="D39" s="28"/>
      <c r="E39" s="33"/>
      <c r="F39" s="13"/>
      <c r="G39" s="33"/>
      <c r="H39" s="13"/>
      <c r="I39" s="48"/>
      <c r="J39" s="33"/>
      <c r="K39" s="34"/>
      <c r="L39" s="31"/>
      <c r="M39" s="34"/>
      <c r="N39" s="33"/>
      <c r="O39" s="33"/>
      <c r="P39" s="34"/>
      <c r="Q39" s="31"/>
      <c r="R39" s="34"/>
      <c r="S39" s="33"/>
      <c r="T39" s="33"/>
      <c r="U39" s="33"/>
    </row>
    <row r="40" spans="1:21" ht="12.75">
      <c r="A40" s="28"/>
      <c r="B40" s="28" t="s">
        <v>95</v>
      </c>
      <c r="C40" s="36"/>
      <c r="D40" s="36"/>
      <c r="E40" s="31"/>
      <c r="F40" s="32">
        <f>SUM(F11:F35)/1000</f>
        <v>0.096862</v>
      </c>
      <c r="G40" s="31">
        <f>SUM(G11:G35)/1000</f>
        <v>3.3571500000000003</v>
      </c>
      <c r="H40" s="32">
        <f>SUM(H11:H35)/1000</f>
        <v>0.086507</v>
      </c>
      <c r="I40" s="38"/>
      <c r="J40" s="31"/>
      <c r="K40" s="32">
        <f>SUM(K11:K35)/1000</f>
        <v>0.11374000000000002</v>
      </c>
      <c r="L40" s="31">
        <f>SUM(L11:L35)/1000</f>
        <v>4.4033</v>
      </c>
      <c r="M40" s="32">
        <f>SUM(M11:M35)/1000</f>
        <v>0.10633500000000003</v>
      </c>
      <c r="N40" s="36"/>
      <c r="O40" s="31"/>
      <c r="P40" s="32">
        <f>SUM(P11:P35)/1000</f>
        <v>0.07288209999999999</v>
      </c>
      <c r="Q40" s="31">
        <f>SUM(Q11:Q35)/1000</f>
        <v>2.4017999999999997</v>
      </c>
      <c r="R40" s="32">
        <f>SUM(R11:R35)/1000</f>
        <v>0.0605121</v>
      </c>
      <c r="S40" s="33"/>
      <c r="T40" s="31"/>
      <c r="U40" s="33"/>
    </row>
    <row r="41" spans="1:21" ht="12.75">
      <c r="A41" s="28"/>
      <c r="B41" s="28" t="s">
        <v>46</v>
      </c>
      <c r="C41" s="36"/>
      <c r="D41" s="31">
        <f>(F41-H41)*2/F41*100</f>
        <v>21.380933699489983</v>
      </c>
      <c r="E41" s="33"/>
      <c r="F41" s="32">
        <f>(F40/F37/0.0283*(21-7)/(21-F38))</f>
        <v>0.037970099403244355</v>
      </c>
      <c r="G41" s="32">
        <f>(G40/G37/0.0283*(21-7)/(21-G38))</f>
        <v>1.3160095725011027</v>
      </c>
      <c r="H41" s="32">
        <f>(H40/H37/0.0283*(21-7)/(21-H38))</f>
        <v>0.0339109185137253</v>
      </c>
      <c r="I41" s="31">
        <f>(K41-M41)*2/K41*100</f>
        <v>13.020924916476195</v>
      </c>
      <c r="J41" s="33"/>
      <c r="K41" s="32">
        <f>K40/K37/0.0283*(21-7)/(21-K38)</f>
        <v>0.043873350266371486</v>
      </c>
      <c r="L41" s="32">
        <f>(L40/L37/0.0283*(21-7)/(21-L38))</f>
        <v>1.6917591590001002</v>
      </c>
      <c r="M41" s="32">
        <f>M40/M37/0.0283*(21-7)/(21-M38)</f>
        <v>0.041016992268108066</v>
      </c>
      <c r="N41" s="31">
        <f>(P41-R41)*2/P41*100</f>
        <v>33.945234838183865</v>
      </c>
      <c r="O41" s="33"/>
      <c r="P41" s="32">
        <f>P40/P37/0.0283*(21-7)/(21-P38)</f>
        <v>0.027472045345235282</v>
      </c>
      <c r="Q41" s="33">
        <f>(Q40/Q37/0.0283*(21-7)/(21-Q38))</f>
        <v>0.9053300949092589</v>
      </c>
      <c r="R41" s="32">
        <f>R40/R37/0.0283*(21-7)/(21-R38)</f>
        <v>0.022809320191589044</v>
      </c>
      <c r="S41" s="33"/>
      <c r="T41" s="33"/>
      <c r="U41" s="33"/>
    </row>
    <row r="42" spans="1:21" ht="12.75">
      <c r="A42" s="28"/>
      <c r="B42" s="28"/>
      <c r="C42" s="28"/>
      <c r="D42" s="28"/>
      <c r="E42" s="32"/>
      <c r="F42" s="36"/>
      <c r="G42" s="32"/>
      <c r="H42" s="36"/>
      <c r="I42" s="54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5"/>
    </row>
    <row r="43" spans="1:21" ht="12.75">
      <c r="A43" s="33"/>
      <c r="B43" s="28" t="s">
        <v>59</v>
      </c>
      <c r="C43" s="36">
        <f>AVERAGE(H41,M41,R41)</f>
        <v>0.0325790769911408</v>
      </c>
      <c r="D43" s="33"/>
      <c r="E43" s="33"/>
      <c r="F43" s="36"/>
      <c r="G43" s="33"/>
      <c r="H43" s="36"/>
      <c r="I43" s="5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5"/>
    </row>
    <row r="44" spans="1:21" ht="12.75">
      <c r="A44" s="28"/>
      <c r="B44" s="28" t="s">
        <v>60</v>
      </c>
      <c r="C44" s="36">
        <f>AVERAGE(G41,L41,Q41)</f>
        <v>1.304366275470154</v>
      </c>
      <c r="D44" s="28"/>
      <c r="E44" s="35"/>
      <c r="F44" s="36"/>
      <c r="G44" s="35"/>
      <c r="H44" s="36"/>
      <c r="I44" s="3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85" spans="1:21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6"/>
      <c r="Q85" s="4"/>
      <c r="R85" s="6"/>
      <c r="S85" s="7"/>
      <c r="T85" s="7"/>
      <c r="U85" s="7"/>
    </row>
    <row r="86" spans="1:21" ht="12.75">
      <c r="A86" s="2"/>
      <c r="B86" s="2"/>
      <c r="C86" s="3"/>
      <c r="D86" s="3"/>
      <c r="E86" s="4"/>
      <c r="F86" s="7"/>
      <c r="G86" s="4"/>
      <c r="H86" s="7"/>
      <c r="I86" s="55"/>
      <c r="J86" s="4"/>
      <c r="K86" s="4"/>
      <c r="L86" s="4"/>
      <c r="M86" s="4"/>
      <c r="N86" s="3"/>
      <c r="O86" s="4"/>
      <c r="P86" s="4"/>
      <c r="Q86" s="4"/>
      <c r="R86" s="4"/>
      <c r="S86" s="7"/>
      <c r="T86" s="3"/>
      <c r="U86" s="3"/>
    </row>
    <row r="87" spans="1:21" ht="12.75">
      <c r="A87" s="2"/>
      <c r="B87" s="2"/>
      <c r="C87" s="3"/>
      <c r="D87" s="3"/>
      <c r="E87" s="7"/>
      <c r="F87" s="3"/>
      <c r="G87" s="5"/>
      <c r="H87" s="3"/>
      <c r="I87" s="55"/>
      <c r="J87" s="7"/>
      <c r="K87" s="3"/>
      <c r="L87" s="4"/>
      <c r="M87" s="3"/>
      <c r="N87" s="3"/>
      <c r="O87" s="7"/>
      <c r="P87" s="3"/>
      <c r="Q87" s="4"/>
      <c r="R87" s="3"/>
      <c r="S87" s="7"/>
      <c r="T87" s="5"/>
      <c r="U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B33" sqref="B33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8515625" style="0" customWidth="1"/>
    <col min="4" max="4" width="3.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2.7109375" style="52" customWidth="1"/>
    <col min="11" max="11" width="9.28125" style="0" customWidth="1"/>
    <col min="13" max="13" width="9.28125" style="0" customWidth="1"/>
    <col min="14" max="14" width="4.8515625" style="0" customWidth="1"/>
    <col min="16" max="16" width="9.28125" style="0" customWidth="1"/>
    <col min="18" max="18" width="9.28125" style="0" customWidth="1"/>
  </cols>
  <sheetData>
    <row r="1" spans="1:19" ht="12.75">
      <c r="A1" s="43" t="s">
        <v>67</v>
      </c>
      <c r="B1" s="28"/>
      <c r="C1" s="28"/>
      <c r="D1" s="28"/>
      <c r="E1" s="35"/>
      <c r="F1" s="36"/>
      <c r="G1" s="35"/>
      <c r="H1" s="36"/>
      <c r="I1" s="39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9" customHeight="1">
      <c r="A2" s="28" t="s">
        <v>280</v>
      </c>
      <c r="B2" s="28"/>
      <c r="C2" s="28"/>
      <c r="D2" s="28"/>
      <c r="E2" s="35"/>
      <c r="F2" s="36"/>
      <c r="G2" s="35"/>
      <c r="H2" s="36"/>
      <c r="I2" s="39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28" t="s">
        <v>20</v>
      </c>
      <c r="B3" s="28"/>
      <c r="C3" s="11" t="s">
        <v>141</v>
      </c>
      <c r="D3" s="11"/>
      <c r="E3" s="35"/>
      <c r="F3" s="36"/>
      <c r="G3" s="35"/>
      <c r="H3" s="36"/>
      <c r="I3" s="39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.75">
      <c r="A4" s="28" t="s">
        <v>21</v>
      </c>
      <c r="B4" s="28"/>
      <c r="C4" s="11" t="s">
        <v>234</v>
      </c>
      <c r="D4" s="11"/>
      <c r="E4" s="37"/>
      <c r="F4" s="38"/>
      <c r="G4" s="37"/>
      <c r="H4" s="38"/>
      <c r="I4" s="39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>
      <c r="A5" s="28" t="s">
        <v>22</v>
      </c>
      <c r="B5" s="28"/>
      <c r="C5" s="13" t="s">
        <v>278</v>
      </c>
      <c r="D5" s="13"/>
      <c r="E5" s="13"/>
      <c r="F5" s="13"/>
      <c r="G5" s="13"/>
      <c r="H5" s="13"/>
      <c r="I5" s="48"/>
      <c r="J5" s="13"/>
      <c r="K5" s="35"/>
      <c r="L5" s="13"/>
      <c r="M5" s="35"/>
      <c r="N5" s="35"/>
      <c r="O5" s="13"/>
      <c r="P5" s="35"/>
      <c r="Q5" s="13"/>
      <c r="R5" s="35"/>
      <c r="S5" s="35"/>
    </row>
    <row r="6" spans="1:19" ht="12.75">
      <c r="A6" s="28"/>
      <c r="B6" s="28"/>
      <c r="C6" s="30"/>
      <c r="D6" s="30"/>
      <c r="E6" s="39"/>
      <c r="F6" s="36"/>
      <c r="G6" s="39"/>
      <c r="H6" s="36"/>
      <c r="I6" s="39"/>
      <c r="J6" s="39"/>
      <c r="K6" s="35"/>
      <c r="L6" s="39"/>
      <c r="M6" s="35"/>
      <c r="N6" s="35"/>
      <c r="O6" s="39"/>
      <c r="P6" s="35"/>
      <c r="Q6" s="39"/>
      <c r="R6" s="35"/>
      <c r="S6" s="39"/>
    </row>
    <row r="7" spans="1:18" ht="12.75">
      <c r="A7" s="28"/>
      <c r="B7" s="28"/>
      <c r="C7" s="30" t="s">
        <v>23</v>
      </c>
      <c r="D7" s="30"/>
      <c r="E7" s="40" t="s">
        <v>53</v>
      </c>
      <c r="F7" s="40"/>
      <c r="G7" s="40"/>
      <c r="H7" s="40"/>
      <c r="I7" s="12"/>
      <c r="J7" s="40" t="s">
        <v>102</v>
      </c>
      <c r="K7" s="40"/>
      <c r="L7" s="40"/>
      <c r="M7" s="40"/>
      <c r="N7" s="12"/>
      <c r="O7" s="40" t="s">
        <v>153</v>
      </c>
      <c r="P7" s="40"/>
      <c r="Q7" s="40"/>
      <c r="R7" s="40"/>
    </row>
    <row r="8" spans="1:18" ht="12.75">
      <c r="A8" s="28"/>
      <c r="B8" s="28"/>
      <c r="C8" s="30" t="s">
        <v>24</v>
      </c>
      <c r="D8" s="28"/>
      <c r="E8" s="39" t="s">
        <v>25</v>
      </c>
      <c r="F8" s="38" t="s">
        <v>26</v>
      </c>
      <c r="G8" s="39" t="s">
        <v>25</v>
      </c>
      <c r="H8" s="38" t="s">
        <v>26</v>
      </c>
      <c r="I8" s="39"/>
      <c r="J8" s="39" t="s">
        <v>25</v>
      </c>
      <c r="K8" s="39" t="s">
        <v>27</v>
      </c>
      <c r="L8" s="39" t="s">
        <v>25</v>
      </c>
      <c r="M8" s="39" t="s">
        <v>27</v>
      </c>
      <c r="N8" s="35"/>
      <c r="O8" s="39" t="s">
        <v>25</v>
      </c>
      <c r="P8" s="39" t="s">
        <v>27</v>
      </c>
      <c r="Q8" s="39" t="s">
        <v>25</v>
      </c>
      <c r="R8" s="39" t="s">
        <v>27</v>
      </c>
    </row>
    <row r="9" spans="1:18" ht="12.75">
      <c r="A9" s="28"/>
      <c r="B9" s="28"/>
      <c r="C9" s="30"/>
      <c r="D9" s="28"/>
      <c r="E9" s="39" t="s">
        <v>277</v>
      </c>
      <c r="F9" s="39" t="s">
        <v>277</v>
      </c>
      <c r="G9" s="39" t="s">
        <v>66</v>
      </c>
      <c r="H9" s="38" t="s">
        <v>66</v>
      </c>
      <c r="I9" s="39"/>
      <c r="J9" s="39" t="s">
        <v>277</v>
      </c>
      <c r="K9" s="39" t="s">
        <v>277</v>
      </c>
      <c r="L9" s="39" t="s">
        <v>66</v>
      </c>
      <c r="M9" s="38" t="s">
        <v>66</v>
      </c>
      <c r="N9" s="35"/>
      <c r="O9" s="39" t="s">
        <v>277</v>
      </c>
      <c r="P9" s="39" t="s">
        <v>277</v>
      </c>
      <c r="Q9" s="39" t="s">
        <v>66</v>
      </c>
      <c r="R9" s="38" t="s">
        <v>66</v>
      </c>
    </row>
    <row r="10" spans="1:19" ht="12.75">
      <c r="A10" s="28" t="s">
        <v>98</v>
      </c>
      <c r="B10" s="28"/>
      <c r="C10" s="28"/>
      <c r="D10" s="28"/>
      <c r="E10" s="35"/>
      <c r="F10" s="36"/>
      <c r="G10" s="35"/>
      <c r="H10" s="36"/>
      <c r="I10" s="39"/>
      <c r="J10" s="35"/>
      <c r="K10" s="35"/>
      <c r="L10" s="35"/>
      <c r="M10" s="35"/>
      <c r="N10" s="35"/>
      <c r="O10" s="35"/>
      <c r="P10" s="35"/>
      <c r="Q10" s="35"/>
      <c r="R10" s="35"/>
      <c r="S10" s="31"/>
    </row>
    <row r="11" spans="1:18" ht="12.75">
      <c r="A11" s="28"/>
      <c r="B11" s="28" t="s">
        <v>28</v>
      </c>
      <c r="C11" s="30">
        <v>1</v>
      </c>
      <c r="F11" s="33">
        <f aca="true" t="shared" si="0" ref="F11:F35">IF(E11="","",E11*$C11)</f>
      </c>
      <c r="G11" s="33">
        <f aca="true" t="shared" si="1" ref="G11:G35">IF(E11=0,"",IF(D11="nd",E11/2,E11))</f>
      </c>
      <c r="H11" s="33">
        <f aca="true" t="shared" si="2" ref="H11:H35">IF(G11="","",G11*$C11)</f>
      </c>
      <c r="I11"/>
      <c r="K11" s="33">
        <f aca="true" t="shared" si="3" ref="K11:K35">IF(J11="","",J11*$C11)</f>
      </c>
      <c r="L11" s="33">
        <f>IF(J11=0,"",IF(I11="nd",J11/2,J11))</f>
      </c>
      <c r="M11" s="33">
        <f aca="true" t="shared" si="4" ref="M11:M35">IF(L11="","",L11*$C11)</f>
      </c>
      <c r="P11" s="33">
        <f aca="true" t="shared" si="5" ref="P11:P35">IF(O11="","",O11*$C11)</f>
      </c>
      <c r="Q11" s="33">
        <f aca="true" t="shared" si="6" ref="Q11:Q35">IF(O11=0,"",IF(N11="nd",O11/2,O11))</f>
      </c>
      <c r="R11" s="33">
        <f aca="true" t="shared" si="7" ref="R11:R35">IF(Q11="","",Q11*$C11)</f>
      </c>
    </row>
    <row r="12" spans="1:18" ht="12.75">
      <c r="A12" s="28"/>
      <c r="B12" s="28" t="s">
        <v>87</v>
      </c>
      <c r="C12" s="30">
        <v>0</v>
      </c>
      <c r="F12" s="41">
        <f t="shared" si="0"/>
      </c>
      <c r="G12" s="41">
        <f>IF(E12=0,"",IF(D12="nd",E12/2,E12))</f>
      </c>
      <c r="H12" s="41">
        <f t="shared" si="2"/>
      </c>
      <c r="I12"/>
      <c r="K12" s="33">
        <f t="shared" si="3"/>
      </c>
      <c r="L12" s="41">
        <f>IF(J12=0,"",IF(I12="nd",J12/2,J12))</f>
      </c>
      <c r="M12" s="33">
        <f t="shared" si="4"/>
      </c>
      <c r="P12" s="33">
        <f t="shared" si="5"/>
      </c>
      <c r="Q12" s="41">
        <f t="shared" si="6"/>
      </c>
      <c r="R12" s="33">
        <f t="shared" si="7"/>
      </c>
    </row>
    <row r="13" spans="1:18" ht="12.75">
      <c r="A13" s="28"/>
      <c r="B13" s="28" t="s">
        <v>29</v>
      </c>
      <c r="C13" s="30">
        <v>0.5</v>
      </c>
      <c r="F13" s="33">
        <f t="shared" si="0"/>
      </c>
      <c r="G13" s="33">
        <f t="shared" si="1"/>
      </c>
      <c r="H13" s="33">
        <f t="shared" si="2"/>
      </c>
      <c r="I13"/>
      <c r="K13" s="33">
        <f t="shared" si="3"/>
      </c>
      <c r="L13" s="33">
        <f aca="true" t="shared" si="8" ref="L13:L35">IF(J13=0,"",IF(I13="nd",J13/2,J13))</f>
      </c>
      <c r="M13" s="33">
        <f t="shared" si="4"/>
      </c>
      <c r="P13" s="33">
        <f t="shared" si="5"/>
      </c>
      <c r="Q13" s="33">
        <f t="shared" si="6"/>
      </c>
      <c r="R13" s="33">
        <f t="shared" si="7"/>
      </c>
    </row>
    <row r="14" spans="1:18" ht="12.75">
      <c r="A14" s="28"/>
      <c r="B14" s="28" t="s">
        <v>88</v>
      </c>
      <c r="C14" s="30">
        <v>0</v>
      </c>
      <c r="F14" s="41">
        <f t="shared" si="0"/>
      </c>
      <c r="G14" s="41">
        <f>IF(E14=0,"",IF(D14="nd",E14/2,E14))</f>
      </c>
      <c r="H14" s="41">
        <f t="shared" si="2"/>
      </c>
      <c r="I14"/>
      <c r="K14" s="33">
        <f t="shared" si="3"/>
      </c>
      <c r="L14" s="41">
        <f>IF(J14=0,"",IF(I14="nd",J14/2,J14))</f>
      </c>
      <c r="M14" s="33">
        <f t="shared" si="4"/>
      </c>
      <c r="P14" s="33">
        <f t="shared" si="5"/>
      </c>
      <c r="Q14" s="41">
        <f t="shared" si="6"/>
      </c>
      <c r="R14" s="33">
        <f t="shared" si="7"/>
      </c>
    </row>
    <row r="15" spans="1:18" ht="12.75">
      <c r="A15" s="28"/>
      <c r="B15" s="28" t="s">
        <v>30</v>
      </c>
      <c r="C15" s="30">
        <v>0.1</v>
      </c>
      <c r="F15" s="33">
        <f t="shared" si="0"/>
      </c>
      <c r="G15" s="33">
        <f t="shared" si="1"/>
      </c>
      <c r="H15" s="33">
        <f t="shared" si="2"/>
      </c>
      <c r="I15"/>
      <c r="K15" s="33">
        <f t="shared" si="3"/>
      </c>
      <c r="L15" s="33">
        <f t="shared" si="8"/>
      </c>
      <c r="M15" s="33">
        <f t="shared" si="4"/>
      </c>
      <c r="P15" s="33">
        <f t="shared" si="5"/>
      </c>
      <c r="Q15" s="33">
        <f t="shared" si="6"/>
      </c>
      <c r="R15" s="33">
        <f t="shared" si="7"/>
      </c>
    </row>
    <row r="16" spans="1:18" ht="12.75">
      <c r="A16" s="28"/>
      <c r="B16" s="28" t="s">
        <v>31</v>
      </c>
      <c r="C16" s="30">
        <v>0.1</v>
      </c>
      <c r="F16" s="33">
        <f t="shared" si="0"/>
      </c>
      <c r="G16" s="33">
        <f t="shared" si="1"/>
      </c>
      <c r="H16" s="33">
        <f t="shared" si="2"/>
      </c>
      <c r="I16"/>
      <c r="K16" s="33">
        <f t="shared" si="3"/>
      </c>
      <c r="L16" s="33">
        <f t="shared" si="8"/>
      </c>
      <c r="M16" s="33">
        <f t="shared" si="4"/>
      </c>
      <c r="P16" s="33">
        <f t="shared" si="5"/>
      </c>
      <c r="Q16" s="33">
        <f t="shared" si="6"/>
      </c>
      <c r="R16" s="33">
        <f t="shared" si="7"/>
      </c>
    </row>
    <row r="17" spans="1:18" ht="12.75">
      <c r="A17" s="28"/>
      <c r="B17" s="28" t="s">
        <v>32</v>
      </c>
      <c r="C17" s="30">
        <v>0.1</v>
      </c>
      <c r="F17" s="33">
        <f t="shared" si="0"/>
      </c>
      <c r="G17" s="33">
        <f t="shared" si="1"/>
      </c>
      <c r="H17" s="33">
        <f t="shared" si="2"/>
      </c>
      <c r="I17"/>
      <c r="K17" s="33">
        <f t="shared" si="3"/>
      </c>
      <c r="L17" s="33">
        <f t="shared" si="8"/>
      </c>
      <c r="M17" s="33">
        <f t="shared" si="4"/>
      </c>
      <c r="P17" s="33">
        <f t="shared" si="5"/>
      </c>
      <c r="Q17" s="33">
        <f t="shared" si="6"/>
      </c>
      <c r="R17" s="33">
        <f t="shared" si="7"/>
      </c>
    </row>
    <row r="18" spans="1:18" ht="12.75">
      <c r="A18" s="28"/>
      <c r="B18" s="28" t="s">
        <v>89</v>
      </c>
      <c r="C18" s="30">
        <v>0</v>
      </c>
      <c r="F18" s="41">
        <f t="shared" si="0"/>
      </c>
      <c r="G18" s="41">
        <f>IF(E18=0,"",IF(D18="nd",E18/2,E18))</f>
      </c>
      <c r="H18" s="41">
        <f t="shared" si="2"/>
      </c>
      <c r="I18"/>
      <c r="K18" s="33">
        <f t="shared" si="3"/>
      </c>
      <c r="L18" s="41">
        <f>IF(J18=0,"",IF(I18="nd",J18/2,J18))</f>
      </c>
      <c r="M18" s="33">
        <f t="shared" si="4"/>
      </c>
      <c r="P18" s="33">
        <f t="shared" si="5"/>
      </c>
      <c r="Q18" s="41">
        <f t="shared" si="6"/>
      </c>
      <c r="R18" s="33">
        <f t="shared" si="7"/>
      </c>
    </row>
    <row r="19" spans="1:18" ht="12.75">
      <c r="A19" s="28"/>
      <c r="B19" s="28" t="s">
        <v>33</v>
      </c>
      <c r="C19" s="30">
        <v>0.01</v>
      </c>
      <c r="F19" s="33">
        <f t="shared" si="0"/>
      </c>
      <c r="G19" s="33">
        <f t="shared" si="1"/>
      </c>
      <c r="H19" s="33">
        <f t="shared" si="2"/>
      </c>
      <c r="I19"/>
      <c r="K19" s="33">
        <f t="shared" si="3"/>
      </c>
      <c r="L19" s="33">
        <f t="shared" si="8"/>
      </c>
      <c r="M19" s="33">
        <f t="shared" si="4"/>
      </c>
      <c r="P19" s="33">
        <f t="shared" si="5"/>
      </c>
      <c r="Q19" s="33">
        <f t="shared" si="6"/>
      </c>
      <c r="R19" s="33">
        <f t="shared" si="7"/>
      </c>
    </row>
    <row r="20" spans="1:18" ht="12.75">
      <c r="A20" s="28"/>
      <c r="B20" s="28" t="s">
        <v>90</v>
      </c>
      <c r="C20" s="30">
        <v>0</v>
      </c>
      <c r="F20" s="41">
        <f t="shared" si="0"/>
      </c>
      <c r="G20" s="41">
        <f>IF(E20=0,"",IF(D20="nd",E20/2,E20))</f>
      </c>
      <c r="H20" s="41">
        <f t="shared" si="2"/>
      </c>
      <c r="I20"/>
      <c r="K20" s="33">
        <f t="shared" si="3"/>
      </c>
      <c r="L20" s="41">
        <f>IF(J20=0,"",IF(I20="nd",J20/2,J20))</f>
      </c>
      <c r="M20" s="33">
        <f t="shared" si="4"/>
      </c>
      <c r="P20" s="33">
        <f t="shared" si="5"/>
      </c>
      <c r="Q20" s="41">
        <f t="shared" si="6"/>
      </c>
      <c r="R20" s="33">
        <f t="shared" si="7"/>
      </c>
    </row>
    <row r="21" spans="1:18" ht="12.75">
      <c r="A21" s="28"/>
      <c r="B21" s="28" t="s">
        <v>34</v>
      </c>
      <c r="C21" s="30">
        <v>0.001</v>
      </c>
      <c r="F21" s="33">
        <f t="shared" si="0"/>
      </c>
      <c r="G21" s="33">
        <f t="shared" si="1"/>
      </c>
      <c r="H21" s="33">
        <f t="shared" si="2"/>
      </c>
      <c r="I21"/>
      <c r="K21" s="33">
        <f t="shared" si="3"/>
      </c>
      <c r="L21" s="41">
        <f t="shared" si="8"/>
      </c>
      <c r="M21" s="33">
        <f t="shared" si="4"/>
      </c>
      <c r="P21" s="33">
        <f t="shared" si="5"/>
      </c>
      <c r="Q21" s="41">
        <f t="shared" si="6"/>
      </c>
      <c r="R21" s="33">
        <f t="shared" si="7"/>
      </c>
    </row>
    <row r="22" spans="1:18" ht="12.75">
      <c r="A22" s="28"/>
      <c r="B22" s="28" t="s">
        <v>35</v>
      </c>
      <c r="C22" s="30">
        <v>0.1</v>
      </c>
      <c r="F22" s="33">
        <f t="shared" si="0"/>
      </c>
      <c r="G22" s="33">
        <f t="shared" si="1"/>
      </c>
      <c r="H22" s="33">
        <f t="shared" si="2"/>
      </c>
      <c r="I22"/>
      <c r="K22" s="33">
        <f t="shared" si="3"/>
      </c>
      <c r="L22" s="41">
        <f t="shared" si="8"/>
      </c>
      <c r="M22" s="33">
        <f t="shared" si="4"/>
      </c>
      <c r="P22" s="33">
        <f t="shared" si="5"/>
      </c>
      <c r="Q22" s="41">
        <f t="shared" si="6"/>
      </c>
      <c r="R22" s="33">
        <f t="shared" si="7"/>
      </c>
    </row>
    <row r="23" spans="1:18" ht="12.75">
      <c r="A23" s="28"/>
      <c r="B23" s="28" t="s">
        <v>91</v>
      </c>
      <c r="C23" s="30">
        <v>0</v>
      </c>
      <c r="F23" s="41">
        <f t="shared" si="0"/>
      </c>
      <c r="G23" s="41">
        <f>IF(E23=0,"",IF(D23="nd",E23/2,E23))</f>
      </c>
      <c r="H23" s="41">
        <f t="shared" si="2"/>
      </c>
      <c r="I23"/>
      <c r="K23" s="33">
        <f t="shared" si="3"/>
      </c>
      <c r="L23" s="41">
        <f>IF(J23=0,"",IF(I23="nd",J23/2,J23))</f>
      </c>
      <c r="M23" s="33">
        <f t="shared" si="4"/>
      </c>
      <c r="P23" s="33">
        <f t="shared" si="5"/>
      </c>
      <c r="Q23" s="41">
        <f t="shared" si="6"/>
      </c>
      <c r="R23" s="33">
        <f t="shared" si="7"/>
      </c>
    </row>
    <row r="24" spans="1:18" ht="12.75">
      <c r="A24" s="28"/>
      <c r="B24" s="28" t="s">
        <v>36</v>
      </c>
      <c r="C24" s="30">
        <v>0.05</v>
      </c>
      <c r="F24" s="41">
        <f t="shared" si="0"/>
      </c>
      <c r="G24" s="41">
        <f t="shared" si="1"/>
      </c>
      <c r="H24" s="41">
        <f t="shared" si="2"/>
      </c>
      <c r="I24"/>
      <c r="K24" s="33">
        <f t="shared" si="3"/>
      </c>
      <c r="L24" s="41">
        <f t="shared" si="8"/>
      </c>
      <c r="M24" s="33">
        <f t="shared" si="4"/>
      </c>
      <c r="P24" s="33">
        <f t="shared" si="5"/>
      </c>
      <c r="Q24" s="41">
        <f t="shared" si="6"/>
      </c>
      <c r="R24" s="33">
        <f t="shared" si="7"/>
      </c>
    </row>
    <row r="25" spans="1:18" ht="12.75">
      <c r="A25" s="28"/>
      <c r="B25" s="28" t="s">
        <v>37</v>
      </c>
      <c r="C25" s="30">
        <v>0.5</v>
      </c>
      <c r="F25" s="41">
        <f t="shared" si="0"/>
      </c>
      <c r="G25" s="41">
        <f t="shared" si="1"/>
      </c>
      <c r="H25" s="41">
        <f t="shared" si="2"/>
      </c>
      <c r="I25"/>
      <c r="K25" s="33">
        <f t="shared" si="3"/>
      </c>
      <c r="L25" s="41">
        <f t="shared" si="8"/>
      </c>
      <c r="M25" s="33">
        <f t="shared" si="4"/>
      </c>
      <c r="P25" s="33">
        <f t="shared" si="5"/>
      </c>
      <c r="Q25" s="41">
        <f t="shared" si="6"/>
      </c>
      <c r="R25" s="33">
        <f t="shared" si="7"/>
      </c>
    </row>
    <row r="26" spans="1:18" ht="12.75">
      <c r="A26" s="28"/>
      <c r="B26" s="28" t="s">
        <v>92</v>
      </c>
      <c r="C26" s="30">
        <v>0</v>
      </c>
      <c r="F26" s="41">
        <f t="shared" si="0"/>
      </c>
      <c r="G26" s="41">
        <f>IF(E26=0,"",IF(D26="nd",E26/2,E26))</f>
      </c>
      <c r="H26" s="41">
        <f t="shared" si="2"/>
      </c>
      <c r="I26"/>
      <c r="K26" s="33">
        <f t="shared" si="3"/>
      </c>
      <c r="L26" s="41">
        <f>IF(J26=0,"",IF(I26="nd",J26/2,J26))</f>
      </c>
      <c r="M26" s="33">
        <f t="shared" si="4"/>
      </c>
      <c r="P26" s="33">
        <f t="shared" si="5"/>
      </c>
      <c r="Q26" s="41">
        <f t="shared" si="6"/>
      </c>
      <c r="R26" s="33">
        <f t="shared" si="7"/>
      </c>
    </row>
    <row r="27" spans="1:18" ht="12.75">
      <c r="A27" s="28"/>
      <c r="B27" s="28" t="s">
        <v>38</v>
      </c>
      <c r="C27" s="30">
        <v>0.1</v>
      </c>
      <c r="F27" s="41">
        <f t="shared" si="0"/>
      </c>
      <c r="G27" s="41">
        <f t="shared" si="1"/>
      </c>
      <c r="H27" s="41">
        <f t="shared" si="2"/>
      </c>
      <c r="I27"/>
      <c r="K27" s="33">
        <f t="shared" si="3"/>
      </c>
      <c r="L27" s="41">
        <f t="shared" si="8"/>
      </c>
      <c r="M27" s="33">
        <f t="shared" si="4"/>
      </c>
      <c r="P27" s="33">
        <f t="shared" si="5"/>
      </c>
      <c r="Q27" s="41">
        <f t="shared" si="6"/>
      </c>
      <c r="R27" s="33">
        <f t="shared" si="7"/>
      </c>
    </row>
    <row r="28" spans="1:18" ht="12.75">
      <c r="A28" s="28"/>
      <c r="B28" s="28" t="s">
        <v>39</v>
      </c>
      <c r="C28" s="30">
        <v>0.1</v>
      </c>
      <c r="F28" s="41">
        <f t="shared" si="0"/>
      </c>
      <c r="G28" s="41">
        <f t="shared" si="1"/>
      </c>
      <c r="H28" s="41">
        <f t="shared" si="2"/>
      </c>
      <c r="I28"/>
      <c r="K28" s="33">
        <f t="shared" si="3"/>
      </c>
      <c r="L28" s="41">
        <f t="shared" si="8"/>
      </c>
      <c r="M28" s="33">
        <f t="shared" si="4"/>
      </c>
      <c r="P28" s="33">
        <f t="shared" si="5"/>
      </c>
      <c r="Q28" s="41">
        <f t="shared" si="6"/>
      </c>
      <c r="R28" s="33">
        <f t="shared" si="7"/>
      </c>
    </row>
    <row r="29" spans="1:18" ht="12.75">
      <c r="A29" s="28"/>
      <c r="B29" s="28" t="s">
        <v>40</v>
      </c>
      <c r="C29" s="30">
        <v>0.1</v>
      </c>
      <c r="F29" s="41">
        <f t="shared" si="0"/>
      </c>
      <c r="G29" s="41">
        <f t="shared" si="1"/>
      </c>
      <c r="H29" s="41">
        <f t="shared" si="2"/>
      </c>
      <c r="I29"/>
      <c r="K29" s="33">
        <f t="shared" si="3"/>
      </c>
      <c r="L29" s="41">
        <f t="shared" si="8"/>
      </c>
      <c r="M29" s="33">
        <f t="shared" si="4"/>
      </c>
      <c r="P29" s="33">
        <f t="shared" si="5"/>
      </c>
      <c r="Q29" s="41">
        <f t="shared" si="6"/>
      </c>
      <c r="R29" s="33">
        <f t="shared" si="7"/>
      </c>
    </row>
    <row r="30" spans="1:18" ht="12.75">
      <c r="A30" s="28"/>
      <c r="B30" s="28" t="s">
        <v>41</v>
      </c>
      <c r="C30" s="30">
        <v>0.1</v>
      </c>
      <c r="F30" s="41">
        <f t="shared" si="0"/>
      </c>
      <c r="G30" s="41">
        <f t="shared" si="1"/>
      </c>
      <c r="H30" s="41">
        <f t="shared" si="2"/>
      </c>
      <c r="I30"/>
      <c r="K30" s="33">
        <f t="shared" si="3"/>
      </c>
      <c r="L30" s="41">
        <f t="shared" si="8"/>
      </c>
      <c r="M30" s="33">
        <f t="shared" si="4"/>
      </c>
      <c r="P30" s="33">
        <f t="shared" si="5"/>
      </c>
      <c r="Q30" s="41">
        <f t="shared" si="6"/>
      </c>
      <c r="R30" s="33">
        <f t="shared" si="7"/>
      </c>
    </row>
    <row r="31" spans="1:18" ht="12.75">
      <c r="A31" s="28"/>
      <c r="B31" s="28" t="s">
        <v>93</v>
      </c>
      <c r="C31" s="30">
        <v>0</v>
      </c>
      <c r="F31" s="41">
        <f t="shared" si="0"/>
      </c>
      <c r="G31" s="41">
        <f>IF(E31=0,"",IF(D31="nd",E31/2,E31))</f>
      </c>
      <c r="H31" s="41">
        <f t="shared" si="2"/>
      </c>
      <c r="I31"/>
      <c r="K31" s="33">
        <f t="shared" si="3"/>
      </c>
      <c r="L31" s="41">
        <f>IF(J31=0,"",IF(I31="nd",J31/2,J31))</f>
      </c>
      <c r="M31" s="33">
        <f t="shared" si="4"/>
      </c>
      <c r="P31" s="33">
        <f t="shared" si="5"/>
      </c>
      <c r="Q31" s="41">
        <f t="shared" si="6"/>
      </c>
      <c r="R31" s="33">
        <f t="shared" si="7"/>
      </c>
    </row>
    <row r="32" spans="1:18" ht="12.75">
      <c r="A32" s="28"/>
      <c r="B32" s="28" t="s">
        <v>42</v>
      </c>
      <c r="C32" s="30">
        <v>0.01</v>
      </c>
      <c r="F32" s="41">
        <f t="shared" si="0"/>
      </c>
      <c r="G32" s="41">
        <f t="shared" si="1"/>
      </c>
      <c r="H32" s="41">
        <f t="shared" si="2"/>
      </c>
      <c r="I32"/>
      <c r="K32" s="33">
        <f t="shared" si="3"/>
      </c>
      <c r="L32" s="41">
        <f t="shared" si="8"/>
      </c>
      <c r="M32" s="33">
        <f t="shared" si="4"/>
      </c>
      <c r="P32" s="33">
        <f t="shared" si="5"/>
      </c>
      <c r="Q32" s="41">
        <f t="shared" si="6"/>
      </c>
      <c r="R32" s="33">
        <f t="shared" si="7"/>
      </c>
    </row>
    <row r="33" spans="1:18" ht="12.75">
      <c r="A33" s="28"/>
      <c r="B33" s="28" t="s">
        <v>43</v>
      </c>
      <c r="C33" s="30">
        <v>0.01</v>
      </c>
      <c r="F33" s="41">
        <f t="shared" si="0"/>
      </c>
      <c r="G33" s="41">
        <f t="shared" si="1"/>
      </c>
      <c r="H33" s="41">
        <f t="shared" si="2"/>
      </c>
      <c r="I33"/>
      <c r="K33" s="33">
        <f t="shared" si="3"/>
      </c>
      <c r="L33" s="41">
        <f t="shared" si="8"/>
      </c>
      <c r="M33" s="33">
        <f t="shared" si="4"/>
      </c>
      <c r="P33" s="33">
        <f t="shared" si="5"/>
      </c>
      <c r="Q33" s="41">
        <f t="shared" si="6"/>
      </c>
      <c r="R33" s="33">
        <f t="shared" si="7"/>
      </c>
    </row>
    <row r="34" spans="1:18" ht="12.75">
      <c r="A34" s="28"/>
      <c r="B34" s="28" t="s">
        <v>94</v>
      </c>
      <c r="C34" s="30">
        <v>0</v>
      </c>
      <c r="F34" s="41">
        <f t="shared" si="0"/>
      </c>
      <c r="G34" s="41">
        <f>IF(E34=0,"",IF(D34="nd",E34/2,E34))</f>
      </c>
      <c r="H34" s="41">
        <f t="shared" si="2"/>
      </c>
      <c r="I34"/>
      <c r="K34" s="33">
        <f t="shared" si="3"/>
      </c>
      <c r="L34" s="41">
        <f>IF(J34=0,"",IF(I34="nd",J34/2,J34))</f>
      </c>
      <c r="M34" s="33">
        <f t="shared" si="4"/>
      </c>
      <c r="P34" s="33">
        <f t="shared" si="5"/>
      </c>
      <c r="Q34" s="41">
        <f t="shared" si="6"/>
      </c>
      <c r="R34" s="33">
        <f t="shared" si="7"/>
      </c>
    </row>
    <row r="35" spans="1:18" ht="12.75">
      <c r="A35" s="28"/>
      <c r="B35" s="28" t="s">
        <v>44</v>
      </c>
      <c r="C35" s="30">
        <v>0.001</v>
      </c>
      <c r="F35" s="41">
        <f t="shared" si="0"/>
      </c>
      <c r="G35" s="41">
        <f t="shared" si="1"/>
      </c>
      <c r="H35" s="41">
        <f t="shared" si="2"/>
      </c>
      <c r="I35"/>
      <c r="K35" s="33">
        <f t="shared" si="3"/>
      </c>
      <c r="L35" s="41">
        <f t="shared" si="8"/>
      </c>
      <c r="M35" s="33">
        <f t="shared" si="4"/>
      </c>
      <c r="P35" s="33">
        <f t="shared" si="5"/>
      </c>
      <c r="Q35" s="41">
        <f t="shared" si="6"/>
      </c>
      <c r="R35" s="33">
        <f t="shared" si="7"/>
      </c>
    </row>
    <row r="36" spans="1:19" ht="12.75">
      <c r="A36" s="28"/>
      <c r="B36" s="28"/>
      <c r="C36" s="28"/>
      <c r="D36" s="28"/>
      <c r="E36" s="33"/>
      <c r="F36" s="36"/>
      <c r="G36" s="33"/>
      <c r="H36" s="36"/>
      <c r="I36" s="53"/>
      <c r="J36" s="13"/>
      <c r="K36" s="31"/>
      <c r="L36" s="31"/>
      <c r="M36" s="31"/>
      <c r="N36" s="33"/>
      <c r="O36" s="13"/>
      <c r="P36" s="31"/>
      <c r="Q36" s="31"/>
      <c r="R36" s="31"/>
      <c r="S36" s="13"/>
    </row>
    <row r="37" spans="1:19" ht="12.75">
      <c r="A37" s="28"/>
      <c r="B37" s="28" t="s">
        <v>45</v>
      </c>
      <c r="C37" s="28"/>
      <c r="D37" s="28"/>
      <c r="E37" s="33"/>
      <c r="I37"/>
      <c r="S37" s="33"/>
    </row>
    <row r="38" spans="1:19" ht="12.75">
      <c r="A38" s="28"/>
      <c r="B38" s="28" t="s">
        <v>58</v>
      </c>
      <c r="C38" s="28"/>
      <c r="D38" s="28"/>
      <c r="E38" s="33"/>
      <c r="I38"/>
      <c r="S38" s="33"/>
    </row>
    <row r="39" spans="1:19" ht="12.75">
      <c r="A39" s="28"/>
      <c r="B39" s="28"/>
      <c r="C39" s="28"/>
      <c r="D39" s="28"/>
      <c r="E39" s="33"/>
      <c r="I39"/>
      <c r="S39" s="33"/>
    </row>
    <row r="40" spans="1:19" ht="12.75">
      <c r="A40" s="28"/>
      <c r="B40" s="28" t="s">
        <v>95</v>
      </c>
      <c r="C40" s="36"/>
      <c r="D40" s="36"/>
      <c r="E40" s="31"/>
      <c r="I40"/>
      <c r="S40" s="33"/>
    </row>
    <row r="41" spans="1:19" ht="12.75">
      <c r="A41" s="28"/>
      <c r="B41" s="28" t="s">
        <v>46</v>
      </c>
      <c r="C41" s="36"/>
      <c r="D41" s="31"/>
      <c r="F41" s="81">
        <v>0.005</v>
      </c>
      <c r="I41"/>
      <c r="K41" s="81">
        <v>0.2</v>
      </c>
      <c r="P41" s="81">
        <v>0.2</v>
      </c>
      <c r="S41" s="33"/>
    </row>
    <row r="42" spans="1:19" ht="12.75">
      <c r="A42" s="28"/>
      <c r="B42" s="28"/>
      <c r="C42" s="28"/>
      <c r="D42" s="28"/>
      <c r="E42" s="32"/>
      <c r="F42" s="36"/>
      <c r="G42" s="32"/>
      <c r="H42" s="36"/>
      <c r="I42" s="54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2.75">
      <c r="A43" s="33"/>
      <c r="B43" s="28" t="s">
        <v>59</v>
      </c>
      <c r="C43" s="36"/>
      <c r="D43" s="33"/>
      <c r="E43" s="33"/>
      <c r="F43" s="36"/>
      <c r="G43" s="33"/>
      <c r="H43" s="36"/>
      <c r="I43" s="5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28"/>
      <c r="B44" s="28" t="s">
        <v>60</v>
      </c>
      <c r="C44" s="36"/>
      <c r="D44" s="28"/>
      <c r="E44" s="35"/>
      <c r="F44" s="36"/>
      <c r="G44" s="35"/>
      <c r="H44" s="36"/>
      <c r="I44" s="39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85" spans="1:19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6"/>
      <c r="Q85" s="4"/>
      <c r="R85" s="6"/>
      <c r="S85" s="7"/>
    </row>
    <row r="86" spans="1:19" ht="12.75">
      <c r="A86" s="2"/>
      <c r="B86" s="2"/>
      <c r="C86" s="3"/>
      <c r="D86" s="3"/>
      <c r="E86" s="4"/>
      <c r="F86" s="7"/>
      <c r="G86" s="4"/>
      <c r="H86" s="7"/>
      <c r="I86" s="55"/>
      <c r="J86" s="4"/>
      <c r="K86" s="4"/>
      <c r="L86" s="4"/>
      <c r="M86" s="4"/>
      <c r="N86" s="3"/>
      <c r="O86" s="4"/>
      <c r="P86" s="4"/>
      <c r="Q86" s="4"/>
      <c r="R86" s="4"/>
      <c r="S86" s="7"/>
    </row>
    <row r="87" spans="1:19" ht="12.75">
      <c r="A87" s="2"/>
      <c r="B87" s="2"/>
      <c r="C87" s="3"/>
      <c r="D87" s="3"/>
      <c r="E87" s="7"/>
      <c r="F87" s="3"/>
      <c r="G87" s="5"/>
      <c r="H87" s="3"/>
      <c r="I87" s="55"/>
      <c r="J87" s="7"/>
      <c r="K87" s="3"/>
      <c r="L87" s="4"/>
      <c r="M87" s="3"/>
      <c r="N87" s="3"/>
      <c r="O87" s="7"/>
      <c r="P87" s="3"/>
      <c r="Q87" s="4"/>
      <c r="R87" s="3"/>
      <c r="S87" s="7"/>
    </row>
  </sheetData>
  <printOptions headings="1" horizontalCentered="1"/>
  <pageMargins left="0.25" right="0.25" top="0.5" bottom="0.5" header="0.25" footer="0.25"/>
  <pageSetup horizontalDpi="1200" verticalDpi="12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B1">
      <selection activeCell="B33" sqref="B33"/>
    </sheetView>
  </sheetViews>
  <sheetFormatPr defaultColWidth="9.140625" defaultRowHeight="12.75"/>
  <cols>
    <col min="1" max="1" width="1.7109375" style="1" hidden="1" customWidth="1"/>
    <col min="2" max="2" width="30.8515625" style="1" customWidth="1"/>
    <col min="3" max="3" width="65.28125" style="1" customWidth="1"/>
    <col min="4" max="16384" width="8.8515625" style="1" customWidth="1"/>
  </cols>
  <sheetData>
    <row r="1" spans="2:12" ht="12.75">
      <c r="B1" s="8" t="s">
        <v>73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2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2.75">
      <c r="B3" s="13" t="s">
        <v>100</v>
      </c>
      <c r="C3" s="14">
        <v>357</v>
      </c>
      <c r="D3" s="13"/>
      <c r="E3" s="13"/>
      <c r="F3" s="13"/>
      <c r="G3" s="13"/>
      <c r="H3" s="13"/>
      <c r="I3" s="13"/>
      <c r="J3" s="13"/>
      <c r="K3" s="13"/>
      <c r="L3" s="13"/>
    </row>
    <row r="4" spans="2:12" ht="12.75">
      <c r="B4" s="13" t="s">
        <v>0</v>
      </c>
      <c r="C4" t="s">
        <v>216</v>
      </c>
      <c r="D4" s="13"/>
      <c r="E4" s="13"/>
      <c r="F4" s="13"/>
      <c r="G4" s="13"/>
      <c r="H4" s="13"/>
      <c r="I4" s="13"/>
      <c r="J4" s="13"/>
      <c r="K4" s="13"/>
      <c r="L4" s="13"/>
    </row>
    <row r="5" spans="2:12" ht="12.75">
      <c r="B5" s="13" t="s">
        <v>1</v>
      </c>
      <c r="C5" s="13" t="s">
        <v>113</v>
      </c>
      <c r="D5" s="13"/>
      <c r="E5" s="13"/>
      <c r="F5" s="13"/>
      <c r="G5" s="13"/>
      <c r="H5" s="13"/>
      <c r="I5" s="13"/>
      <c r="J5" s="13"/>
      <c r="K5" s="13"/>
      <c r="L5" s="13"/>
    </row>
    <row r="6" spans="2:12" ht="12.75"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12.75">
      <c r="B7" s="13" t="s">
        <v>3</v>
      </c>
      <c r="C7" s="13" t="s">
        <v>114</v>
      </c>
      <c r="D7" s="13"/>
      <c r="E7" s="13"/>
      <c r="F7" s="13"/>
      <c r="G7" s="13"/>
      <c r="H7" s="13"/>
      <c r="I7" s="13"/>
      <c r="J7" s="13"/>
      <c r="K7" s="13"/>
      <c r="L7" s="13"/>
    </row>
    <row r="8" spans="2:12" ht="12.75">
      <c r="B8" s="13" t="s">
        <v>4</v>
      </c>
      <c r="C8" s="13" t="s">
        <v>115</v>
      </c>
      <c r="D8" s="13"/>
      <c r="E8" s="13"/>
      <c r="F8" s="13"/>
      <c r="G8" s="13"/>
      <c r="H8" s="13"/>
      <c r="I8" s="13"/>
      <c r="J8" s="13"/>
      <c r="K8" s="13"/>
      <c r="L8" s="13"/>
    </row>
    <row r="9" spans="2:12" ht="12.75">
      <c r="B9" s="13" t="s">
        <v>5</v>
      </c>
      <c r="C9" s="13" t="s">
        <v>272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 ht="12.75">
      <c r="B10" s="13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12.75">
      <c r="B11" s="13" t="s">
        <v>244</v>
      </c>
      <c r="C11" s="14">
        <v>0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2:12" ht="12.75">
      <c r="B12" s="13" t="s">
        <v>213</v>
      </c>
      <c r="C12" s="13" t="s">
        <v>259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 t="s">
        <v>214</v>
      </c>
      <c r="C13" s="13" t="s">
        <v>116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2:12" s="45" customFormat="1" ht="25.5">
      <c r="B14" s="44" t="s">
        <v>63</v>
      </c>
      <c r="C14" s="44" t="s">
        <v>215</v>
      </c>
      <c r="D14" s="44"/>
      <c r="E14" s="44"/>
      <c r="F14" s="44"/>
      <c r="G14" s="44"/>
      <c r="H14" s="44"/>
      <c r="I14" s="44"/>
      <c r="J14" s="44"/>
      <c r="K14" s="44"/>
      <c r="L14" s="44"/>
    </row>
    <row r="15" spans="2:12" s="45" customFormat="1" ht="12.7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2:12" s="45" customFormat="1" ht="12.75">
      <c r="B16" s="44" t="s">
        <v>70</v>
      </c>
      <c r="C16" s="46">
        <v>30</v>
      </c>
      <c r="D16" s="44"/>
      <c r="E16" s="44"/>
      <c r="F16" s="44"/>
      <c r="G16" s="44"/>
      <c r="H16" s="44"/>
      <c r="I16" s="44"/>
      <c r="J16" s="44"/>
      <c r="K16" s="44"/>
      <c r="L16" s="44"/>
    </row>
    <row r="17" spans="2:12" s="45" customFormat="1" ht="12.75">
      <c r="B17" s="13" t="s">
        <v>74</v>
      </c>
      <c r="C17" s="44" t="s">
        <v>273</v>
      </c>
      <c r="F17" s="44"/>
      <c r="G17" s="44"/>
      <c r="H17" s="44"/>
      <c r="I17" s="44"/>
      <c r="J17" s="44"/>
      <c r="K17" s="44"/>
      <c r="L17" s="44"/>
    </row>
    <row r="18" spans="2:12" s="45" customFormat="1" ht="12.75">
      <c r="B18" s="13" t="s">
        <v>245</v>
      </c>
      <c r="C18" s="44" t="s">
        <v>117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2:12" s="45" customFormat="1" ht="12.75">
      <c r="B19" s="13" t="s">
        <v>246</v>
      </c>
      <c r="C19" s="44" t="s">
        <v>247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2:12" ht="25.5">
      <c r="B20" s="44" t="s">
        <v>7</v>
      </c>
      <c r="C20" s="44" t="s">
        <v>118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2:12" ht="12.75">
      <c r="B21" s="13" t="s">
        <v>68</v>
      </c>
      <c r="C21" s="13" t="s">
        <v>248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2:12" ht="12.75">
      <c r="B22" s="13" t="s">
        <v>75</v>
      </c>
      <c r="C22" s="49" t="s">
        <v>274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2:12" ht="12.75">
      <c r="B23" s="13" t="s">
        <v>69</v>
      </c>
      <c r="C23" s="13" t="s">
        <v>275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2.75">
      <c r="B25" s="13" t="s">
        <v>8</v>
      </c>
      <c r="C25" s="14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12.75">
      <c r="B26" s="13" t="s">
        <v>9</v>
      </c>
      <c r="C26" s="15">
        <v>4.499780410728347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 t="s">
        <v>10</v>
      </c>
      <c r="C27" s="15">
        <v>99.99512023818897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 t="s">
        <v>71</v>
      </c>
      <c r="C28" s="15">
        <v>21.4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4.25" customHeight="1">
      <c r="B29" s="13" t="s">
        <v>72</v>
      </c>
      <c r="C29" s="15">
        <v>176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2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2.75">
      <c r="B31" s="13" t="s">
        <v>11</v>
      </c>
      <c r="C31" s="13" t="s">
        <v>276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12.75">
      <c r="B32" s="13" t="s">
        <v>86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B1">
      <selection activeCell="B33" sqref="B33"/>
    </sheetView>
  </sheetViews>
  <sheetFormatPr defaultColWidth="9.140625" defaultRowHeight="12.75"/>
  <cols>
    <col min="1" max="1" width="1.7109375" style="63" hidden="1" customWidth="1"/>
    <col min="2" max="2" width="20.00390625" style="63" customWidth="1"/>
    <col min="3" max="3" width="61.8515625" style="63" customWidth="1"/>
    <col min="4" max="16384" width="9.140625" style="63" customWidth="1"/>
  </cols>
  <sheetData>
    <row r="1" ht="12.75">
      <c r="B1" s="64" t="s">
        <v>211</v>
      </c>
    </row>
    <row r="3" s="13" customFormat="1" ht="12.75">
      <c r="B3" s="8" t="s">
        <v>187</v>
      </c>
    </row>
    <row r="4" s="13" customFormat="1" ht="12.75">
      <c r="B4" s="8"/>
    </row>
    <row r="5" spans="2:3" s="13" customFormat="1" ht="38.25">
      <c r="B5" s="57" t="s">
        <v>190</v>
      </c>
      <c r="C5" s="49" t="s">
        <v>120</v>
      </c>
    </row>
    <row r="6" spans="2:3" s="13" customFormat="1" ht="12.75">
      <c r="B6" s="13" t="s">
        <v>191</v>
      </c>
      <c r="C6" s="13" t="s">
        <v>119</v>
      </c>
    </row>
    <row r="7" spans="2:3" s="13" customFormat="1" ht="12.75">
      <c r="B7" s="13" t="s">
        <v>192</v>
      </c>
      <c r="C7" s="13" t="s">
        <v>119</v>
      </c>
    </row>
    <row r="8" spans="2:3" s="13" customFormat="1" ht="12.75">
      <c r="B8" s="13" t="s">
        <v>193</v>
      </c>
      <c r="C8" s="16" t="s">
        <v>127</v>
      </c>
    </row>
    <row r="9" spans="2:3" s="13" customFormat="1" ht="12.75">
      <c r="B9" s="13" t="s">
        <v>243</v>
      </c>
      <c r="C9" s="79">
        <v>37012</v>
      </c>
    </row>
    <row r="10" spans="2:3" s="13" customFormat="1" ht="12.75">
      <c r="B10" s="13" t="s">
        <v>194</v>
      </c>
      <c r="C10" s="13" t="s">
        <v>121</v>
      </c>
    </row>
    <row r="11" spans="2:3" s="13" customFormat="1" ht="12.75">
      <c r="B11" s="57" t="s">
        <v>195</v>
      </c>
      <c r="C11" s="50" t="s">
        <v>124</v>
      </c>
    </row>
    <row r="12" spans="2:3" s="13" customFormat="1" ht="12.75">
      <c r="B12" s="57"/>
      <c r="C12" s="50"/>
    </row>
    <row r="13" s="13" customFormat="1" ht="12.75">
      <c r="B13" s="8" t="s">
        <v>188</v>
      </c>
    </row>
    <row r="14" s="13" customFormat="1" ht="12.75">
      <c r="B14" s="8"/>
    </row>
    <row r="15" spans="2:3" s="13" customFormat="1" ht="38.25">
      <c r="B15" s="57" t="s">
        <v>190</v>
      </c>
      <c r="C15" s="49" t="s">
        <v>120</v>
      </c>
    </row>
    <row r="16" spans="2:3" s="13" customFormat="1" ht="12.75">
      <c r="B16" s="13" t="s">
        <v>191</v>
      </c>
      <c r="C16" s="13" t="s">
        <v>119</v>
      </c>
    </row>
    <row r="17" spans="2:3" s="13" customFormat="1" ht="12.75">
      <c r="B17" s="13" t="s">
        <v>192</v>
      </c>
      <c r="C17" s="13" t="s">
        <v>119</v>
      </c>
    </row>
    <row r="18" spans="2:3" s="13" customFormat="1" ht="12.75">
      <c r="B18" s="13" t="s">
        <v>193</v>
      </c>
      <c r="C18" s="16" t="s">
        <v>128</v>
      </c>
    </row>
    <row r="19" spans="2:3" s="13" customFormat="1" ht="12.75">
      <c r="B19" s="13" t="s">
        <v>243</v>
      </c>
      <c r="C19" s="79">
        <v>37012</v>
      </c>
    </row>
    <row r="20" spans="2:3" s="13" customFormat="1" ht="12.75">
      <c r="B20" s="13" t="s">
        <v>194</v>
      </c>
      <c r="C20" s="13" t="s">
        <v>122</v>
      </c>
    </row>
    <row r="21" spans="2:3" s="13" customFormat="1" ht="12.75">
      <c r="B21" s="57" t="s">
        <v>195</v>
      </c>
      <c r="C21" s="50" t="s">
        <v>125</v>
      </c>
    </row>
    <row r="22" spans="2:3" s="13" customFormat="1" ht="12.75">
      <c r="B22" s="57"/>
      <c r="C22" s="50"/>
    </row>
    <row r="23" s="13" customFormat="1" ht="12.75">
      <c r="B23" s="8" t="s">
        <v>189</v>
      </c>
    </row>
    <row r="24" s="13" customFormat="1" ht="12.75">
      <c r="B24" s="8"/>
    </row>
    <row r="25" spans="2:3" s="13" customFormat="1" ht="38.25">
      <c r="B25" s="57" t="s">
        <v>190</v>
      </c>
      <c r="C25" s="49" t="s">
        <v>120</v>
      </c>
    </row>
    <row r="26" spans="2:3" s="13" customFormat="1" ht="12.75">
      <c r="B26" s="13" t="s">
        <v>191</v>
      </c>
      <c r="C26" s="13" t="s">
        <v>119</v>
      </c>
    </row>
    <row r="27" spans="2:3" s="13" customFormat="1" ht="12.75">
      <c r="B27" s="13" t="s">
        <v>192</v>
      </c>
      <c r="C27" s="13" t="s">
        <v>119</v>
      </c>
    </row>
    <row r="28" spans="2:3" s="13" customFormat="1" ht="12.75">
      <c r="B28" s="13" t="s">
        <v>193</v>
      </c>
      <c r="C28" s="16" t="s">
        <v>129</v>
      </c>
    </row>
    <row r="29" spans="2:3" s="13" customFormat="1" ht="12.75">
      <c r="B29" s="13" t="s">
        <v>243</v>
      </c>
      <c r="C29" s="79">
        <v>37012</v>
      </c>
    </row>
    <row r="30" spans="2:3" s="13" customFormat="1" ht="12.75">
      <c r="B30" s="13" t="s">
        <v>194</v>
      </c>
      <c r="C30" s="13" t="s">
        <v>123</v>
      </c>
    </row>
    <row r="31" spans="2:3" s="13" customFormat="1" ht="12.75">
      <c r="B31" s="57" t="s">
        <v>195</v>
      </c>
      <c r="C31" s="50" t="s">
        <v>126</v>
      </c>
    </row>
    <row r="32" spans="2:3" s="13" customFormat="1" ht="12.75">
      <c r="B32" s="57"/>
      <c r="C32" s="50"/>
    </row>
    <row r="33" ht="12.75">
      <c r="B33" s="64" t="s">
        <v>196</v>
      </c>
    </row>
    <row r="35" spans="2:3" ht="38.25">
      <c r="B35" s="57" t="s">
        <v>190</v>
      </c>
      <c r="C35" s="74" t="s">
        <v>221</v>
      </c>
    </row>
    <row r="36" spans="2:3" ht="12.75">
      <c r="B36" s="13" t="s">
        <v>191</v>
      </c>
      <c r="C36" s="63" t="s">
        <v>220</v>
      </c>
    </row>
    <row r="37" spans="2:3" ht="12.75">
      <c r="B37" s="13" t="s">
        <v>192</v>
      </c>
      <c r="C37" s="63" t="s">
        <v>220</v>
      </c>
    </row>
    <row r="38" spans="1:3" ht="12.75">
      <c r="A38" s="63" t="s">
        <v>196</v>
      </c>
      <c r="B38" s="13" t="s">
        <v>193</v>
      </c>
      <c r="C38" s="63" t="s">
        <v>222</v>
      </c>
    </row>
    <row r="39" spans="2:3" ht="12.75">
      <c r="B39" s="13" t="s">
        <v>243</v>
      </c>
      <c r="C39" s="79">
        <v>32660</v>
      </c>
    </row>
    <row r="40" spans="2:3" ht="12.75">
      <c r="B40" s="13" t="s">
        <v>194</v>
      </c>
      <c r="C40" s="63" t="s">
        <v>212</v>
      </c>
    </row>
    <row r="41" spans="2:3" ht="12.75">
      <c r="B41" s="57" t="s">
        <v>195</v>
      </c>
      <c r="C41" s="72">
        <v>32751</v>
      </c>
    </row>
    <row r="43" ht="12.75">
      <c r="B43" s="64" t="s">
        <v>234</v>
      </c>
    </row>
    <row r="45" spans="2:3" ht="12.75">
      <c r="B45" s="13" t="s">
        <v>194</v>
      </c>
      <c r="C45" s="63" t="s">
        <v>235</v>
      </c>
    </row>
    <row r="46" spans="2:3" ht="12.75">
      <c r="B46" s="13" t="s">
        <v>243</v>
      </c>
      <c r="C46" s="79">
        <v>34700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9"/>
  <sheetViews>
    <sheetView workbookViewId="0" topLeftCell="B1">
      <selection activeCell="B33" sqref="B33"/>
    </sheetView>
  </sheetViews>
  <sheetFormatPr defaultColWidth="9.140625" defaultRowHeight="12.75"/>
  <cols>
    <col min="1" max="1" width="1.57421875" style="18" hidden="1" customWidth="1"/>
    <col min="2" max="2" width="21.140625" style="18" customWidth="1"/>
    <col min="3" max="3" width="14.7109375" style="18" customWidth="1"/>
    <col min="4" max="4" width="8.8515625" style="9" customWidth="1"/>
    <col min="5" max="5" width="6.140625" style="9" customWidth="1"/>
    <col min="6" max="6" width="3.7109375" style="9" customWidth="1"/>
    <col min="7" max="7" width="12.00390625" style="18" customWidth="1"/>
    <col min="8" max="8" width="3.421875" style="18" customWidth="1"/>
    <col min="9" max="9" width="12.7109375" style="19" customWidth="1"/>
    <col min="10" max="10" width="3.57421875" style="18" customWidth="1"/>
    <col min="11" max="11" width="12.8515625" style="18" customWidth="1"/>
    <col min="12" max="12" width="4.57421875" style="18" customWidth="1"/>
    <col min="13" max="13" width="13.140625" style="18" customWidth="1"/>
    <col min="14" max="16384" width="8.8515625" style="18" customWidth="1"/>
  </cols>
  <sheetData>
    <row r="1" spans="2:3" ht="12.75">
      <c r="B1" s="17" t="s">
        <v>217</v>
      </c>
      <c r="C1" s="17"/>
    </row>
    <row r="2" spans="2:12" ht="12.75">
      <c r="B2" s="20"/>
      <c r="C2" s="20"/>
      <c r="G2" s="20"/>
      <c r="H2" s="20"/>
      <c r="I2" s="21"/>
      <c r="J2" s="20"/>
      <c r="K2" s="20"/>
      <c r="L2" s="20"/>
    </row>
    <row r="3" spans="2:5" ht="12.75">
      <c r="B3" s="13"/>
      <c r="C3" s="13" t="s">
        <v>78</v>
      </c>
      <c r="D3" s="9" t="s">
        <v>12</v>
      </c>
      <c r="E3" s="9" t="s">
        <v>64</v>
      </c>
    </row>
    <row r="4" spans="2:12" ht="12.75">
      <c r="B4" s="13"/>
      <c r="C4" s="13"/>
      <c r="G4" s="20"/>
      <c r="H4" s="20"/>
      <c r="I4" s="21"/>
      <c r="J4" s="20"/>
      <c r="K4" s="20"/>
      <c r="L4" s="20"/>
    </row>
    <row r="5" spans="2:12" ht="12.75">
      <c r="B5" s="13"/>
      <c r="C5" s="13"/>
      <c r="G5" s="20"/>
      <c r="H5" s="20"/>
      <c r="I5" s="21"/>
      <c r="J5" s="20"/>
      <c r="K5" s="20"/>
      <c r="L5" s="20"/>
    </row>
    <row r="6" spans="1:13" ht="12.75">
      <c r="A6" s="18">
        <v>10</v>
      </c>
      <c r="B6" s="22" t="s">
        <v>187</v>
      </c>
      <c r="C6" s="22" t="s">
        <v>79</v>
      </c>
      <c r="G6" s="20" t="s">
        <v>197</v>
      </c>
      <c r="H6" s="20"/>
      <c r="I6" s="21" t="s">
        <v>198</v>
      </c>
      <c r="J6" s="20"/>
      <c r="K6" s="20" t="s">
        <v>199</v>
      </c>
      <c r="L6" s="20"/>
      <c r="M6" s="20" t="s">
        <v>47</v>
      </c>
    </row>
    <row r="7" spans="2:12" ht="12.75">
      <c r="B7" s="9"/>
      <c r="C7" s="9"/>
      <c r="D7" s="13"/>
      <c r="E7" s="13"/>
      <c r="F7" s="13"/>
      <c r="G7" s="13"/>
      <c r="H7" s="13"/>
      <c r="I7" s="23"/>
      <c r="J7" s="13"/>
      <c r="K7" s="13"/>
      <c r="L7" s="13"/>
    </row>
    <row r="8" spans="2:13" ht="12.75">
      <c r="B8" s="9" t="s">
        <v>101</v>
      </c>
      <c r="C8" s="9" t="s">
        <v>236</v>
      </c>
      <c r="D8" s="13" t="s">
        <v>16</v>
      </c>
      <c r="E8" s="13" t="s">
        <v>15</v>
      </c>
      <c r="F8"/>
      <c r="G8" s="6">
        <v>2.5</v>
      </c>
      <c r="H8" s="6"/>
      <c r="I8" s="6">
        <v>1.8</v>
      </c>
      <c r="J8"/>
      <c r="K8">
        <v>1.5</v>
      </c>
      <c r="L8"/>
      <c r="M8" s="59">
        <f>AVERAGE(I8,G8,K8)</f>
        <v>1.9333333333333333</v>
      </c>
    </row>
    <row r="9" spans="2:13" ht="12.75">
      <c r="B9" s="9" t="s">
        <v>137</v>
      </c>
      <c r="C9" s="9" t="s">
        <v>236</v>
      </c>
      <c r="D9" s="13" t="s">
        <v>16</v>
      </c>
      <c r="E9" s="13" t="s">
        <v>15</v>
      </c>
      <c r="F9"/>
      <c r="G9" s="6">
        <v>33.28</v>
      </c>
      <c r="H9" s="6"/>
      <c r="I9" s="6">
        <v>1.34</v>
      </c>
      <c r="J9"/>
      <c r="K9">
        <v>4.38</v>
      </c>
      <c r="L9"/>
      <c r="M9" s="59">
        <f>AVERAGE(I9,G9,K9)</f>
        <v>13.000000000000002</v>
      </c>
    </row>
    <row r="10" spans="2:13" ht="12.75">
      <c r="B10" s="9" t="s">
        <v>138</v>
      </c>
      <c r="C10" s="9" t="s">
        <v>236</v>
      </c>
      <c r="D10" s="13" t="s">
        <v>16</v>
      </c>
      <c r="E10" s="13" t="s">
        <v>15</v>
      </c>
      <c r="F10"/>
      <c r="G10" s="6">
        <v>88.25</v>
      </c>
      <c r="H10" s="6"/>
      <c r="I10" s="6">
        <v>62.98</v>
      </c>
      <c r="J10"/>
      <c r="K10">
        <v>65.8</v>
      </c>
      <c r="L10"/>
      <c r="M10" s="59">
        <f>AVERAGE(I10,G10,K10)</f>
        <v>72.34333333333332</v>
      </c>
    </row>
    <row r="11" spans="2:12" ht="12.75">
      <c r="B11" s="18" t="s">
        <v>281</v>
      </c>
      <c r="C11" s="9"/>
      <c r="D11" s="13"/>
      <c r="E11" s="13"/>
      <c r="F11"/>
      <c r="G11"/>
      <c r="H11"/>
      <c r="I11"/>
      <c r="J11"/>
      <c r="K11"/>
      <c r="L11"/>
    </row>
    <row r="12" spans="2:13" ht="12.75">
      <c r="B12" s="9" t="s">
        <v>13</v>
      </c>
      <c r="C12" s="9" t="s">
        <v>236</v>
      </c>
      <c r="D12" s="9" t="s">
        <v>14</v>
      </c>
      <c r="E12" s="9" t="s">
        <v>15</v>
      </c>
      <c r="F12"/>
      <c r="G12">
        <v>0.073</v>
      </c>
      <c r="H12"/>
      <c r="I12">
        <v>0.071</v>
      </c>
      <c r="J12"/>
      <c r="K12">
        <v>0.047</v>
      </c>
      <c r="L12"/>
      <c r="M12" s="58">
        <f>AVERAGE(I12,G12,K12)</f>
        <v>0.06366666666666666</v>
      </c>
    </row>
    <row r="13" spans="2:13" ht="12.75">
      <c r="B13" s="9"/>
      <c r="C13" s="9"/>
      <c r="F13"/>
      <c r="G13"/>
      <c r="H13"/>
      <c r="I13"/>
      <c r="J13"/>
      <c r="K13"/>
      <c r="L13"/>
      <c r="M13" s="58"/>
    </row>
    <row r="14" spans="2:13" ht="12.75">
      <c r="B14" s="9" t="s">
        <v>50</v>
      </c>
      <c r="C14" s="9"/>
      <c r="D14" s="9" t="s">
        <v>136</v>
      </c>
      <c r="F14"/>
      <c r="G14">
        <v>26.9</v>
      </c>
      <c r="H14"/>
      <c r="I14">
        <v>67.4</v>
      </c>
      <c r="J14"/>
      <c r="K14">
        <v>56.2</v>
      </c>
      <c r="L14"/>
      <c r="M14" s="6"/>
    </row>
    <row r="15" spans="2:13" ht="12.75">
      <c r="B15" s="9" t="s">
        <v>51</v>
      </c>
      <c r="C15" s="9"/>
      <c r="D15" s="9" t="s">
        <v>136</v>
      </c>
      <c r="F15"/>
      <c r="G15">
        <v>1.05</v>
      </c>
      <c r="H15"/>
      <c r="I15">
        <v>19.5</v>
      </c>
      <c r="J15"/>
      <c r="K15">
        <v>2.45</v>
      </c>
      <c r="L15"/>
      <c r="M15" s="6"/>
    </row>
    <row r="16" spans="2:13" ht="12.75">
      <c r="B16" s="9"/>
      <c r="C16" s="9"/>
      <c r="F16"/>
      <c r="G16"/>
      <c r="H16"/>
      <c r="I16"/>
      <c r="J16"/>
      <c r="K16"/>
      <c r="L16"/>
      <c r="M16" s="6"/>
    </row>
    <row r="17" spans="2:13" ht="12.75">
      <c r="B17" s="9" t="s">
        <v>130</v>
      </c>
      <c r="C17" s="9" t="s">
        <v>133</v>
      </c>
      <c r="F17"/>
      <c r="G17"/>
      <c r="H17"/>
      <c r="I17"/>
      <c r="J17"/>
      <c r="K17"/>
      <c r="L17"/>
      <c r="M17" s="6"/>
    </row>
    <row r="18" spans="2:13" ht="12.75">
      <c r="B18" s="9" t="s">
        <v>131</v>
      </c>
      <c r="C18" s="9"/>
      <c r="D18" s="9" t="s">
        <v>52</v>
      </c>
      <c r="F18"/>
      <c r="G18">
        <v>22</v>
      </c>
      <c r="H18"/>
      <c r="I18">
        <v>20</v>
      </c>
      <c r="J18"/>
      <c r="K18">
        <v>18</v>
      </c>
      <c r="L18"/>
      <c r="M18" s="6"/>
    </row>
    <row r="19" spans="2:13" ht="12.75">
      <c r="B19" s="9" t="s">
        <v>132</v>
      </c>
      <c r="C19" s="9" t="s">
        <v>236</v>
      </c>
      <c r="D19" s="9" t="s">
        <v>143</v>
      </c>
      <c r="F19" t="s">
        <v>97</v>
      </c>
      <c r="G19" s="60">
        <v>1.47E-05</v>
      </c>
      <c r="H19" t="s">
        <v>97</v>
      </c>
      <c r="I19" s="60">
        <v>1.97E-05</v>
      </c>
      <c r="J19"/>
      <c r="K19" s="60">
        <v>2.05E-05</v>
      </c>
      <c r="L19"/>
      <c r="M19" s="6"/>
    </row>
    <row r="20" spans="2:13" ht="12.75">
      <c r="B20" s="9" t="s">
        <v>130</v>
      </c>
      <c r="C20" s="9" t="s">
        <v>236</v>
      </c>
      <c r="D20" s="9" t="s">
        <v>18</v>
      </c>
      <c r="F20"/>
      <c r="G20" s="82">
        <f>(G18-G19/454*3600)/G18*100</f>
        <v>99.99947016419704</v>
      </c>
      <c r="H20" s="82"/>
      <c r="I20" s="82">
        <f>(I18-I19/454*3600)/I18*100</f>
        <v>99.99921894273128</v>
      </c>
      <c r="J20" s="82"/>
      <c r="K20" s="82">
        <f>(K18-K19/454*3600)/K18*100</f>
        <v>99.99909691629955</v>
      </c>
      <c r="L20"/>
      <c r="M20" s="6"/>
    </row>
    <row r="21" spans="2:13" ht="12.75">
      <c r="B21" s="9"/>
      <c r="C21" s="9"/>
      <c r="F21"/>
      <c r="G21"/>
      <c r="H21"/>
      <c r="I21"/>
      <c r="J21"/>
      <c r="K21"/>
      <c r="L21"/>
      <c r="M21" s="6"/>
    </row>
    <row r="22" spans="2:13" ht="12.75">
      <c r="B22" s="9" t="s">
        <v>130</v>
      </c>
      <c r="C22" s="9" t="s">
        <v>134</v>
      </c>
      <c r="F22"/>
      <c r="G22"/>
      <c r="H22"/>
      <c r="I22"/>
      <c r="J22"/>
      <c r="K22"/>
      <c r="L22"/>
      <c r="M22" s="6"/>
    </row>
    <row r="23" spans="2:13" ht="12.75">
      <c r="B23" s="9" t="s">
        <v>131</v>
      </c>
      <c r="C23" s="9"/>
      <c r="D23" s="9" t="s">
        <v>52</v>
      </c>
      <c r="F23"/>
      <c r="G23">
        <f>111+1.3+1+0.06</f>
        <v>113.36</v>
      </c>
      <c r="H23"/>
      <c r="I23">
        <f>105+0.2+1.4+0.55</f>
        <v>107.15</v>
      </c>
      <c r="J23"/>
      <c r="K23">
        <f>83+0.3+0.9+0.54</f>
        <v>84.74000000000001</v>
      </c>
      <c r="L23"/>
      <c r="M23" s="6"/>
    </row>
    <row r="24" spans="2:13" ht="12.75">
      <c r="B24" s="9" t="s">
        <v>132</v>
      </c>
      <c r="C24" s="9" t="s">
        <v>236</v>
      </c>
      <c r="D24" s="9" t="s">
        <v>143</v>
      </c>
      <c r="F24" t="s">
        <v>97</v>
      </c>
      <c r="G24" s="60">
        <v>5.96E-08</v>
      </c>
      <c r="H24" t="s">
        <v>97</v>
      </c>
      <c r="I24" s="60">
        <v>5.35E-08</v>
      </c>
      <c r="J24" t="s">
        <v>97</v>
      </c>
      <c r="K24" s="60">
        <v>4.87E-08</v>
      </c>
      <c r="L24"/>
      <c r="M24" s="6"/>
    </row>
    <row r="25" spans="2:13" ht="12.75">
      <c r="B25" s="9" t="s">
        <v>130</v>
      </c>
      <c r="C25" s="9" t="s">
        <v>236</v>
      </c>
      <c r="D25" s="9" t="s">
        <v>18</v>
      </c>
      <c r="F25" t="s">
        <v>144</v>
      </c>
      <c r="G25">
        <f>(G23-G24/454*3600)/G23*100</f>
        <v>99.99999958309887</v>
      </c>
      <c r="H25" t="s">
        <v>144</v>
      </c>
      <c r="I25">
        <f>(I23-I24/454*3600)/I23*100</f>
        <v>99.99999960407926</v>
      </c>
      <c r="J25" t="s">
        <v>144</v>
      </c>
      <c r="K25">
        <f>(K23-K24/454*3600)/K23*100</f>
        <v>99.99999954429148</v>
      </c>
      <c r="L25"/>
      <c r="M25" s="6"/>
    </row>
    <row r="26" spans="2:13" ht="12.75">
      <c r="B26" s="9"/>
      <c r="C26" s="9"/>
      <c r="F26"/>
      <c r="G26"/>
      <c r="H26"/>
      <c r="I26"/>
      <c r="J26"/>
      <c r="K26"/>
      <c r="L26"/>
      <c r="M26" s="6"/>
    </row>
    <row r="27" spans="2:13" ht="12.75">
      <c r="B27" s="9" t="s">
        <v>130</v>
      </c>
      <c r="C27" s="9" t="s">
        <v>135</v>
      </c>
      <c r="F27"/>
      <c r="G27"/>
      <c r="H27"/>
      <c r="I27"/>
      <c r="J27"/>
      <c r="K27"/>
      <c r="L27"/>
      <c r="M27" s="6"/>
    </row>
    <row r="28" spans="2:13" ht="12.75">
      <c r="B28" s="9" t="s">
        <v>131</v>
      </c>
      <c r="C28" s="9"/>
      <c r="D28" s="9" t="s">
        <v>52</v>
      </c>
      <c r="F28"/>
      <c r="G28">
        <v>66</v>
      </c>
      <c r="H28"/>
      <c r="I28">
        <v>66</v>
      </c>
      <c r="J28"/>
      <c r="K28">
        <v>63</v>
      </c>
      <c r="L28"/>
      <c r="M28" s="6"/>
    </row>
    <row r="29" spans="2:13" ht="12.75">
      <c r="B29" s="9" t="s">
        <v>132</v>
      </c>
      <c r="C29" s="9" t="s">
        <v>236</v>
      </c>
      <c r="D29" s="9" t="s">
        <v>143</v>
      </c>
      <c r="F29" t="s">
        <v>97</v>
      </c>
      <c r="G29" s="60">
        <v>7.6E-06</v>
      </c>
      <c r="H29" t="s">
        <v>97</v>
      </c>
      <c r="I29" s="60">
        <v>7.6E-06</v>
      </c>
      <c r="J29" t="s">
        <v>97</v>
      </c>
      <c r="K29" s="60">
        <v>7.6E-06</v>
      </c>
      <c r="L29"/>
      <c r="M29" s="6"/>
    </row>
    <row r="30" spans="2:13" ht="12.75">
      <c r="B30" s="9" t="s">
        <v>130</v>
      </c>
      <c r="C30" s="9" t="s">
        <v>236</v>
      </c>
      <c r="D30" s="9" t="s">
        <v>18</v>
      </c>
      <c r="F30"/>
      <c r="G30">
        <f>(G28-G29/454*3600)/G28*100</f>
        <v>99.99990869042851</v>
      </c>
      <c r="H30"/>
      <c r="I30">
        <f>(I28-I29/454*3600)/I28*100</f>
        <v>99.99990869042851</v>
      </c>
      <c r="J30"/>
      <c r="K30">
        <f>(K28-K29/454*3600)/K28*100</f>
        <v>99.99990434235369</v>
      </c>
      <c r="L30"/>
      <c r="M30" s="6"/>
    </row>
    <row r="31" spans="2:13" ht="12.75">
      <c r="B31" s="9"/>
      <c r="C31" s="9"/>
      <c r="F31"/>
      <c r="G31"/>
      <c r="H31"/>
      <c r="I31"/>
      <c r="J31"/>
      <c r="K31"/>
      <c r="L31"/>
      <c r="M31"/>
    </row>
    <row r="32" spans="2:13" ht="12.75">
      <c r="B32" s="9" t="s">
        <v>82</v>
      </c>
      <c r="C32" s="9" t="s">
        <v>106</v>
      </c>
      <c r="D32" s="9" t="s">
        <v>236</v>
      </c>
      <c r="F32"/>
      <c r="G32"/>
      <c r="H32"/>
      <c r="I32"/>
      <c r="J32"/>
      <c r="K32"/>
      <c r="L32"/>
      <c r="M32"/>
    </row>
    <row r="33" spans="2:13" ht="12.75">
      <c r="B33" s="9" t="s">
        <v>77</v>
      </c>
      <c r="C33" s="9"/>
      <c r="D33" s="9" t="s">
        <v>17</v>
      </c>
      <c r="F33"/>
      <c r="G33">
        <f>473460/60</f>
        <v>7891</v>
      </c>
      <c r="H33"/>
      <c r="I33">
        <f>478860/60</f>
        <v>7981</v>
      </c>
      <c r="J33"/>
      <c r="K33">
        <f>488280/60</f>
        <v>8138</v>
      </c>
      <c r="L33"/>
      <c r="M33" s="6">
        <f>AVERAGE(G33,I33,K33)</f>
        <v>8003.333333333333</v>
      </c>
    </row>
    <row r="34" spans="2:13" ht="12.75">
      <c r="B34" s="9" t="s">
        <v>80</v>
      </c>
      <c r="C34" s="9"/>
      <c r="D34" s="9" t="s">
        <v>18</v>
      </c>
      <c r="F34"/>
      <c r="G34">
        <v>9.6</v>
      </c>
      <c r="H34"/>
      <c r="I34">
        <v>9.1</v>
      </c>
      <c r="J34"/>
      <c r="K34">
        <v>8.5</v>
      </c>
      <c r="L34"/>
      <c r="M34" s="6">
        <f>AVERAGE(G34,I34,K34)</f>
        <v>9.066666666666666</v>
      </c>
    </row>
    <row r="35" spans="2:13" ht="12.75">
      <c r="B35" s="9" t="s">
        <v>81</v>
      </c>
      <c r="C35" s="9"/>
      <c r="D35" s="9" t="s">
        <v>18</v>
      </c>
      <c r="F35"/>
      <c r="G35">
        <v>50.8</v>
      </c>
      <c r="H35"/>
      <c r="I35">
        <v>52.1</v>
      </c>
      <c r="J35"/>
      <c r="K35">
        <v>52.5</v>
      </c>
      <c r="L35"/>
      <c r="M35" s="6">
        <f>AVERAGE(G35,I35,K35)</f>
        <v>51.800000000000004</v>
      </c>
    </row>
    <row r="36" spans="2:13" ht="12.75">
      <c r="B36" s="9" t="s">
        <v>76</v>
      </c>
      <c r="C36" s="9"/>
      <c r="D36" s="9" t="s">
        <v>19</v>
      </c>
      <c r="F36"/>
      <c r="G36">
        <v>177</v>
      </c>
      <c r="H36"/>
      <c r="I36">
        <v>178</v>
      </c>
      <c r="J36"/>
      <c r="K36">
        <v>180</v>
      </c>
      <c r="L36"/>
      <c r="M36" s="6">
        <f>AVERAGE(G36,I36,K36)</f>
        <v>178.33333333333334</v>
      </c>
    </row>
    <row r="37" spans="2:13" ht="12.75">
      <c r="B37" s="9"/>
      <c r="C37" s="9"/>
      <c r="F37"/>
      <c r="G37"/>
      <c r="H37"/>
      <c r="I37"/>
      <c r="J37"/>
      <c r="K37"/>
      <c r="L37"/>
      <c r="M37"/>
    </row>
    <row r="38" spans="2:13" ht="12.75">
      <c r="B38" s="9" t="s">
        <v>50</v>
      </c>
      <c r="C38" s="9" t="s">
        <v>236</v>
      </c>
      <c r="D38" s="9" t="s">
        <v>16</v>
      </c>
      <c r="E38" s="9" t="s">
        <v>15</v>
      </c>
      <c r="F38"/>
      <c r="G38" s="6">
        <f>G14*1000000/G33/1450/60/0.0283*(21-7)/(21-G34)</f>
        <v>1.700347678578032</v>
      </c>
      <c r="H38"/>
      <c r="I38" s="6">
        <f>I14*1000000/I33/1450/60/0.0283*(21-7)/(21-I34)</f>
        <v>4.035319925553604</v>
      </c>
      <c r="J38"/>
      <c r="K38" s="6">
        <f>K14*1000000/K33/1450/60/0.0283*(21-7)/(21-K34)</f>
        <v>3.141455879339188</v>
      </c>
      <c r="L38"/>
      <c r="M38" s="6">
        <f>AVERAGE(G38,I38,K38)</f>
        <v>2.959041161156941</v>
      </c>
    </row>
    <row r="39" spans="2:13" ht="12.75">
      <c r="B39" s="9" t="s">
        <v>51</v>
      </c>
      <c r="C39" s="9" t="s">
        <v>236</v>
      </c>
      <c r="D39" s="9" t="s">
        <v>16</v>
      </c>
      <c r="E39" s="9" t="s">
        <v>15</v>
      </c>
      <c r="F39"/>
      <c r="G39" s="6">
        <f>G15*1000000/G33/(1450/2)/60/0.0283*(21-7)/(21-G34)</f>
        <v>0.13274089684066426</v>
      </c>
      <c r="H39"/>
      <c r="I39" s="6">
        <f>I15*1000000/I33/(1450/2)/60/0.0283*(21-7)/(21-I34)</f>
        <v>2.3349774049939254</v>
      </c>
      <c r="J39"/>
      <c r="K39" s="6">
        <f>K15*1000000/K33/(1450/2)/60/0.0283*(21-7)/(21-K34)</f>
        <v>0.2738991780918509</v>
      </c>
      <c r="L39"/>
      <c r="M39" s="6">
        <f>AVERAGE(G39,I39,K39)</f>
        <v>0.9138724933088135</v>
      </c>
    </row>
    <row r="40" spans="2:13" ht="12.75">
      <c r="B40" s="9" t="s">
        <v>237</v>
      </c>
      <c r="C40" s="9" t="s">
        <v>236</v>
      </c>
      <c r="D40" s="9" t="s">
        <v>16</v>
      </c>
      <c r="E40" s="9" t="s">
        <v>15</v>
      </c>
      <c r="F40"/>
      <c r="G40" s="6">
        <f>G38+2*G39</f>
        <v>1.9658294722593606</v>
      </c>
      <c r="H40"/>
      <c r="I40" s="6">
        <f>I38+2*I39</f>
        <v>8.705274735541455</v>
      </c>
      <c r="J40"/>
      <c r="K40" s="6">
        <f>K38+2*K39</f>
        <v>3.6892542355228897</v>
      </c>
      <c r="L40"/>
      <c r="M40" s="6">
        <f>AVERAGE(G40,I40,K40)</f>
        <v>4.786786147774568</v>
      </c>
    </row>
    <row r="41" ht="12.75"/>
    <row r="42" spans="1:13" ht="12.75">
      <c r="A42" s="18">
        <v>11</v>
      </c>
      <c r="B42" s="22" t="s">
        <v>188</v>
      </c>
      <c r="C42" s="22" t="s">
        <v>79</v>
      </c>
      <c r="G42" s="20" t="s">
        <v>197</v>
      </c>
      <c r="H42" s="20"/>
      <c r="I42" s="21" t="s">
        <v>198</v>
      </c>
      <c r="J42" s="20"/>
      <c r="K42" s="20" t="s">
        <v>199</v>
      </c>
      <c r="L42" s="20"/>
      <c r="M42" s="20" t="s">
        <v>47</v>
      </c>
    </row>
    <row r="43" spans="2:12" ht="12.75">
      <c r="B43" s="9"/>
      <c r="C43" s="9"/>
      <c r="D43" s="13"/>
      <c r="E43" s="13"/>
      <c r="F43" s="13"/>
      <c r="G43" s="13"/>
      <c r="H43" s="13"/>
      <c r="I43" s="23"/>
      <c r="J43" s="13"/>
      <c r="K43" s="13"/>
      <c r="L43" s="13"/>
    </row>
    <row r="44" spans="2:13" ht="12.75">
      <c r="B44" s="9" t="s">
        <v>101</v>
      </c>
      <c r="C44" s="9" t="s">
        <v>236</v>
      </c>
      <c r="D44" s="13" t="s">
        <v>16</v>
      </c>
      <c r="E44" s="13" t="s">
        <v>15</v>
      </c>
      <c r="F44"/>
      <c r="G44">
        <v>2.5</v>
      </c>
      <c r="H44"/>
      <c r="I44">
        <v>1.7</v>
      </c>
      <c r="J44"/>
      <c r="K44">
        <v>2.6</v>
      </c>
      <c r="L44"/>
      <c r="M44" s="59">
        <f>AVERAGE(I44,G44,K44)</f>
        <v>2.266666666666667</v>
      </c>
    </row>
    <row r="45" spans="2:13" ht="12.75">
      <c r="B45" s="9" t="s">
        <v>137</v>
      </c>
      <c r="C45" s="9" t="s">
        <v>236</v>
      </c>
      <c r="D45" s="13" t="s">
        <v>16</v>
      </c>
      <c r="E45" s="13" t="s">
        <v>15</v>
      </c>
      <c r="F45"/>
      <c r="G45">
        <v>2.09</v>
      </c>
      <c r="H45"/>
      <c r="I45">
        <v>4.8</v>
      </c>
      <c r="J45"/>
      <c r="K45">
        <v>66.93</v>
      </c>
      <c r="L45"/>
      <c r="M45" s="59">
        <f>AVERAGE(I45,G45,K45)</f>
        <v>24.60666666666667</v>
      </c>
    </row>
    <row r="46" spans="2:13" ht="12.75">
      <c r="B46" s="9" t="s">
        <v>138</v>
      </c>
      <c r="C46" s="9" t="s">
        <v>236</v>
      </c>
      <c r="D46" s="13" t="s">
        <v>16</v>
      </c>
      <c r="E46" s="13" t="s">
        <v>15</v>
      </c>
      <c r="F46"/>
      <c r="G46">
        <v>87.18</v>
      </c>
      <c r="H46"/>
      <c r="I46">
        <v>82.47</v>
      </c>
      <c r="J46"/>
      <c r="K46">
        <v>84.98</v>
      </c>
      <c r="L46"/>
      <c r="M46" s="59">
        <f>AVERAGE(I46,G46,K46)</f>
        <v>84.87666666666667</v>
      </c>
    </row>
    <row r="47" spans="2:13" ht="12.75">
      <c r="B47" s="18" t="s">
        <v>281</v>
      </c>
      <c r="C47" s="9"/>
      <c r="D47" s="13"/>
      <c r="E47" s="13"/>
      <c r="F47"/>
      <c r="G47"/>
      <c r="H47"/>
      <c r="I47"/>
      <c r="J47"/>
      <c r="K47"/>
      <c r="L47"/>
      <c r="M47"/>
    </row>
    <row r="48" spans="2:13" ht="12.75">
      <c r="B48" s="9" t="s">
        <v>13</v>
      </c>
      <c r="C48" s="9" t="s">
        <v>236</v>
      </c>
      <c r="D48" s="9" t="s">
        <v>14</v>
      </c>
      <c r="E48" s="9" t="s">
        <v>15</v>
      </c>
      <c r="F48"/>
      <c r="G48">
        <v>0.047</v>
      </c>
      <c r="H48"/>
      <c r="I48">
        <v>0.045</v>
      </c>
      <c r="J48"/>
      <c r="K48">
        <v>0.047</v>
      </c>
      <c r="L48"/>
      <c r="M48" s="61">
        <f>AVERAGE(I48,G48,K48)</f>
        <v>0.04633333333333334</v>
      </c>
    </row>
    <row r="49" spans="2:13" ht="12.75">
      <c r="B49" s="9"/>
      <c r="C49" s="9"/>
      <c r="F49"/>
      <c r="G49"/>
      <c r="H49"/>
      <c r="I49"/>
      <c r="J49"/>
      <c r="K49"/>
      <c r="L49"/>
      <c r="M49"/>
    </row>
    <row r="50" spans="2:13" ht="12.75">
      <c r="B50" s="9" t="s">
        <v>50</v>
      </c>
      <c r="C50" s="9"/>
      <c r="D50" s="9" t="s">
        <v>136</v>
      </c>
      <c r="F50"/>
      <c r="G50">
        <v>26.1</v>
      </c>
      <c r="H50"/>
      <c r="I50">
        <v>24.1</v>
      </c>
      <c r="J50"/>
      <c r="K50">
        <v>23.3</v>
      </c>
      <c r="L50"/>
      <c r="M50"/>
    </row>
    <row r="51" spans="2:13" ht="12.75">
      <c r="B51" s="9" t="s">
        <v>51</v>
      </c>
      <c r="C51" s="9"/>
      <c r="D51" s="9" t="s">
        <v>136</v>
      </c>
      <c r="F51" t="s">
        <v>97</v>
      </c>
      <c r="G51">
        <v>2.45</v>
      </c>
      <c r="H51" t="s">
        <v>97</v>
      </c>
      <c r="I51">
        <v>2.43</v>
      </c>
      <c r="J51" t="s">
        <v>97</v>
      </c>
      <c r="K51">
        <v>2.28</v>
      </c>
      <c r="L51"/>
      <c r="M51"/>
    </row>
    <row r="52" spans="2:13" ht="12.75">
      <c r="B52" s="9"/>
      <c r="C52" s="9"/>
      <c r="F52"/>
      <c r="G52"/>
      <c r="H52"/>
      <c r="I52"/>
      <c r="J52"/>
      <c r="K52"/>
      <c r="L52"/>
      <c r="M52" s="6"/>
    </row>
    <row r="53" spans="2:13" ht="12.75">
      <c r="B53" s="9" t="s">
        <v>130</v>
      </c>
      <c r="C53" s="9" t="s">
        <v>134</v>
      </c>
      <c r="F53"/>
      <c r="G53"/>
      <c r="H53"/>
      <c r="I53"/>
      <c r="J53"/>
      <c r="K53"/>
      <c r="L53"/>
      <c r="M53" s="6"/>
    </row>
    <row r="54" spans="2:13" ht="12.75">
      <c r="B54" s="9" t="s">
        <v>131</v>
      </c>
      <c r="C54" s="9"/>
      <c r="D54" s="9" t="s">
        <v>52</v>
      </c>
      <c r="F54"/>
      <c r="G54">
        <v>116</v>
      </c>
      <c r="H54"/>
      <c r="I54">
        <v>111</v>
      </c>
      <c r="J54"/>
      <c r="K54">
        <v>121</v>
      </c>
      <c r="L54"/>
      <c r="M54" s="6"/>
    </row>
    <row r="55" spans="2:13" ht="12.75">
      <c r="B55" s="9" t="s">
        <v>132</v>
      </c>
      <c r="C55" s="9" t="s">
        <v>236</v>
      </c>
      <c r="D55" s="9" t="s">
        <v>52</v>
      </c>
      <c r="F55" t="s">
        <v>97</v>
      </c>
      <c r="G55" s="60">
        <v>6.32E-08</v>
      </c>
      <c r="H55" t="s">
        <v>97</v>
      </c>
      <c r="I55" s="60">
        <v>6.44E-08</v>
      </c>
      <c r="J55" t="s">
        <v>97</v>
      </c>
      <c r="K55" s="60">
        <v>6.41E-08</v>
      </c>
      <c r="L55"/>
      <c r="M55" s="6"/>
    </row>
    <row r="56" spans="2:13" ht="12.75">
      <c r="B56" s="9" t="s">
        <v>130</v>
      </c>
      <c r="C56" s="9" t="s">
        <v>236</v>
      </c>
      <c r="D56" s="9" t="s">
        <v>18</v>
      </c>
      <c r="F56"/>
      <c r="G56">
        <f>(G54-G55/454*3600)/G54*100</f>
        <v>99.99999956797812</v>
      </c>
      <c r="H56"/>
      <c r="I56">
        <f>(I54-I55/454*3600)/I54*100</f>
        <v>99.99999953994522</v>
      </c>
      <c r="J56"/>
      <c r="K56">
        <f>(K54-K55/454*3600)/K54*100</f>
        <v>99.99999957993228</v>
      </c>
      <c r="L56"/>
      <c r="M56" s="6"/>
    </row>
    <row r="57" spans="2:13" ht="12.75">
      <c r="B57" s="9"/>
      <c r="C57" s="9"/>
      <c r="F57"/>
      <c r="G57"/>
      <c r="H57"/>
      <c r="I57"/>
      <c r="J57"/>
      <c r="K57"/>
      <c r="L57"/>
      <c r="M57" s="6"/>
    </row>
    <row r="58" spans="2:13" ht="12.75">
      <c r="B58" s="9"/>
      <c r="C58" s="9"/>
      <c r="F58"/>
      <c r="G58"/>
      <c r="H58"/>
      <c r="I58"/>
      <c r="J58"/>
      <c r="K58"/>
      <c r="L58"/>
      <c r="M58"/>
    </row>
    <row r="59" spans="2:13" ht="12.75">
      <c r="B59" s="9" t="s">
        <v>82</v>
      </c>
      <c r="C59" s="9" t="s">
        <v>106</v>
      </c>
      <c r="D59" s="9" t="s">
        <v>236</v>
      </c>
      <c r="F59"/>
      <c r="G59"/>
      <c r="H59"/>
      <c r="I59"/>
      <c r="J59"/>
      <c r="K59"/>
      <c r="L59"/>
      <c r="M59"/>
    </row>
    <row r="60" spans="2:13" ht="12.75">
      <c r="B60" s="9" t="s">
        <v>77</v>
      </c>
      <c r="C60" s="9"/>
      <c r="D60" s="9" t="s">
        <v>17</v>
      </c>
      <c r="F60"/>
      <c r="G60">
        <f>527580/60</f>
        <v>8793</v>
      </c>
      <c r="H60"/>
      <c r="I60">
        <f>523860/60</f>
        <v>8731</v>
      </c>
      <c r="J60"/>
      <c r="K60">
        <f>533520/60</f>
        <v>8892</v>
      </c>
      <c r="L60"/>
      <c r="M60" s="6">
        <f>AVERAGE(G60,I60,K60)</f>
        <v>8805.333333333334</v>
      </c>
    </row>
    <row r="61" spans="2:13" ht="12.75">
      <c r="B61" s="9" t="s">
        <v>80</v>
      </c>
      <c r="C61" s="9"/>
      <c r="D61" s="9" t="s">
        <v>18</v>
      </c>
      <c r="F61"/>
      <c r="G61">
        <v>9.8</v>
      </c>
      <c r="H61"/>
      <c r="I61">
        <v>9.7</v>
      </c>
      <c r="J61"/>
      <c r="K61">
        <v>9.7</v>
      </c>
      <c r="L61"/>
      <c r="M61" s="6">
        <f>AVERAGE(G61,I61,K61)</f>
        <v>9.733333333333333</v>
      </c>
    </row>
    <row r="62" spans="2:13" ht="12.75">
      <c r="B62" s="9" t="s">
        <v>81</v>
      </c>
      <c r="C62" s="9"/>
      <c r="D62" s="9" t="s">
        <v>18</v>
      </c>
      <c r="F62"/>
      <c r="G62">
        <v>48.6</v>
      </c>
      <c r="H62"/>
      <c r="I62">
        <v>48.8</v>
      </c>
      <c r="J62"/>
      <c r="K62">
        <v>48.8</v>
      </c>
      <c r="L62"/>
      <c r="M62" s="6">
        <f>AVERAGE(G62,I62,K62)</f>
        <v>48.73333333333333</v>
      </c>
    </row>
    <row r="63" spans="2:13" ht="12.75">
      <c r="B63" s="9" t="s">
        <v>76</v>
      </c>
      <c r="C63" s="9"/>
      <c r="D63" s="9" t="s">
        <v>19</v>
      </c>
      <c r="F63"/>
      <c r="G63">
        <v>177</v>
      </c>
      <c r="H63"/>
      <c r="I63">
        <v>178</v>
      </c>
      <c r="J63"/>
      <c r="K63">
        <v>180</v>
      </c>
      <c r="L63"/>
      <c r="M63" s="6">
        <f>AVERAGE(G63,I63,K63)</f>
        <v>178.33333333333334</v>
      </c>
    </row>
    <row r="64" ht="12.75"/>
    <row r="65" spans="2:13" ht="12.75">
      <c r="B65" s="9" t="s">
        <v>50</v>
      </c>
      <c r="C65" t="s">
        <v>236</v>
      </c>
      <c r="D65" s="9" t="s">
        <v>16</v>
      </c>
      <c r="E65" t="s">
        <v>15</v>
      </c>
      <c r="G65" s="6">
        <f>G50*1000000/G60/1450/60/0.0283*(21-7)/(21-G61)</f>
        <v>1.5069809384995052</v>
      </c>
      <c r="I65" s="6">
        <f>I50*1000000/I60/1450/60/0.0283*(21-7)/(21-I61)</f>
        <v>1.3889830896822362</v>
      </c>
      <c r="K65" s="6">
        <f>K50*1000000/K60/1450/60/0.0283*(21-7)/(21-K61)</f>
        <v>1.3185614398842522</v>
      </c>
      <c r="M65" s="6">
        <f>AVERAGE(G65,I65,K65)</f>
        <v>1.4048418226886648</v>
      </c>
    </row>
    <row r="66" spans="2:13" ht="12.75">
      <c r="B66" s="9" t="s">
        <v>51</v>
      </c>
      <c r="C66" t="s">
        <v>236</v>
      </c>
      <c r="D66" s="9" t="s">
        <v>16</v>
      </c>
      <c r="E66" t="s">
        <v>15</v>
      </c>
      <c r="G66" s="6">
        <f>G51*1000000/G60/(1450/2)/60/0.0283*(21-7)/(21-G61)</f>
        <v>0.28291979305163123</v>
      </c>
      <c r="I66" s="6">
        <f>I51*1000000/I60/(1450/2)/60/0.0283*(21-7)/(21-I61)</f>
        <v>0.28010198406040115</v>
      </c>
      <c r="K66" s="6">
        <f>K51*1000000/K60/(1450/2)/60/0.0283*(21-7)/(21-K61)</f>
        <v>0.2580532260030983</v>
      </c>
      <c r="M66" s="6">
        <f>AVERAGE(G66,I66,K66)</f>
        <v>0.27369166770504355</v>
      </c>
    </row>
    <row r="67" spans="2:13" ht="12.75">
      <c r="B67" s="9" t="s">
        <v>237</v>
      </c>
      <c r="C67" t="s">
        <v>236</v>
      </c>
      <c r="D67" s="9" t="s">
        <v>16</v>
      </c>
      <c r="E67" t="s">
        <v>15</v>
      </c>
      <c r="G67" s="6">
        <f>G65+2*G66</f>
        <v>2.0728205246027676</v>
      </c>
      <c r="I67" s="6">
        <f>I65+2*I66</f>
        <v>1.9491870578030386</v>
      </c>
      <c r="K67" s="6">
        <f>K65+2*K66</f>
        <v>1.8346678918904489</v>
      </c>
      <c r="M67" s="6">
        <f>AVERAGE(G67,I67,K67)</f>
        <v>1.9522251580987515</v>
      </c>
    </row>
    <row r="68" ht="12.75"/>
    <row r="69" spans="1:13" ht="12.75">
      <c r="A69">
        <v>12</v>
      </c>
      <c r="B69" s="22" t="s">
        <v>189</v>
      </c>
      <c r="C69" t="s">
        <v>83</v>
      </c>
      <c r="G69" s="20" t="s">
        <v>197</v>
      </c>
      <c r="H69" s="20"/>
      <c r="I69" s="21" t="s">
        <v>198</v>
      </c>
      <c r="J69" s="20"/>
      <c r="K69" s="20" t="s">
        <v>199</v>
      </c>
      <c r="L69" s="20"/>
      <c r="M69" s="20" t="s">
        <v>47</v>
      </c>
    </row>
    <row r="70" ht="12.75"/>
    <row r="71" spans="2:13" ht="12.75">
      <c r="B71" s="9" t="s">
        <v>101</v>
      </c>
      <c r="C71" s="9" t="s">
        <v>236</v>
      </c>
      <c r="D71" s="13" t="s">
        <v>16</v>
      </c>
      <c r="E71" s="13" t="s">
        <v>15</v>
      </c>
      <c r="F71"/>
      <c r="G71">
        <v>4</v>
      </c>
      <c r="H71"/>
      <c r="I71">
        <v>3.6</v>
      </c>
      <c r="J71"/>
      <c r="K71">
        <v>1.9</v>
      </c>
      <c r="L71"/>
      <c r="M71" s="59">
        <f>AVERAGE(I71,G71,K71)</f>
        <v>3.1666666666666665</v>
      </c>
    </row>
    <row r="72" spans="2:13" ht="12.75">
      <c r="B72" s="9" t="s">
        <v>137</v>
      </c>
      <c r="C72" s="9" t="s">
        <v>236</v>
      </c>
      <c r="D72" s="13" t="s">
        <v>16</v>
      </c>
      <c r="E72" s="13" t="s">
        <v>15</v>
      </c>
      <c r="F72"/>
      <c r="G72">
        <v>5.85</v>
      </c>
      <c r="H72"/>
      <c r="I72">
        <v>2.64</v>
      </c>
      <c r="J72"/>
      <c r="K72"/>
      <c r="L72"/>
      <c r="M72" s="59">
        <f>AVERAGE(I72,G72,K72)</f>
        <v>4.245</v>
      </c>
    </row>
    <row r="73" spans="2:13" ht="12.75">
      <c r="B73" s="9" t="s">
        <v>138</v>
      </c>
      <c r="C73" s="9" t="s">
        <v>236</v>
      </c>
      <c r="D73" s="13" t="s">
        <v>16</v>
      </c>
      <c r="E73" s="13" t="s">
        <v>15</v>
      </c>
      <c r="F73"/>
      <c r="G73">
        <v>119.16</v>
      </c>
      <c r="H73"/>
      <c r="I73">
        <v>113.24</v>
      </c>
      <c r="J73"/>
      <c r="K73"/>
      <c r="L73"/>
      <c r="M73" s="59">
        <f>AVERAGE(I73,G73,K73)</f>
        <v>116.19999999999999</v>
      </c>
    </row>
    <row r="74" spans="2:12" ht="12.75">
      <c r="B74" s="9"/>
      <c r="C74" s="9"/>
      <c r="D74" s="13"/>
      <c r="E74" s="13"/>
      <c r="F74"/>
      <c r="G74"/>
      <c r="H74"/>
      <c r="I74"/>
      <c r="J74"/>
      <c r="K74"/>
      <c r="L74"/>
    </row>
    <row r="75" spans="2:13" ht="12.75">
      <c r="B75" s="9" t="s">
        <v>13</v>
      </c>
      <c r="C75" s="9" t="s">
        <v>236</v>
      </c>
      <c r="D75" s="9" t="s">
        <v>14</v>
      </c>
      <c r="E75" s="9" t="s">
        <v>15</v>
      </c>
      <c r="F75"/>
      <c r="G75">
        <v>0.034</v>
      </c>
      <c r="H75"/>
      <c r="I75">
        <v>0.023</v>
      </c>
      <c r="J75"/>
      <c r="K75">
        <v>0.024</v>
      </c>
      <c r="L75"/>
      <c r="M75" s="58">
        <f>AVERAGE(I75,G75,K75)</f>
        <v>0.027</v>
      </c>
    </row>
    <row r="76" spans="2:13" ht="12.75">
      <c r="B76" s="9"/>
      <c r="C76" s="9"/>
      <c r="F76"/>
      <c r="G76"/>
      <c r="H76"/>
      <c r="I76"/>
      <c r="J76"/>
      <c r="K76"/>
      <c r="L76"/>
      <c r="M76" s="58"/>
    </row>
    <row r="77" spans="2:13" ht="12.75">
      <c r="B77" s="9" t="s">
        <v>50</v>
      </c>
      <c r="C77" s="9"/>
      <c r="D77" s="9" t="s">
        <v>136</v>
      </c>
      <c r="F77"/>
      <c r="G77">
        <v>23.3</v>
      </c>
      <c r="H77"/>
      <c r="I77">
        <v>20.3</v>
      </c>
      <c r="J77"/>
      <c r="K77">
        <v>19.4</v>
      </c>
      <c r="L77"/>
      <c r="M77" s="6"/>
    </row>
    <row r="78" spans="2:13" ht="12.75">
      <c r="B78" s="9" t="s">
        <v>51</v>
      </c>
      <c r="C78" s="9"/>
      <c r="D78" s="9" t="s">
        <v>136</v>
      </c>
      <c r="F78"/>
      <c r="G78">
        <v>1.91</v>
      </c>
      <c r="H78"/>
      <c r="I78">
        <v>2.08</v>
      </c>
      <c r="J78"/>
      <c r="K78">
        <v>1.34</v>
      </c>
      <c r="L78"/>
      <c r="M78" s="6"/>
    </row>
    <row r="79" ht="12.75"/>
    <row r="80" spans="2:11" ht="12.75">
      <c r="B80" s="9" t="s">
        <v>238</v>
      </c>
      <c r="D80" s="9" t="s">
        <v>140</v>
      </c>
      <c r="E80" t="s">
        <v>99</v>
      </c>
      <c r="G80">
        <v>181.32</v>
      </c>
      <c r="I80">
        <v>181.1</v>
      </c>
      <c r="K80">
        <v>181.66</v>
      </c>
    </row>
    <row r="81" spans="2:11" ht="12.75">
      <c r="B81" s="9" t="s">
        <v>162</v>
      </c>
      <c r="D81" s="9" t="s">
        <v>140</v>
      </c>
      <c r="E81" t="s">
        <v>99</v>
      </c>
      <c r="F81" t="s">
        <v>97</v>
      </c>
      <c r="G81">
        <v>0.34</v>
      </c>
      <c r="H81" t="s">
        <v>97</v>
      </c>
      <c r="I81">
        <v>0.42</v>
      </c>
      <c r="K81">
        <v>0.45</v>
      </c>
    </row>
    <row r="82" spans="2:11" ht="12.75">
      <c r="B82" s="9" t="s">
        <v>158</v>
      </c>
      <c r="D82" s="9" t="s">
        <v>140</v>
      </c>
      <c r="E82" t="s">
        <v>99</v>
      </c>
      <c r="F82" t="s">
        <v>97</v>
      </c>
      <c r="G82">
        <v>36.13</v>
      </c>
      <c r="H82" t="s">
        <v>97</v>
      </c>
      <c r="I82">
        <v>31.75</v>
      </c>
      <c r="K82">
        <v>31.69</v>
      </c>
    </row>
    <row r="83" spans="2:11" ht="12.75">
      <c r="B83" s="9" t="s">
        <v>164</v>
      </c>
      <c r="D83" s="9" t="s">
        <v>140</v>
      </c>
      <c r="E83" t="s">
        <v>99</v>
      </c>
      <c r="G83">
        <v>1.15</v>
      </c>
      <c r="I83">
        <v>1.2</v>
      </c>
      <c r="K83">
        <v>1.12</v>
      </c>
    </row>
    <row r="84" spans="2:11" ht="12.75">
      <c r="B84" s="9" t="s">
        <v>163</v>
      </c>
      <c r="D84" s="9" t="s">
        <v>140</v>
      </c>
      <c r="E84" t="s">
        <v>99</v>
      </c>
      <c r="F84" t="s">
        <v>97</v>
      </c>
      <c r="G84">
        <v>0.01</v>
      </c>
      <c r="H84" t="s">
        <v>97</v>
      </c>
      <c r="I84">
        <v>0.01</v>
      </c>
      <c r="J84" t="s">
        <v>97</v>
      </c>
      <c r="K84">
        <v>0.02</v>
      </c>
    </row>
    <row r="85" spans="2:11" ht="12.75">
      <c r="B85" s="9" t="s">
        <v>159</v>
      </c>
      <c r="D85" s="9" t="s">
        <v>140</v>
      </c>
      <c r="E85" t="s">
        <v>99</v>
      </c>
      <c r="G85">
        <v>25.06</v>
      </c>
      <c r="I85">
        <v>22.08</v>
      </c>
      <c r="K85">
        <v>19.74</v>
      </c>
    </row>
    <row r="86" spans="2:11" ht="12.75">
      <c r="B86" s="9" t="s">
        <v>160</v>
      </c>
      <c r="D86" s="9" t="s">
        <v>140</v>
      </c>
      <c r="E86" t="s">
        <v>99</v>
      </c>
      <c r="G86">
        <v>22.69</v>
      </c>
      <c r="I86">
        <v>20.35</v>
      </c>
      <c r="K86">
        <v>8.38</v>
      </c>
    </row>
    <row r="87" spans="2:11" ht="12.75">
      <c r="B87" s="9" t="s">
        <v>239</v>
      </c>
      <c r="D87" s="9" t="s">
        <v>140</v>
      </c>
      <c r="E87" t="s">
        <v>99</v>
      </c>
      <c r="F87" t="s">
        <v>97</v>
      </c>
      <c r="G87">
        <v>0.04</v>
      </c>
      <c r="H87" t="s">
        <v>97</v>
      </c>
      <c r="I87">
        <v>0.04</v>
      </c>
      <c r="J87" t="s">
        <v>97</v>
      </c>
      <c r="K87">
        <v>0.02</v>
      </c>
    </row>
    <row r="88" spans="2:11" ht="12.75">
      <c r="B88" s="9" t="s">
        <v>240</v>
      </c>
      <c r="D88" s="9" t="s">
        <v>140</v>
      </c>
      <c r="E88" t="s">
        <v>99</v>
      </c>
      <c r="G88">
        <v>12.17</v>
      </c>
      <c r="I88">
        <v>11</v>
      </c>
      <c r="K88">
        <v>14.03</v>
      </c>
    </row>
    <row r="89" spans="2:11" ht="12.75">
      <c r="B89" s="9" t="s">
        <v>161</v>
      </c>
      <c r="D89" s="9" t="s">
        <v>140</v>
      </c>
      <c r="E89" t="s">
        <v>99</v>
      </c>
      <c r="G89">
        <v>292.7</v>
      </c>
      <c r="I89">
        <v>259.05</v>
      </c>
      <c r="K89">
        <v>218.55</v>
      </c>
    </row>
    <row r="90" spans="2:11" ht="12.75">
      <c r="B90" s="9" t="s">
        <v>166</v>
      </c>
      <c r="D90" s="9" t="s">
        <v>140</v>
      </c>
      <c r="E90" t="s">
        <v>99</v>
      </c>
      <c r="G90">
        <v>1.05</v>
      </c>
      <c r="I90">
        <v>0.98</v>
      </c>
      <c r="K90">
        <v>1</v>
      </c>
    </row>
    <row r="91" spans="2:11" ht="12.75">
      <c r="B91" s="9" t="s">
        <v>167</v>
      </c>
      <c r="D91" s="9" t="s">
        <v>140</v>
      </c>
      <c r="E91" t="s">
        <v>99</v>
      </c>
      <c r="F91" t="s">
        <v>97</v>
      </c>
      <c r="G91">
        <v>0.55</v>
      </c>
      <c r="H91" t="s">
        <v>97</v>
      </c>
      <c r="I91">
        <v>0.53</v>
      </c>
      <c r="J91" t="s">
        <v>97</v>
      </c>
      <c r="K91">
        <v>0.32</v>
      </c>
    </row>
    <row r="92" spans="2:11" ht="12.75">
      <c r="B92" s="9" t="s">
        <v>168</v>
      </c>
      <c r="D92" s="9" t="s">
        <v>140</v>
      </c>
      <c r="E92" t="s">
        <v>99</v>
      </c>
      <c r="G92">
        <v>0.61</v>
      </c>
      <c r="I92">
        <v>0.6</v>
      </c>
      <c r="K92">
        <v>1.33</v>
      </c>
    </row>
    <row r="93" spans="2:11" ht="12.75">
      <c r="B93" s="9" t="s">
        <v>169</v>
      </c>
      <c r="D93" s="9" t="s">
        <v>140</v>
      </c>
      <c r="E93" t="s">
        <v>99</v>
      </c>
      <c r="G93">
        <v>0.75</v>
      </c>
      <c r="H93" t="s">
        <v>97</v>
      </c>
      <c r="I93">
        <v>0.67</v>
      </c>
      <c r="K93">
        <v>0.25</v>
      </c>
    </row>
    <row r="94" spans="2:11" ht="12.75">
      <c r="B94" s="9" t="s">
        <v>170</v>
      </c>
      <c r="D94" s="9" t="s">
        <v>140</v>
      </c>
      <c r="E94" t="s">
        <v>99</v>
      </c>
      <c r="F94" t="s">
        <v>97</v>
      </c>
      <c r="G94">
        <v>0.03</v>
      </c>
      <c r="H94" t="s">
        <v>97</v>
      </c>
      <c r="I94">
        <v>0.04</v>
      </c>
      <c r="J94" t="s">
        <v>97</v>
      </c>
      <c r="K94">
        <v>0.02</v>
      </c>
    </row>
    <row r="95" spans="2:11" ht="12.75">
      <c r="B95" s="9" t="s">
        <v>171</v>
      </c>
      <c r="D95" s="9" t="s">
        <v>140</v>
      </c>
      <c r="E95" t="s">
        <v>99</v>
      </c>
      <c r="F95" t="s">
        <v>97</v>
      </c>
      <c r="G95">
        <v>0.01</v>
      </c>
      <c r="H95" t="s">
        <v>97</v>
      </c>
      <c r="I95">
        <v>0.02</v>
      </c>
      <c r="J95" t="s">
        <v>97</v>
      </c>
      <c r="K95">
        <v>0.01</v>
      </c>
    </row>
    <row r="96" spans="2:11" ht="12.75">
      <c r="B96" s="9" t="s">
        <v>172</v>
      </c>
      <c r="D96" s="9" t="s">
        <v>140</v>
      </c>
      <c r="E96" t="s">
        <v>99</v>
      </c>
      <c r="F96" t="s">
        <v>97</v>
      </c>
      <c r="G96">
        <v>0.09</v>
      </c>
      <c r="H96" t="s">
        <v>97</v>
      </c>
      <c r="I96">
        <v>0.1</v>
      </c>
      <c r="J96" t="s">
        <v>97</v>
      </c>
      <c r="K96">
        <v>0.08</v>
      </c>
    </row>
    <row r="97" spans="2:11" ht="12.75">
      <c r="B97" s="9" t="s">
        <v>241</v>
      </c>
      <c r="D97" s="9" t="s">
        <v>140</v>
      </c>
      <c r="E97" t="s">
        <v>99</v>
      </c>
      <c r="G97">
        <v>34.45</v>
      </c>
      <c r="I97">
        <v>35.65</v>
      </c>
      <c r="K97">
        <v>14.11</v>
      </c>
    </row>
    <row r="98" ht="12.75"/>
    <row r="99" spans="2:13" ht="12.75">
      <c r="B99" s="9" t="s">
        <v>82</v>
      </c>
      <c r="C99" s="9" t="s">
        <v>106</v>
      </c>
      <c r="D99" s="9" t="s">
        <v>236</v>
      </c>
      <c r="F99"/>
      <c r="G99"/>
      <c r="H99"/>
      <c r="I99"/>
      <c r="J99"/>
      <c r="K99"/>
      <c r="L99"/>
      <c r="M99"/>
    </row>
    <row r="100" spans="2:13" ht="12.75">
      <c r="B100" s="9" t="s">
        <v>77</v>
      </c>
      <c r="C100" s="9"/>
      <c r="D100" s="9" t="s">
        <v>17</v>
      </c>
      <c r="F100"/>
      <c r="G100">
        <f>518760/60</f>
        <v>8646</v>
      </c>
      <c r="H100"/>
      <c r="I100">
        <f>571800/60</f>
        <v>9530</v>
      </c>
      <c r="J100"/>
      <c r="K100">
        <f>481560/60</f>
        <v>8026</v>
      </c>
      <c r="L100"/>
      <c r="M100" s="6">
        <f>AVERAGE(G100,I100,K100)</f>
        <v>8734</v>
      </c>
    </row>
    <row r="101" spans="2:13" ht="12.75">
      <c r="B101" s="9" t="s">
        <v>80</v>
      </c>
      <c r="C101" s="9"/>
      <c r="D101" s="9" t="s">
        <v>18</v>
      </c>
      <c r="F101"/>
      <c r="G101">
        <v>9</v>
      </c>
      <c r="H101"/>
      <c r="I101">
        <v>8.8</v>
      </c>
      <c r="J101"/>
      <c r="K101">
        <v>8.9</v>
      </c>
      <c r="L101"/>
      <c r="M101" s="6">
        <f>AVERAGE(G101,I101,K101)</f>
        <v>8.9</v>
      </c>
    </row>
    <row r="102" spans="2:13" ht="12.75">
      <c r="B102" s="9" t="s">
        <v>81</v>
      </c>
      <c r="C102" s="9"/>
      <c r="D102" s="9" t="s">
        <v>18</v>
      </c>
      <c r="F102"/>
      <c r="G102">
        <v>50.2</v>
      </c>
      <c r="H102"/>
      <c r="I102">
        <v>43.5</v>
      </c>
      <c r="J102"/>
      <c r="K102">
        <v>51.7</v>
      </c>
      <c r="L102"/>
      <c r="M102" s="6">
        <f>AVERAGE(G102,I102,K102)</f>
        <v>48.46666666666667</v>
      </c>
    </row>
    <row r="103" spans="2:13" ht="12.75">
      <c r="B103" s="9" t="s">
        <v>76</v>
      </c>
      <c r="C103" s="9"/>
      <c r="D103" s="9" t="s">
        <v>19</v>
      </c>
      <c r="F103"/>
      <c r="G103">
        <v>177</v>
      </c>
      <c r="H103"/>
      <c r="I103">
        <v>178</v>
      </c>
      <c r="J103"/>
      <c r="K103">
        <v>181</v>
      </c>
      <c r="L103"/>
      <c r="M103" s="6">
        <f>AVERAGE(G103,I103,K103)</f>
        <v>178.66666666666666</v>
      </c>
    </row>
    <row r="104" ht="12.75"/>
    <row r="105" spans="2:13" ht="12.75">
      <c r="B105" s="9" t="s">
        <v>82</v>
      </c>
      <c r="C105" s="9" t="s">
        <v>96</v>
      </c>
      <c r="D105" s="9" t="s">
        <v>242</v>
      </c>
      <c r="F105"/>
      <c r="G105"/>
      <c r="H105"/>
      <c r="I105"/>
      <c r="J105"/>
      <c r="K105"/>
      <c r="L105"/>
      <c r="M105"/>
    </row>
    <row r="106" spans="2:13" ht="12.75">
      <c r="B106" s="9" t="s">
        <v>77</v>
      </c>
      <c r="C106" s="9"/>
      <c r="D106" s="9" t="s">
        <v>17</v>
      </c>
      <c r="F106"/>
      <c r="G106">
        <f>532140/60</f>
        <v>8869</v>
      </c>
      <c r="H106"/>
      <c r="I106">
        <f>537000/60</f>
        <v>8950</v>
      </c>
      <c r="J106"/>
      <c r="K106">
        <f>515100/60</f>
        <v>8585</v>
      </c>
      <c r="L106"/>
      <c r="M106"/>
    </row>
    <row r="107" spans="2:13" ht="12.75">
      <c r="B107" s="9" t="s">
        <v>80</v>
      </c>
      <c r="C107" s="9"/>
      <c r="D107" s="9" t="s">
        <v>18</v>
      </c>
      <c r="F107"/>
      <c r="G107">
        <v>9</v>
      </c>
      <c r="H107"/>
      <c r="I107">
        <v>8.8</v>
      </c>
      <c r="J107"/>
      <c r="K107">
        <v>8.9</v>
      </c>
      <c r="L107"/>
      <c r="M107"/>
    </row>
    <row r="108" spans="2:13" ht="12.75">
      <c r="B108" s="9" t="s">
        <v>81</v>
      </c>
      <c r="C108" s="9"/>
      <c r="D108" s="9" t="s">
        <v>18</v>
      </c>
      <c r="F108"/>
      <c r="G108">
        <v>50.5</v>
      </c>
      <c r="H108"/>
      <c r="I108">
        <v>50.3</v>
      </c>
      <c r="J108"/>
      <c r="K108">
        <v>49.5</v>
      </c>
      <c r="L108"/>
      <c r="M108"/>
    </row>
    <row r="109" spans="2:13" ht="12.75">
      <c r="B109" s="9" t="s">
        <v>76</v>
      </c>
      <c r="C109" s="9"/>
      <c r="D109" s="9" t="s">
        <v>19</v>
      </c>
      <c r="F109"/>
      <c r="G109">
        <v>178</v>
      </c>
      <c r="H109"/>
      <c r="I109">
        <v>178</v>
      </c>
      <c r="J109"/>
      <c r="K109">
        <v>181</v>
      </c>
      <c r="L109"/>
      <c r="M109"/>
    </row>
    <row r="110" spans="2:13" ht="12.75">
      <c r="B110" s="9"/>
      <c r="C110" s="9"/>
      <c r="F110"/>
      <c r="G110"/>
      <c r="H110"/>
      <c r="I110"/>
      <c r="J110"/>
      <c r="K110"/>
      <c r="L110"/>
      <c r="M110"/>
    </row>
    <row r="111" spans="2:13" ht="12.75">
      <c r="B111" s="9" t="s">
        <v>238</v>
      </c>
      <c r="C111" t="s">
        <v>242</v>
      </c>
      <c r="D111" s="9" t="s">
        <v>55</v>
      </c>
      <c r="E111" t="s">
        <v>15</v>
      </c>
      <c r="G111" s="6">
        <f>G80/0.0283*(21-7)/(21-G$107)</f>
        <v>7474.911660777386</v>
      </c>
      <c r="I111" s="6">
        <f>I80/0.0283*(21-7)/(21-I$107)</f>
        <v>7343.4513120546835</v>
      </c>
      <c r="K111" s="6">
        <f aca="true" t="shared" si="0" ref="K111:K128">K80/0.0283*(21-7)/(21-K$107)</f>
        <v>7427.036182577463</v>
      </c>
      <c r="M111" s="6">
        <f aca="true" t="shared" si="1" ref="M111:M121">AVERAGE(G111,I111,K111)</f>
        <v>7415.133051803178</v>
      </c>
    </row>
    <row r="112" spans="2:13" ht="12.75">
      <c r="B112" s="9" t="s">
        <v>162</v>
      </c>
      <c r="C112" t="s">
        <v>242</v>
      </c>
      <c r="D112" s="9" t="s">
        <v>55</v>
      </c>
      <c r="E112" t="s">
        <v>15</v>
      </c>
      <c r="F112" t="s">
        <v>97</v>
      </c>
      <c r="G112" s="6">
        <f aca="true" t="shared" si="2" ref="G112:I128">G81/0.0283*(21-7)/(21-G$107)</f>
        <v>14.016489988221439</v>
      </c>
      <c r="H112" t="s">
        <v>97</v>
      </c>
      <c r="I112" s="6">
        <f t="shared" si="2"/>
        <v>17.03064357295951</v>
      </c>
      <c r="K112" s="6">
        <f t="shared" si="0"/>
        <v>18.397920742925564</v>
      </c>
      <c r="M112" s="6">
        <f t="shared" si="1"/>
        <v>16.481684768035503</v>
      </c>
    </row>
    <row r="113" spans="2:13" ht="12.75">
      <c r="B113" s="9" t="s">
        <v>158</v>
      </c>
      <c r="C113" t="s">
        <v>242</v>
      </c>
      <c r="D113" s="9" t="s">
        <v>55</v>
      </c>
      <c r="E113" t="s">
        <v>15</v>
      </c>
      <c r="F113" t="s">
        <v>97</v>
      </c>
      <c r="G113" s="6">
        <f t="shared" si="2"/>
        <v>1489.458186101296</v>
      </c>
      <c r="H113" t="s">
        <v>97</v>
      </c>
      <c r="I113" s="6">
        <f t="shared" si="2"/>
        <v>1287.4355558130108</v>
      </c>
      <c r="K113" s="6">
        <f t="shared" si="0"/>
        <v>1295.6224629851358</v>
      </c>
      <c r="M113" s="6">
        <f t="shared" si="1"/>
        <v>1357.5054016331476</v>
      </c>
    </row>
    <row r="114" spans="2:13" ht="12.75">
      <c r="B114" s="9" t="s">
        <v>164</v>
      </c>
      <c r="C114" t="s">
        <v>242</v>
      </c>
      <c r="D114" s="9" t="s">
        <v>55</v>
      </c>
      <c r="E114" t="s">
        <v>15</v>
      </c>
      <c r="G114" s="6">
        <f t="shared" si="2"/>
        <v>47.408716136631334</v>
      </c>
      <c r="I114" s="6">
        <f t="shared" si="2"/>
        <v>48.658981637027175</v>
      </c>
      <c r="K114" s="6">
        <f t="shared" si="0"/>
        <v>45.79038051572585</v>
      </c>
      <c r="M114" s="6">
        <f t="shared" si="1"/>
        <v>47.286026096461455</v>
      </c>
    </row>
    <row r="115" spans="2:13" ht="12.75">
      <c r="B115" s="9" t="s">
        <v>163</v>
      </c>
      <c r="C115" t="s">
        <v>242</v>
      </c>
      <c r="D115" s="9" t="s">
        <v>55</v>
      </c>
      <c r="E115" t="s">
        <v>15</v>
      </c>
      <c r="F115" t="s">
        <v>97</v>
      </c>
      <c r="G115" s="6">
        <f t="shared" si="2"/>
        <v>0.41224970553592466</v>
      </c>
      <c r="H115" t="s">
        <v>97</v>
      </c>
      <c r="I115" s="6">
        <f t="shared" si="2"/>
        <v>0.4054915136418931</v>
      </c>
      <c r="J115" t="s">
        <v>97</v>
      </c>
      <c r="K115" s="6">
        <f t="shared" si="0"/>
        <v>0.8176853663522473</v>
      </c>
      <c r="M115" s="6">
        <f t="shared" si="1"/>
        <v>0.5451421951766884</v>
      </c>
    </row>
    <row r="116" spans="2:13" ht="12.75">
      <c r="B116" s="9" t="s">
        <v>159</v>
      </c>
      <c r="C116" t="s">
        <v>242</v>
      </c>
      <c r="D116" s="9" t="s">
        <v>55</v>
      </c>
      <c r="E116" t="s">
        <v>15</v>
      </c>
      <c r="G116" s="6">
        <f t="shared" si="2"/>
        <v>1033.097762073027</v>
      </c>
      <c r="I116" s="6">
        <f t="shared" si="2"/>
        <v>895.3252621212999</v>
      </c>
      <c r="K116" s="6">
        <f t="shared" si="0"/>
        <v>807.055456589668</v>
      </c>
      <c r="M116" s="6">
        <f t="shared" si="1"/>
        <v>911.8261602613317</v>
      </c>
    </row>
    <row r="117" spans="2:13" ht="12.75">
      <c r="B117" s="9" t="s">
        <v>160</v>
      </c>
      <c r="C117" t="s">
        <v>242</v>
      </c>
      <c r="D117" s="9" t="s">
        <v>55</v>
      </c>
      <c r="E117" t="s">
        <v>15</v>
      </c>
      <c r="G117" s="6">
        <f t="shared" si="2"/>
        <v>935.3945818610131</v>
      </c>
      <c r="I117" s="6">
        <f t="shared" si="2"/>
        <v>825.1752302612524</v>
      </c>
      <c r="K117" s="6">
        <f t="shared" si="0"/>
        <v>342.6101685015916</v>
      </c>
      <c r="M117" s="6">
        <f t="shared" si="1"/>
        <v>701.0599935412856</v>
      </c>
    </row>
    <row r="118" spans="2:13" ht="12.75">
      <c r="B118" s="9" t="s">
        <v>239</v>
      </c>
      <c r="C118" t="s">
        <v>242</v>
      </c>
      <c r="D118" s="9" t="s">
        <v>55</v>
      </c>
      <c r="E118" t="s">
        <v>15</v>
      </c>
      <c r="F118" t="s">
        <v>97</v>
      </c>
      <c r="G118" s="6">
        <f t="shared" si="2"/>
        <v>1.6489988221436986</v>
      </c>
      <c r="H118" t="s">
        <v>97</v>
      </c>
      <c r="I118" s="6">
        <f t="shared" si="2"/>
        <v>1.6219660545675725</v>
      </c>
      <c r="J118" t="s">
        <v>97</v>
      </c>
      <c r="K118" s="6">
        <f t="shared" si="0"/>
        <v>0.8176853663522473</v>
      </c>
      <c r="M118" s="6">
        <f t="shared" si="1"/>
        <v>1.362883414354506</v>
      </c>
    </row>
    <row r="119" spans="2:13" ht="12.75">
      <c r="B119" s="9" t="s">
        <v>240</v>
      </c>
      <c r="C119" t="s">
        <v>242</v>
      </c>
      <c r="D119" s="9" t="s">
        <v>55</v>
      </c>
      <c r="E119" t="s">
        <v>15</v>
      </c>
      <c r="G119" s="6">
        <f t="shared" si="2"/>
        <v>501.70789163722026</v>
      </c>
      <c r="I119" s="6">
        <f t="shared" si="2"/>
        <v>446.04066500608246</v>
      </c>
      <c r="K119" s="6">
        <f t="shared" si="0"/>
        <v>573.6062844961015</v>
      </c>
      <c r="M119" s="6">
        <f t="shared" si="1"/>
        <v>507.1182803798013</v>
      </c>
    </row>
    <row r="120" spans="2:13" ht="12.75">
      <c r="B120" s="9" t="s">
        <v>161</v>
      </c>
      <c r="C120" t="s">
        <v>242</v>
      </c>
      <c r="D120" s="9" t="s">
        <v>55</v>
      </c>
      <c r="E120" t="s">
        <v>15</v>
      </c>
      <c r="G120" s="6">
        <f t="shared" si="2"/>
        <v>12066.548881036513</v>
      </c>
      <c r="I120" s="6">
        <f t="shared" si="2"/>
        <v>10504.257660893241</v>
      </c>
      <c r="K120" s="6">
        <f t="shared" si="0"/>
        <v>8935.256840814181</v>
      </c>
      <c r="M120" s="6">
        <f t="shared" si="1"/>
        <v>10502.021127581313</v>
      </c>
    </row>
    <row r="121" spans="2:13" ht="12.75">
      <c r="B121" s="9" t="s">
        <v>166</v>
      </c>
      <c r="C121" t="s">
        <v>242</v>
      </c>
      <c r="D121" s="9" t="s">
        <v>55</v>
      </c>
      <c r="E121" t="s">
        <v>15</v>
      </c>
      <c r="G121" s="6">
        <f t="shared" si="2"/>
        <v>43.28621908127209</v>
      </c>
      <c r="I121" s="6">
        <f t="shared" si="2"/>
        <v>39.738168336905524</v>
      </c>
      <c r="K121" s="6">
        <f t="shared" si="0"/>
        <v>40.88426831761237</v>
      </c>
      <c r="M121" s="6">
        <f t="shared" si="1"/>
        <v>41.302885245263326</v>
      </c>
    </row>
    <row r="122" spans="2:13" ht="12.75">
      <c r="B122" s="9" t="s">
        <v>167</v>
      </c>
      <c r="C122" t="s">
        <v>242</v>
      </c>
      <c r="D122" s="9" t="s">
        <v>55</v>
      </c>
      <c r="E122" t="s">
        <v>15</v>
      </c>
      <c r="F122" t="s">
        <v>97</v>
      </c>
      <c r="G122" s="6">
        <f t="shared" si="2"/>
        <v>22.67373380447586</v>
      </c>
      <c r="H122" t="s">
        <v>97</v>
      </c>
      <c r="I122" s="6">
        <f t="shared" si="2"/>
        <v>21.491050223020338</v>
      </c>
      <c r="J122" t="s">
        <v>97</v>
      </c>
      <c r="K122" s="6">
        <f t="shared" si="0"/>
        <v>13.082965861635957</v>
      </c>
      <c r="L122">
        <v>100</v>
      </c>
      <c r="M122" s="6">
        <f>AVERAGE(G122,I122,K122)</f>
        <v>19.082583296377383</v>
      </c>
    </row>
    <row r="123" spans="2:13" ht="12.75">
      <c r="B123" s="9" t="s">
        <v>168</v>
      </c>
      <c r="C123" t="s">
        <v>242</v>
      </c>
      <c r="D123" s="9" t="s">
        <v>55</v>
      </c>
      <c r="E123" t="s">
        <v>15</v>
      </c>
      <c r="G123" s="6">
        <f t="shared" si="2"/>
        <v>25.1472320376914</v>
      </c>
      <c r="I123" s="6">
        <f t="shared" si="2"/>
        <v>24.329490818513587</v>
      </c>
      <c r="K123" s="6">
        <f t="shared" si="0"/>
        <v>54.37607686242445</v>
      </c>
      <c r="M123" s="6">
        <f aca="true" t="shared" si="3" ref="M123:M128">AVERAGE(G123,I123,K123)</f>
        <v>34.61759990620981</v>
      </c>
    </row>
    <row r="124" spans="2:13" ht="12.75">
      <c r="B124" s="9" t="s">
        <v>169</v>
      </c>
      <c r="C124" t="s">
        <v>242</v>
      </c>
      <c r="D124" s="9" t="s">
        <v>55</v>
      </c>
      <c r="E124" t="s">
        <v>15</v>
      </c>
      <c r="G124" s="6">
        <f t="shared" si="2"/>
        <v>30.91872791519435</v>
      </c>
      <c r="H124" t="s">
        <v>97</v>
      </c>
      <c r="I124" s="6">
        <f t="shared" si="2"/>
        <v>27.16793141400684</v>
      </c>
      <c r="K124" s="6">
        <f t="shared" si="0"/>
        <v>10.221067079403092</v>
      </c>
      <c r="M124" s="6">
        <f t="shared" si="3"/>
        <v>22.769242136201427</v>
      </c>
    </row>
    <row r="125" spans="2:13" ht="12.75">
      <c r="B125" s="9" t="s">
        <v>170</v>
      </c>
      <c r="C125" t="s">
        <v>242</v>
      </c>
      <c r="D125" s="9" t="s">
        <v>55</v>
      </c>
      <c r="E125" t="s">
        <v>15</v>
      </c>
      <c r="F125" t="s">
        <v>97</v>
      </c>
      <c r="G125" s="6">
        <f t="shared" si="2"/>
        <v>1.2367491166077738</v>
      </c>
      <c r="H125" t="s">
        <v>97</v>
      </c>
      <c r="I125" s="6">
        <f t="shared" si="2"/>
        <v>1.6219660545675725</v>
      </c>
      <c r="J125" t="s">
        <v>97</v>
      </c>
      <c r="K125" s="6">
        <f t="shared" si="0"/>
        <v>0.8176853663522473</v>
      </c>
      <c r="M125" s="6">
        <f t="shared" si="3"/>
        <v>1.225466845842531</v>
      </c>
    </row>
    <row r="126" spans="2:13" ht="12.75">
      <c r="B126" s="9" t="s">
        <v>171</v>
      </c>
      <c r="C126" t="s">
        <v>242</v>
      </c>
      <c r="D126" s="9" t="s">
        <v>55</v>
      </c>
      <c r="E126" t="s">
        <v>15</v>
      </c>
      <c r="F126" t="s">
        <v>97</v>
      </c>
      <c r="G126" s="6">
        <f t="shared" si="2"/>
        <v>0.41224970553592466</v>
      </c>
      <c r="H126" t="s">
        <v>97</v>
      </c>
      <c r="I126" s="6">
        <f t="shared" si="2"/>
        <v>0.8109830272837862</v>
      </c>
      <c r="J126" t="s">
        <v>97</v>
      </c>
      <c r="K126" s="6">
        <f t="shared" si="0"/>
        <v>0.40884268317612366</v>
      </c>
      <c r="M126" s="6">
        <f t="shared" si="3"/>
        <v>0.5440251386652782</v>
      </c>
    </row>
    <row r="127" spans="2:13" ht="12.75">
      <c r="B127" s="9" t="s">
        <v>172</v>
      </c>
      <c r="C127" t="s">
        <v>242</v>
      </c>
      <c r="D127" s="9" t="s">
        <v>55</v>
      </c>
      <c r="E127" t="s">
        <v>15</v>
      </c>
      <c r="F127" t="s">
        <v>97</v>
      </c>
      <c r="G127" s="6">
        <f t="shared" si="2"/>
        <v>3.7102473498233213</v>
      </c>
      <c r="H127" t="s">
        <v>97</v>
      </c>
      <c r="I127" s="6">
        <f t="shared" si="2"/>
        <v>4.0549151364189315</v>
      </c>
      <c r="J127" t="s">
        <v>97</v>
      </c>
      <c r="K127" s="6">
        <f t="shared" si="0"/>
        <v>3.2707414654089892</v>
      </c>
      <c r="M127" s="6">
        <f t="shared" si="3"/>
        <v>3.678634650550414</v>
      </c>
    </row>
    <row r="128" spans="2:13" ht="12.75">
      <c r="B128" s="9" t="s">
        <v>241</v>
      </c>
      <c r="C128" t="s">
        <v>242</v>
      </c>
      <c r="D128" s="9" t="s">
        <v>55</v>
      </c>
      <c r="E128" t="s">
        <v>15</v>
      </c>
      <c r="G128" s="6">
        <f t="shared" si="2"/>
        <v>1420.2002355712605</v>
      </c>
      <c r="I128" s="6">
        <f t="shared" si="2"/>
        <v>1445.577246133349</v>
      </c>
      <c r="K128" s="6">
        <f t="shared" si="0"/>
        <v>576.8770259615104</v>
      </c>
      <c r="M128" s="6">
        <f t="shared" si="3"/>
        <v>1147.5515025553732</v>
      </c>
    </row>
    <row r="129" ht="12.75"/>
    <row r="130" spans="2:13" ht="12.75">
      <c r="B130" s="9" t="s">
        <v>56</v>
      </c>
      <c r="C130" t="s">
        <v>242</v>
      </c>
      <c r="D130" s="9" t="s">
        <v>55</v>
      </c>
      <c r="E130" t="s">
        <v>15</v>
      </c>
      <c r="G130" s="6">
        <f>G116+G120</f>
        <v>13099.64664310954</v>
      </c>
      <c r="I130" s="6">
        <f>I116+I120</f>
        <v>11399.582923014541</v>
      </c>
      <c r="K130" s="6">
        <f>K116+K120</f>
        <v>9742.312297403849</v>
      </c>
      <c r="M130" s="6">
        <f>AVERAGE(G130,I130,K130)</f>
        <v>11413.847287842642</v>
      </c>
    </row>
    <row r="131" spans="2:13" ht="12.75">
      <c r="B131" s="9" t="s">
        <v>57</v>
      </c>
      <c r="C131" t="s">
        <v>242</v>
      </c>
      <c r="D131" s="9" t="s">
        <v>55</v>
      </c>
      <c r="E131" t="s">
        <v>15</v>
      </c>
      <c r="G131" s="6">
        <f>G113+G117+G115</f>
        <v>2425.265017667845</v>
      </c>
      <c r="I131" s="6">
        <f>I113+I117+I115</f>
        <v>2113.0162775879053</v>
      </c>
      <c r="K131" s="6">
        <f>K113+K117+K115</f>
        <v>1639.0503168530795</v>
      </c>
      <c r="M131" s="6">
        <f>AVERAGE(G131,I131,K131)</f>
        <v>2059.11053736961</v>
      </c>
    </row>
    <row r="132" ht="12.75"/>
    <row r="133" spans="2:13" ht="12.75">
      <c r="B133" s="9" t="s">
        <v>50</v>
      </c>
      <c r="C133" t="s">
        <v>236</v>
      </c>
      <c r="D133" t="s">
        <v>16</v>
      </c>
      <c r="E133" t="s">
        <v>15</v>
      </c>
      <c r="G133" s="6">
        <f>G77*1000000/G100/1450/60/0.0283*(21-7)/(21-G101)</f>
        <v>1.2769732251425872</v>
      </c>
      <c r="I133" s="6">
        <f>I77*1000000/I100/1450/60/0.0283*(21-7)/(21-I101)</f>
        <v>0.9928088826489163</v>
      </c>
      <c r="K133" s="6">
        <f>K77*1000000/K100/1450/60/0.0283*(21-7)/(21-K101)</f>
        <v>1.135898567245074</v>
      </c>
      <c r="M133" s="6">
        <f>AVERAGE(G133,I133,K133)</f>
        <v>1.1352268916788593</v>
      </c>
    </row>
    <row r="134" spans="2:13" ht="12.75">
      <c r="B134" s="9" t="s">
        <v>51</v>
      </c>
      <c r="C134" s="9" t="s">
        <v>236</v>
      </c>
      <c r="D134" t="s">
        <v>16</v>
      </c>
      <c r="E134" t="s">
        <v>15</v>
      </c>
      <c r="G134" s="6">
        <f>G78*1000000/G100/(1450/2)/60/0.0283*(21-7)/(21-G101)</f>
        <v>0.20935784206200356</v>
      </c>
      <c r="H134"/>
      <c r="I134" s="6">
        <f>I78*1000000/I100/(1450/2)/60/0.0283*(21-7)/(21-I101)</f>
        <v>0.20345246068076317</v>
      </c>
      <c r="J134"/>
      <c r="K134" s="6">
        <f>K78*1000000/K100/(1450/2)/60/0.0283*(21-7)/(21-K101)</f>
        <v>0.15691794640292772</v>
      </c>
      <c r="L134" s="24"/>
      <c r="M134" s="6">
        <f>AVERAGE(G134,I134,K134)</f>
        <v>0.18990941638189818</v>
      </c>
    </row>
    <row r="135" spans="2:13" ht="12.75">
      <c r="B135" s="9" t="s">
        <v>237</v>
      </c>
      <c r="C135" s="9" t="s">
        <v>236</v>
      </c>
      <c r="D135" t="s">
        <v>16</v>
      </c>
      <c r="E135" t="s">
        <v>15</v>
      </c>
      <c r="G135" s="6">
        <f>G133+2*G134</f>
        <v>1.6956889092665943</v>
      </c>
      <c r="H135"/>
      <c r="I135" s="6">
        <f>I133+2*I134</f>
        <v>1.3997138040104427</v>
      </c>
      <c r="J135"/>
      <c r="K135" s="6">
        <f>K133+2*K134</f>
        <v>1.4497344600509297</v>
      </c>
      <c r="L135" s="24"/>
      <c r="M135" s="6">
        <f>AVERAGE(G135,I135,K135)</f>
        <v>1.5150457244426556</v>
      </c>
    </row>
    <row r="136" spans="2:3" ht="12.75">
      <c r="B136" s="9"/>
      <c r="C136" s="9"/>
    </row>
    <row r="137" spans="2:12" ht="12.75">
      <c r="B137" s="22"/>
      <c r="C137" s="22"/>
      <c r="G137" s="20"/>
      <c r="H137" s="20"/>
      <c r="I137" s="21"/>
      <c r="J137" s="20"/>
      <c r="K137" s="20"/>
      <c r="L137" s="20"/>
    </row>
    <row r="138" spans="2:12" ht="12.75">
      <c r="B138" s="9"/>
      <c r="C138" s="9"/>
      <c r="D138" s="13"/>
      <c r="E138" s="13"/>
      <c r="F138" s="13"/>
      <c r="G138" s="13"/>
      <c r="H138" s="13"/>
      <c r="I138" s="23"/>
      <c r="J138" s="13"/>
      <c r="K138" s="13"/>
      <c r="L138" s="13"/>
    </row>
    <row r="139" spans="2:12" ht="12.75">
      <c r="B139" s="9"/>
      <c r="C139" s="9"/>
      <c r="G139" s="24"/>
      <c r="H139" s="24"/>
      <c r="I139" s="25"/>
      <c r="J139" s="24"/>
      <c r="K139" s="24"/>
      <c r="L139" s="24"/>
    </row>
    <row r="140" spans="2:12" ht="12.75">
      <c r="B140" s="9"/>
      <c r="C140" s="9"/>
      <c r="G140" s="24"/>
      <c r="H140" s="24"/>
      <c r="I140" s="25"/>
      <c r="J140" s="24"/>
      <c r="K140" s="24"/>
      <c r="L140" s="24"/>
    </row>
    <row r="141" spans="2:12" ht="12.75">
      <c r="B141" s="9"/>
      <c r="C141" s="9"/>
      <c r="G141" s="24"/>
      <c r="H141" s="24"/>
      <c r="I141" s="25"/>
      <c r="J141" s="24"/>
      <c r="K141" s="24"/>
      <c r="L141" s="24"/>
    </row>
    <row r="142" spans="2:12" ht="12.75">
      <c r="B142" s="9"/>
      <c r="C142" s="9"/>
      <c r="G142" s="24"/>
      <c r="H142" s="24"/>
      <c r="I142" s="25"/>
      <c r="J142" s="24"/>
      <c r="K142" s="24"/>
      <c r="L142" s="24"/>
    </row>
    <row r="143" spans="2:12" ht="12.75">
      <c r="B143" s="9"/>
      <c r="C143" s="9"/>
      <c r="G143" s="24"/>
      <c r="H143" s="24"/>
      <c r="I143" s="25"/>
      <c r="J143" s="24"/>
      <c r="K143" s="24"/>
      <c r="L143" s="24"/>
    </row>
    <row r="144" spans="2:12" ht="12.75">
      <c r="B144" s="9"/>
      <c r="C144" s="9"/>
      <c r="G144" s="24"/>
      <c r="H144" s="24"/>
      <c r="I144" s="25"/>
      <c r="J144" s="24"/>
      <c r="K144" s="24"/>
      <c r="L144" s="24"/>
    </row>
    <row r="145" spans="2:12" ht="12.75">
      <c r="B145" s="9"/>
      <c r="C145" s="9"/>
      <c r="G145" s="24"/>
      <c r="H145" s="24"/>
      <c r="I145" s="25"/>
      <c r="J145" s="24"/>
      <c r="K145" s="24"/>
      <c r="L145" s="24"/>
    </row>
    <row r="146" spans="2:12" ht="12.75">
      <c r="B146" s="9"/>
      <c r="C146" s="9"/>
      <c r="G146" s="24"/>
      <c r="H146" s="24"/>
      <c r="I146" s="25"/>
      <c r="J146" s="24"/>
      <c r="K146" s="24"/>
      <c r="L146" s="24"/>
    </row>
    <row r="147" spans="2:12" ht="12.75">
      <c r="B147" s="9"/>
      <c r="C147" s="9"/>
      <c r="G147" s="24"/>
      <c r="H147" s="24"/>
      <c r="I147" s="25"/>
      <c r="J147" s="10"/>
      <c r="K147" s="24"/>
      <c r="L147" s="24"/>
    </row>
    <row r="148" spans="2:12" ht="12.75">
      <c r="B148" s="9"/>
      <c r="C148" s="9"/>
      <c r="G148" s="24"/>
      <c r="H148" s="24"/>
      <c r="I148" s="25"/>
      <c r="J148" s="24"/>
      <c r="K148" s="24"/>
      <c r="L148" s="24"/>
    </row>
    <row r="149" spans="2:12" ht="12.75">
      <c r="B149" s="9"/>
      <c r="C149" s="9"/>
      <c r="G149" s="24"/>
      <c r="H149" s="24"/>
      <c r="I149" s="25"/>
      <c r="J149" s="24"/>
      <c r="K149" s="24"/>
      <c r="L149" s="24"/>
    </row>
    <row r="150" spans="2:12" ht="12.75">
      <c r="B150" s="9"/>
      <c r="C150" s="9"/>
      <c r="G150" s="24"/>
      <c r="H150" s="24"/>
      <c r="I150" s="25"/>
      <c r="J150" s="24"/>
      <c r="K150" s="24"/>
      <c r="L150" s="24"/>
    </row>
    <row r="151" spans="2:3" ht="12.75">
      <c r="B151" s="9"/>
      <c r="C151" s="9"/>
    </row>
    <row r="152" spans="2:12" ht="12.75">
      <c r="B152" s="9"/>
      <c r="C152" s="9"/>
      <c r="G152" s="24"/>
      <c r="H152" s="24"/>
      <c r="I152" s="25"/>
      <c r="J152" s="24"/>
      <c r="K152" s="24"/>
      <c r="L152" s="24"/>
    </row>
    <row r="153" spans="2:12" ht="12.75">
      <c r="B153" s="9"/>
      <c r="C153" s="9"/>
      <c r="G153" s="24"/>
      <c r="H153" s="24"/>
      <c r="I153" s="25"/>
      <c r="J153" s="10"/>
      <c r="K153" s="24"/>
      <c r="L153" s="24"/>
    </row>
    <row r="154" spans="2:12" ht="12.75">
      <c r="B154" s="9"/>
      <c r="C154" s="9"/>
      <c r="G154" s="24"/>
      <c r="H154" s="24"/>
      <c r="I154" s="25"/>
      <c r="J154" s="24"/>
      <c r="K154" s="24"/>
      <c r="L154" s="24"/>
    </row>
    <row r="155" spans="2:12" ht="12.75">
      <c r="B155" s="9"/>
      <c r="C155" s="9"/>
      <c r="G155" s="24"/>
      <c r="H155" s="24"/>
      <c r="I155" s="25"/>
      <c r="J155" s="24"/>
      <c r="K155" s="24"/>
      <c r="L155" s="24"/>
    </row>
    <row r="156" spans="2:12" ht="12.75">
      <c r="B156" s="9"/>
      <c r="C156" s="9"/>
      <c r="G156" s="24"/>
      <c r="H156" s="24"/>
      <c r="I156" s="25"/>
      <c r="J156" s="24"/>
      <c r="K156" s="24"/>
      <c r="L156" s="24"/>
    </row>
    <row r="157" spans="7:12" ht="12.75">
      <c r="G157" s="26"/>
      <c r="K157" s="26"/>
      <c r="L157" s="26"/>
    </row>
    <row r="159" spans="2:3" ht="12.75">
      <c r="B159" s="17"/>
      <c r="C159" s="17"/>
    </row>
    <row r="160" spans="2:3" ht="12.75">
      <c r="B160" s="9"/>
      <c r="C160" s="9"/>
    </row>
    <row r="161" spans="2:3" ht="12.75">
      <c r="B161" s="22"/>
      <c r="C161" s="22"/>
    </row>
    <row r="162" spans="2:3" ht="12.75">
      <c r="B162" s="9"/>
      <c r="C162" s="9"/>
    </row>
    <row r="163" spans="2:9" ht="12.75">
      <c r="B163" s="9"/>
      <c r="C163" s="9"/>
      <c r="G163" s="24"/>
      <c r="I163" s="25"/>
    </row>
    <row r="164" spans="2:9" ht="12.75">
      <c r="B164" s="9"/>
      <c r="C164" s="9"/>
      <c r="G164" s="24"/>
      <c r="I164" s="25"/>
    </row>
    <row r="165" spans="7:9" ht="12.75">
      <c r="G165" s="24"/>
      <c r="I165" s="25"/>
    </row>
    <row r="166" spans="2:12" ht="12.75">
      <c r="B166" s="9"/>
      <c r="C166" s="9"/>
      <c r="G166" s="24"/>
      <c r="H166" s="20"/>
      <c r="I166" s="25"/>
      <c r="J166" s="20"/>
      <c r="K166" s="24"/>
      <c r="L166" s="24"/>
    </row>
    <row r="167" spans="7:9" ht="12.75">
      <c r="G167" s="24"/>
      <c r="I167" s="25"/>
    </row>
    <row r="168" spans="2:9" ht="12.75">
      <c r="B168" s="9"/>
      <c r="C168" s="9"/>
      <c r="G168" s="24"/>
      <c r="I168" s="25"/>
    </row>
    <row r="169" spans="2:9" ht="12.75">
      <c r="B169" s="9"/>
      <c r="C169" s="9"/>
      <c r="G169" s="24"/>
      <c r="I169" s="25"/>
    </row>
    <row r="170" spans="2:9" ht="12.75">
      <c r="B170" s="9"/>
      <c r="C170" s="9"/>
      <c r="G170" s="24"/>
      <c r="I170" s="25"/>
    </row>
    <row r="171" spans="2:9" ht="12.75">
      <c r="B171" s="9"/>
      <c r="C171" s="9"/>
      <c r="G171" s="24"/>
      <c r="I171" s="25"/>
    </row>
    <row r="172" spans="7:9" ht="12.75">
      <c r="G172" s="24"/>
      <c r="I172" s="25"/>
    </row>
    <row r="173" spans="2:12" ht="12.75">
      <c r="B173" s="17"/>
      <c r="C173" s="17"/>
      <c r="G173" s="20"/>
      <c r="H173" s="20"/>
      <c r="I173" s="21"/>
      <c r="J173" s="20"/>
      <c r="K173" s="20"/>
      <c r="L173" s="20"/>
    </row>
    <row r="176" spans="7:12" ht="12.75">
      <c r="G176" s="26"/>
      <c r="K176" s="26"/>
      <c r="L176" s="26"/>
    </row>
    <row r="177" spans="7:12" ht="12.75">
      <c r="G177" s="26"/>
      <c r="K177" s="26"/>
      <c r="L177" s="26"/>
    </row>
    <row r="178" spans="7:12" ht="12.75">
      <c r="G178" s="26"/>
      <c r="K178" s="26"/>
      <c r="L178" s="26"/>
    </row>
    <row r="179" spans="7:12" ht="12.75">
      <c r="G179" s="26"/>
      <c r="K179" s="26"/>
      <c r="L179" s="26"/>
    </row>
    <row r="180" spans="7:12" ht="12.75">
      <c r="G180" s="26"/>
      <c r="K180" s="26"/>
      <c r="L180" s="26"/>
    </row>
    <row r="181" spans="7:12" ht="12.75">
      <c r="G181" s="26"/>
      <c r="K181" s="26"/>
      <c r="L181" s="26"/>
    </row>
    <row r="182" spans="7:12" ht="12.75">
      <c r="G182" s="26"/>
      <c r="K182" s="26"/>
      <c r="L182" s="26"/>
    </row>
    <row r="183" spans="7:12" ht="12.75">
      <c r="G183" s="26"/>
      <c r="K183" s="26"/>
      <c r="L183" s="26"/>
    </row>
    <row r="184" spans="7:12" ht="12.75">
      <c r="G184" s="26"/>
      <c r="K184" s="26"/>
      <c r="L184" s="26"/>
    </row>
    <row r="185" spans="7:12" ht="12.75">
      <c r="G185" s="26"/>
      <c r="K185" s="26"/>
      <c r="L185" s="26"/>
    </row>
    <row r="186" spans="7:12" ht="12.75">
      <c r="G186" s="26"/>
      <c r="K186" s="26"/>
      <c r="L186" s="26"/>
    </row>
    <row r="187" spans="7:12" ht="12.75">
      <c r="G187" s="26"/>
      <c r="K187" s="26"/>
      <c r="L187" s="26"/>
    </row>
    <row r="189" spans="7:12" ht="12.75">
      <c r="G189" s="26"/>
      <c r="K189" s="26"/>
      <c r="L189" s="2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19"/>
  <sheetViews>
    <sheetView workbookViewId="0" topLeftCell="B1">
      <selection activeCell="B33" sqref="B33"/>
    </sheetView>
  </sheetViews>
  <sheetFormatPr defaultColWidth="9.140625" defaultRowHeight="12.75"/>
  <cols>
    <col min="1" max="1" width="1.421875" style="63" hidden="1" customWidth="1"/>
    <col min="2" max="2" width="21.7109375" style="63" customWidth="1"/>
    <col min="3" max="3" width="8.8515625" style="63" customWidth="1"/>
    <col min="4" max="4" width="8.00390625" style="63" customWidth="1"/>
    <col min="5" max="5" width="3.421875" style="63" customWidth="1"/>
    <col min="6" max="6" width="2.7109375" style="63" customWidth="1"/>
    <col min="7" max="7" width="10.140625" style="63" customWidth="1"/>
    <col min="8" max="8" width="2.421875" style="63" customWidth="1"/>
    <col min="9" max="9" width="11.7109375" style="63" customWidth="1"/>
    <col min="10" max="10" width="2.8515625" style="63" customWidth="1"/>
    <col min="11" max="11" width="11.00390625" style="63" customWidth="1"/>
    <col min="12" max="12" width="2.8515625" style="63" customWidth="1"/>
    <col min="13" max="13" width="11.57421875" style="63" customWidth="1"/>
    <col min="14" max="14" width="2.7109375" style="63" hidden="1" customWidth="1"/>
    <col min="15" max="15" width="6.00390625" style="63" hidden="1" customWidth="1"/>
    <col min="16" max="16" width="2.57421875" style="63" hidden="1" customWidth="1"/>
    <col min="17" max="17" width="7.00390625" style="63" hidden="1" customWidth="1"/>
    <col min="18" max="18" width="2.00390625" style="63" hidden="1" customWidth="1"/>
    <col min="19" max="19" width="7.00390625" style="63" hidden="1" customWidth="1"/>
    <col min="20" max="20" width="2.00390625" style="63" hidden="1" customWidth="1"/>
    <col min="21" max="21" width="7.00390625" style="63" hidden="1" customWidth="1"/>
    <col min="22" max="22" width="2.00390625" style="63" hidden="1" customWidth="1"/>
    <col min="23" max="23" width="6.00390625" style="63" hidden="1" customWidth="1"/>
    <col min="24" max="24" width="1.8515625" style="63" hidden="1" customWidth="1"/>
    <col min="25" max="25" width="6.00390625" style="63" bestFit="1" customWidth="1"/>
    <col min="26" max="26" width="2.00390625" style="63" customWidth="1"/>
    <col min="27" max="27" width="6.00390625" style="63" bestFit="1" customWidth="1"/>
    <col min="28" max="28" width="3.421875" style="63" customWidth="1"/>
    <col min="29" max="29" width="6.00390625" style="63" bestFit="1" customWidth="1"/>
    <col min="30" max="30" width="4.140625" style="63" customWidth="1"/>
    <col min="31" max="31" width="6.00390625" style="63" bestFit="1" customWidth="1"/>
    <col min="32" max="32" width="4.140625" style="63" customWidth="1"/>
    <col min="33" max="33" width="6.00390625" style="63" bestFit="1" customWidth="1"/>
    <col min="34" max="16384" width="9.140625" style="63" customWidth="1"/>
  </cols>
  <sheetData>
    <row r="1" ht="12.75">
      <c r="B1" s="64" t="s">
        <v>218</v>
      </c>
    </row>
    <row r="2" ht="12.75">
      <c r="B2" s="64"/>
    </row>
    <row r="3" ht="12.75">
      <c r="B3" s="64"/>
    </row>
    <row r="4" spans="2:13" ht="12.75">
      <c r="B4" s="64" t="s">
        <v>196</v>
      </c>
      <c r="G4" s="75" t="s">
        <v>197</v>
      </c>
      <c r="H4" s="75"/>
      <c r="I4" s="75" t="s">
        <v>198</v>
      </c>
      <c r="J4" s="75"/>
      <c r="K4" s="75" t="s">
        <v>199</v>
      </c>
      <c r="L4" s="75"/>
      <c r="M4" s="75" t="s">
        <v>47</v>
      </c>
    </row>
    <row r="6" spans="1:24" s="65" customFormat="1" ht="12.75">
      <c r="A6" s="65" t="s">
        <v>196</v>
      </c>
      <c r="B6" s="65" t="s">
        <v>13</v>
      </c>
      <c r="C6" s="65" t="s">
        <v>236</v>
      </c>
      <c r="D6" s="65" t="s">
        <v>14</v>
      </c>
      <c r="E6" s="65" t="s">
        <v>15</v>
      </c>
      <c r="F6" s="66" t="s">
        <v>200</v>
      </c>
      <c r="G6" s="67">
        <v>0.032700324384</v>
      </c>
      <c r="H6" s="67" t="s">
        <v>200</v>
      </c>
      <c r="I6" s="67">
        <v>0.024400242048</v>
      </c>
      <c r="J6" s="67" t="s">
        <v>200</v>
      </c>
      <c r="K6" s="67">
        <v>0.017700175584</v>
      </c>
      <c r="L6" s="67" t="s">
        <v>200</v>
      </c>
      <c r="M6" s="67">
        <f>AVERAGE(G6,I6,K6)</f>
        <v>0.024933580671999998</v>
      </c>
      <c r="N6" s="67" t="s">
        <v>200</v>
      </c>
      <c r="O6" s="67"/>
      <c r="P6" s="67" t="s">
        <v>200</v>
      </c>
      <c r="Q6" s="67"/>
      <c r="R6" s="67" t="s">
        <v>200</v>
      </c>
      <c r="S6" s="67"/>
      <c r="T6" s="67" t="s">
        <v>200</v>
      </c>
      <c r="U6" s="67"/>
      <c r="V6" s="66" t="s">
        <v>200</v>
      </c>
      <c r="W6" s="66"/>
      <c r="X6" s="65">
        <v>0.024933580671999998</v>
      </c>
    </row>
    <row r="7" spans="1:24" s="65" customFormat="1" ht="12.75">
      <c r="A7" s="65" t="s">
        <v>196</v>
      </c>
      <c r="B7" s="65" t="s">
        <v>101</v>
      </c>
      <c r="C7" s="65" t="s">
        <v>236</v>
      </c>
      <c r="D7" s="65" t="s">
        <v>16</v>
      </c>
      <c r="E7" s="65" t="s">
        <v>15</v>
      </c>
      <c r="F7" s="66" t="s">
        <v>200</v>
      </c>
      <c r="G7" s="68"/>
      <c r="H7" s="68" t="s">
        <v>200</v>
      </c>
      <c r="I7" s="68">
        <v>16</v>
      </c>
      <c r="J7" s="68" t="s">
        <v>200</v>
      </c>
      <c r="K7" s="68">
        <v>6</v>
      </c>
      <c r="L7" s="66" t="s">
        <v>200</v>
      </c>
      <c r="M7" s="68">
        <f>AVERAGE(G7,I7,K7/2)</f>
        <v>9.5</v>
      </c>
      <c r="N7" s="66" t="s">
        <v>200</v>
      </c>
      <c r="O7" s="66"/>
      <c r="P7" s="66" t="s">
        <v>200</v>
      </c>
      <c r="Q7" s="66"/>
      <c r="R7" s="66" t="s">
        <v>200</v>
      </c>
      <c r="S7" s="66"/>
      <c r="T7" s="66" t="s">
        <v>200</v>
      </c>
      <c r="U7" s="66"/>
      <c r="V7" s="66" t="s">
        <v>200</v>
      </c>
      <c r="W7" s="66"/>
      <c r="X7" s="65">
        <v>11</v>
      </c>
    </row>
    <row r="8" spans="1:24" s="65" customFormat="1" ht="12.75">
      <c r="A8" s="65" t="s">
        <v>196</v>
      </c>
      <c r="B8" s="65" t="s">
        <v>50</v>
      </c>
      <c r="C8" s="65" t="s">
        <v>236</v>
      </c>
      <c r="D8" s="65" t="s">
        <v>16</v>
      </c>
      <c r="E8" s="65" t="s">
        <v>15</v>
      </c>
      <c r="F8" s="66" t="s">
        <v>200</v>
      </c>
      <c r="G8" s="68">
        <v>9.572155629368265</v>
      </c>
      <c r="H8" s="68" t="s">
        <v>200</v>
      </c>
      <c r="I8" s="68">
        <v>6.733480707919119</v>
      </c>
      <c r="J8" s="68" t="s">
        <v>97</v>
      </c>
      <c r="K8" s="68">
        <v>4.567043497207481</v>
      </c>
      <c r="L8" s="66" t="s">
        <v>200</v>
      </c>
      <c r="M8" s="68">
        <f>AVERAGE(G8,I8,K8/2)</f>
        <v>6.196386028630374</v>
      </c>
      <c r="N8" s="66" t="s">
        <v>200</v>
      </c>
      <c r="O8" s="66"/>
      <c r="P8" s="66" t="s">
        <v>200</v>
      </c>
      <c r="Q8" s="66"/>
      <c r="R8" s="66" t="s">
        <v>200</v>
      </c>
      <c r="S8" s="66"/>
      <c r="T8" s="66" t="s">
        <v>200</v>
      </c>
      <c r="U8" s="66"/>
      <c r="V8" s="66" t="s">
        <v>200</v>
      </c>
      <c r="W8" s="66"/>
      <c r="X8" s="65">
        <v>6.957559944831622</v>
      </c>
    </row>
    <row r="9" spans="2:23" s="65" customFormat="1" ht="12.75">
      <c r="B9" s="65" t="s">
        <v>237</v>
      </c>
      <c r="C9" s="65" t="s">
        <v>236</v>
      </c>
      <c r="D9" s="65" t="s">
        <v>16</v>
      </c>
      <c r="E9" s="65" t="s">
        <v>15</v>
      </c>
      <c r="F9" s="66"/>
      <c r="G9" s="68">
        <f>G8</f>
        <v>9.572155629368265</v>
      </c>
      <c r="H9" s="68"/>
      <c r="I9" s="68">
        <f>I8</f>
        <v>6.733480707919119</v>
      </c>
      <c r="J9" s="68"/>
      <c r="K9" s="68">
        <f>K8</f>
        <v>4.567043497207481</v>
      </c>
      <c r="L9" s="66"/>
      <c r="M9" s="68">
        <f>M8</f>
        <v>6.196386028630374</v>
      </c>
      <c r="N9" s="66"/>
      <c r="O9" s="66"/>
      <c r="P9" s="66"/>
      <c r="Q9" s="66"/>
      <c r="R9" s="66"/>
      <c r="S9" s="66"/>
      <c r="T9" s="66"/>
      <c r="U9" s="66"/>
      <c r="V9" s="66"/>
      <c r="W9" s="66"/>
    </row>
    <row r="11" spans="2:4" ht="12.75">
      <c r="B11" s="63" t="s">
        <v>82</v>
      </c>
      <c r="C11" s="65" t="s">
        <v>201</v>
      </c>
      <c r="D11" s="63" t="s">
        <v>236</v>
      </c>
    </row>
    <row r="12" spans="2:63" s="65" customFormat="1" ht="12.75">
      <c r="B12" s="9" t="s">
        <v>77</v>
      </c>
      <c r="C12" s="9"/>
      <c r="D12" s="9" t="s">
        <v>17</v>
      </c>
      <c r="G12" s="68">
        <v>9284</v>
      </c>
      <c r="H12" s="68"/>
      <c r="I12" s="68">
        <v>9486</v>
      </c>
      <c r="J12" s="68"/>
      <c r="K12" s="68">
        <v>9412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</row>
    <row r="13" spans="2:63" s="65" customFormat="1" ht="12.75">
      <c r="B13" s="9" t="s">
        <v>80</v>
      </c>
      <c r="C13" s="9"/>
      <c r="D13" s="9" t="s">
        <v>18</v>
      </c>
      <c r="G13" s="68">
        <v>12.1</v>
      </c>
      <c r="H13" s="68"/>
      <c r="I13" s="68">
        <v>12.1</v>
      </c>
      <c r="J13" s="68"/>
      <c r="K13" s="68">
        <v>11.8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</row>
    <row r="14" spans="1:63" s="65" customFormat="1" ht="12.75">
      <c r="A14" s="65" t="s">
        <v>196</v>
      </c>
      <c r="B14" s="9" t="s">
        <v>81</v>
      </c>
      <c r="C14" s="9"/>
      <c r="D14" s="9" t="s">
        <v>18</v>
      </c>
      <c r="G14" s="68">
        <v>44.4</v>
      </c>
      <c r="H14" s="68"/>
      <c r="I14" s="68">
        <v>45.7</v>
      </c>
      <c r="J14" s="68"/>
      <c r="K14" s="68">
        <v>46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</row>
    <row r="15" spans="2:63" s="65" customFormat="1" ht="12.75">
      <c r="B15" s="9" t="s">
        <v>76</v>
      </c>
      <c r="C15" s="9"/>
      <c r="D15" s="9" t="s">
        <v>19</v>
      </c>
      <c r="G15" s="68">
        <v>174</v>
      </c>
      <c r="H15" s="68"/>
      <c r="I15" s="68">
        <v>176</v>
      </c>
      <c r="J15" s="68"/>
      <c r="K15" s="68">
        <v>178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</row>
    <row r="17" spans="1:57" s="69" customFormat="1" ht="12.75">
      <c r="A17" s="69" t="s">
        <v>196</v>
      </c>
      <c r="B17" s="69" t="s">
        <v>133</v>
      </c>
      <c r="C17" s="69" t="s">
        <v>236</v>
      </c>
      <c r="D17" s="69" t="s">
        <v>18</v>
      </c>
      <c r="G17" s="70">
        <v>99.999</v>
      </c>
      <c r="H17" s="70"/>
      <c r="I17" s="70">
        <v>99.99911</v>
      </c>
      <c r="J17" s="70"/>
      <c r="K17" s="70">
        <v>99.9983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</row>
    <row r="18" spans="1:57" s="69" customFormat="1" ht="12.75">
      <c r="A18" s="69" t="s">
        <v>196</v>
      </c>
      <c r="B18" s="69" t="s">
        <v>202</v>
      </c>
      <c r="C18" s="69" t="s">
        <v>236</v>
      </c>
      <c r="D18" s="69" t="s">
        <v>18</v>
      </c>
      <c r="G18" s="70">
        <v>99.9973</v>
      </c>
      <c r="H18" s="70"/>
      <c r="I18" s="70">
        <v>99.9975</v>
      </c>
      <c r="J18" s="70"/>
      <c r="K18" s="70">
        <v>99.9975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</row>
    <row r="19" spans="1:57" s="69" customFormat="1" ht="12.75">
      <c r="A19" s="69" t="s">
        <v>196</v>
      </c>
      <c r="B19" s="69" t="s">
        <v>203</v>
      </c>
      <c r="C19" s="69" t="s">
        <v>236</v>
      </c>
      <c r="D19" s="69" t="s">
        <v>18</v>
      </c>
      <c r="G19" s="70">
        <v>99.99935</v>
      </c>
      <c r="H19" s="70"/>
      <c r="I19" s="70">
        <v>99.9965</v>
      </c>
      <c r="J19" s="70"/>
      <c r="K19" s="70">
        <v>99.9982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101"/>
  <sheetViews>
    <sheetView workbookViewId="0" topLeftCell="B1">
      <selection activeCell="B33" sqref="B33"/>
    </sheetView>
  </sheetViews>
  <sheetFormatPr defaultColWidth="9.140625" defaultRowHeight="12.75"/>
  <cols>
    <col min="1" max="1" width="2.28125" style="28" hidden="1" customWidth="1"/>
    <col min="2" max="2" width="22.57421875" style="11" customWidth="1"/>
    <col min="3" max="3" width="6.421875" style="11" customWidth="1"/>
    <col min="4" max="4" width="9.57421875" style="11" customWidth="1"/>
    <col min="5" max="5" width="2.8515625" style="28" customWidth="1"/>
    <col min="6" max="6" width="10.7109375" style="29" customWidth="1"/>
    <col min="7" max="7" width="1.1484375" style="29" customWidth="1"/>
    <col min="8" max="8" width="10.7109375" style="28" customWidth="1"/>
    <col min="9" max="9" width="0.85546875" style="28" customWidth="1"/>
    <col min="10" max="10" width="10.7109375" style="28" customWidth="1"/>
    <col min="11" max="11" width="1.8515625" style="28" customWidth="1"/>
    <col min="12" max="12" width="9.421875" style="28" customWidth="1"/>
    <col min="13" max="13" width="2.28125" style="28" customWidth="1"/>
    <col min="14" max="14" width="13.28125" style="28" customWidth="1"/>
    <col min="15" max="15" width="1.8515625" style="28" customWidth="1"/>
    <col min="16" max="16" width="15.00390625" style="28" customWidth="1"/>
    <col min="17" max="17" width="1.28515625" style="28" customWidth="1"/>
    <col min="18" max="18" width="15.28125" style="28" customWidth="1"/>
    <col min="19" max="19" width="2.28125" style="28" customWidth="1"/>
    <col min="20" max="20" width="14.28125" style="28" customWidth="1"/>
    <col min="21" max="21" width="2.00390625" style="28" customWidth="1"/>
    <col min="22" max="22" width="14.28125" style="28" customWidth="1"/>
    <col min="23" max="23" width="2.421875" style="28" customWidth="1"/>
    <col min="24" max="24" width="15.7109375" style="28" customWidth="1"/>
    <col min="25" max="25" width="1.57421875" style="28" customWidth="1"/>
    <col min="26" max="26" width="17.7109375" style="28" customWidth="1"/>
    <col min="27" max="27" width="2.00390625" style="28" customWidth="1"/>
    <col min="28" max="28" width="16.140625" style="28" customWidth="1"/>
    <col min="29" max="29" width="2.57421875" style="28" customWidth="1"/>
    <col min="30" max="30" width="8.8515625" style="28" customWidth="1"/>
    <col min="31" max="31" width="1.28515625" style="28" customWidth="1"/>
    <col min="32" max="32" width="8.8515625" style="28" customWidth="1"/>
    <col min="33" max="33" width="2.28125" style="28" customWidth="1"/>
    <col min="34" max="34" width="8.8515625" style="28" customWidth="1"/>
    <col min="35" max="35" width="1.57421875" style="28" customWidth="1"/>
    <col min="36" max="36" width="8.8515625" style="28" customWidth="1"/>
    <col min="37" max="37" width="1.421875" style="28" customWidth="1"/>
    <col min="38" max="38" width="8.8515625" style="28" customWidth="1"/>
    <col min="39" max="39" width="1.421875" style="28" customWidth="1"/>
    <col min="40" max="40" width="8.8515625" style="28" customWidth="1"/>
    <col min="41" max="41" width="1.28515625" style="28" customWidth="1"/>
    <col min="42" max="42" width="8.8515625" style="28" customWidth="1"/>
    <col min="43" max="43" width="1.57421875" style="28" customWidth="1"/>
    <col min="44" max="44" width="8.8515625" style="28" customWidth="1"/>
    <col min="45" max="45" width="2.140625" style="28" customWidth="1"/>
    <col min="46" max="46" width="8.8515625" style="28" customWidth="1"/>
    <col min="47" max="47" width="1.421875" style="28" customWidth="1"/>
    <col min="48" max="48" width="10.00390625" style="28" customWidth="1"/>
    <col min="49" max="49" width="2.421875" style="28" customWidth="1"/>
    <col min="50" max="50" width="10.28125" style="28" customWidth="1"/>
    <col min="51" max="51" width="1.57421875" style="28" customWidth="1"/>
    <col min="52" max="52" width="13.57421875" style="28" customWidth="1"/>
    <col min="53" max="53" width="2.7109375" style="28" customWidth="1"/>
    <col min="54" max="54" width="11.57421875" style="28" customWidth="1"/>
    <col min="55" max="55" width="2.57421875" style="28" customWidth="1"/>
    <col min="56" max="56" width="12.00390625" style="28" customWidth="1"/>
    <col min="57" max="57" width="2.7109375" style="28" customWidth="1"/>
    <col min="58" max="58" width="11.00390625" style="28" customWidth="1"/>
    <col min="59" max="59" width="2.8515625" style="28" customWidth="1"/>
    <col min="60" max="60" width="12.8515625" style="28" customWidth="1"/>
    <col min="61" max="16384" width="8.8515625" style="28" customWidth="1"/>
  </cols>
  <sheetData>
    <row r="1" spans="2:3" ht="12.75">
      <c r="B1" s="27" t="s">
        <v>219</v>
      </c>
      <c r="C1" s="27"/>
    </row>
    <row r="4" spans="1:60" ht="12.75">
      <c r="A4" s="28" t="s">
        <v>84</v>
      </c>
      <c r="B4" s="27" t="s">
        <v>187</v>
      </c>
      <c r="C4" s="27" t="s">
        <v>83</v>
      </c>
      <c r="F4" s="30" t="s">
        <v>197</v>
      </c>
      <c r="G4" s="30"/>
      <c r="H4" s="30" t="s">
        <v>198</v>
      </c>
      <c r="I4" s="30"/>
      <c r="J4" s="30" t="s">
        <v>199</v>
      </c>
      <c r="K4" s="30"/>
      <c r="L4" s="30" t="s">
        <v>47</v>
      </c>
      <c r="M4" s="30"/>
      <c r="N4" s="30" t="s">
        <v>197</v>
      </c>
      <c r="O4" s="30"/>
      <c r="P4" s="30" t="s">
        <v>198</v>
      </c>
      <c r="Q4" s="30"/>
      <c r="R4" s="30" t="s">
        <v>199</v>
      </c>
      <c r="S4" s="30"/>
      <c r="T4" s="30" t="s">
        <v>47</v>
      </c>
      <c r="U4" s="30"/>
      <c r="V4" s="30" t="s">
        <v>197</v>
      </c>
      <c r="W4" s="30"/>
      <c r="X4" s="30" t="s">
        <v>198</v>
      </c>
      <c r="Y4" s="30"/>
      <c r="Z4" s="30" t="s">
        <v>199</v>
      </c>
      <c r="AA4" s="30"/>
      <c r="AB4" s="30" t="s">
        <v>47</v>
      </c>
      <c r="AC4" s="30"/>
      <c r="AD4" s="30" t="s">
        <v>197</v>
      </c>
      <c r="AE4" s="30"/>
      <c r="AF4" s="30" t="s">
        <v>198</v>
      </c>
      <c r="AG4" s="30"/>
      <c r="AH4" s="30" t="s">
        <v>199</v>
      </c>
      <c r="AI4" s="30"/>
      <c r="AJ4" s="30" t="s">
        <v>47</v>
      </c>
      <c r="AK4" s="30"/>
      <c r="AL4" s="30" t="s">
        <v>197</v>
      </c>
      <c r="AM4" s="30"/>
      <c r="AN4" s="30" t="s">
        <v>198</v>
      </c>
      <c r="AO4" s="30"/>
      <c r="AP4" s="30" t="s">
        <v>199</v>
      </c>
      <c r="AQ4" s="30"/>
      <c r="AR4" s="30" t="s">
        <v>47</v>
      </c>
      <c r="AT4" s="30" t="s">
        <v>197</v>
      </c>
      <c r="AU4" s="30"/>
      <c r="AV4" s="30" t="s">
        <v>198</v>
      </c>
      <c r="AW4" s="30"/>
      <c r="AX4" s="30" t="s">
        <v>199</v>
      </c>
      <c r="AY4" s="30"/>
      <c r="AZ4" s="30" t="s">
        <v>47</v>
      </c>
      <c r="BB4" s="30" t="s">
        <v>197</v>
      </c>
      <c r="BC4" s="30"/>
      <c r="BD4" s="30" t="s">
        <v>198</v>
      </c>
      <c r="BE4" s="30"/>
      <c r="BF4" s="30" t="s">
        <v>199</v>
      </c>
      <c r="BG4" s="30"/>
      <c r="BH4" s="30" t="s">
        <v>47</v>
      </c>
    </row>
    <row r="6" spans="2:52" ht="12.75">
      <c r="B6" s="11" t="s">
        <v>260</v>
      </c>
      <c r="F6" s="30" t="s">
        <v>263</v>
      </c>
      <c r="G6" s="30"/>
      <c r="H6" s="30" t="s">
        <v>263</v>
      </c>
      <c r="I6" s="30"/>
      <c r="J6" s="30" t="s">
        <v>263</v>
      </c>
      <c r="K6" s="30"/>
      <c r="L6" s="30" t="s">
        <v>263</v>
      </c>
      <c r="M6" s="30"/>
      <c r="N6" s="30" t="s">
        <v>265</v>
      </c>
      <c r="O6" s="30"/>
      <c r="P6" s="30" t="s">
        <v>265</v>
      </c>
      <c r="Q6" s="30"/>
      <c r="R6" s="30" t="s">
        <v>265</v>
      </c>
      <c r="S6" s="30"/>
      <c r="T6" s="30" t="s">
        <v>265</v>
      </c>
      <c r="U6" s="30"/>
      <c r="V6" s="30" t="s">
        <v>266</v>
      </c>
      <c r="W6" s="30"/>
      <c r="X6" s="30" t="s">
        <v>266</v>
      </c>
      <c r="Y6" s="30"/>
      <c r="Z6" s="30" t="s">
        <v>266</v>
      </c>
      <c r="AA6" s="30"/>
      <c r="AB6" s="30" t="s">
        <v>266</v>
      </c>
      <c r="AC6" s="30"/>
      <c r="AD6" s="30" t="s">
        <v>267</v>
      </c>
      <c r="AE6" s="30"/>
      <c r="AF6" s="30" t="s">
        <v>267</v>
      </c>
      <c r="AG6" s="30"/>
      <c r="AH6" s="30" t="s">
        <v>267</v>
      </c>
      <c r="AI6" s="30"/>
      <c r="AJ6" s="30" t="s">
        <v>267</v>
      </c>
      <c r="AK6" s="30"/>
      <c r="AL6" s="20" t="s">
        <v>268</v>
      </c>
      <c r="AM6" s="20"/>
      <c r="AN6" s="20" t="s">
        <v>268</v>
      </c>
      <c r="AO6" s="20"/>
      <c r="AP6" s="20" t="s">
        <v>268</v>
      </c>
      <c r="AQ6" s="20"/>
      <c r="AR6" s="20" t="s">
        <v>268</v>
      </c>
      <c r="AS6" s="20"/>
      <c r="AT6" s="20" t="s">
        <v>269</v>
      </c>
      <c r="AU6" s="20"/>
      <c r="AV6" s="20" t="s">
        <v>269</v>
      </c>
      <c r="AW6" s="20"/>
      <c r="AX6" s="20" t="s">
        <v>269</v>
      </c>
      <c r="AY6" s="20"/>
      <c r="AZ6" s="20" t="s">
        <v>269</v>
      </c>
    </row>
    <row r="7" spans="2:52" ht="12.75">
      <c r="B7" s="11" t="s">
        <v>261</v>
      </c>
      <c r="F7" s="30" t="s">
        <v>262</v>
      </c>
      <c r="G7" s="30"/>
      <c r="H7" s="30" t="s">
        <v>262</v>
      </c>
      <c r="I7" s="30"/>
      <c r="J7" s="30" t="s">
        <v>262</v>
      </c>
      <c r="K7" s="30"/>
      <c r="L7" s="30" t="s">
        <v>262</v>
      </c>
      <c r="M7" s="30"/>
      <c r="N7" s="30" t="s">
        <v>264</v>
      </c>
      <c r="O7" s="30"/>
      <c r="P7" s="30" t="s">
        <v>264</v>
      </c>
      <c r="Q7" s="30"/>
      <c r="R7" s="30" t="s">
        <v>264</v>
      </c>
      <c r="S7" s="30"/>
      <c r="T7" s="30" t="s">
        <v>264</v>
      </c>
      <c r="U7" s="30"/>
      <c r="V7" s="30" t="s">
        <v>264</v>
      </c>
      <c r="W7" s="30"/>
      <c r="X7" s="30" t="s">
        <v>264</v>
      </c>
      <c r="Y7" s="30"/>
      <c r="Z7" s="30" t="s">
        <v>264</v>
      </c>
      <c r="AA7" s="30"/>
      <c r="AB7" s="30" t="s">
        <v>264</v>
      </c>
      <c r="AC7" s="30"/>
      <c r="AD7" s="30" t="s">
        <v>264</v>
      </c>
      <c r="AE7" s="30"/>
      <c r="AF7" s="30" t="s">
        <v>264</v>
      </c>
      <c r="AG7" s="30"/>
      <c r="AH7" s="30" t="s">
        <v>264</v>
      </c>
      <c r="AI7" s="30"/>
      <c r="AJ7" s="30" t="s">
        <v>264</v>
      </c>
      <c r="AK7" s="30"/>
      <c r="AL7" s="20" t="s">
        <v>54</v>
      </c>
      <c r="AM7" s="20"/>
      <c r="AN7" s="20" t="s">
        <v>54</v>
      </c>
      <c r="AO7" s="20"/>
      <c r="AP7" s="20" t="s">
        <v>54</v>
      </c>
      <c r="AQ7" s="20"/>
      <c r="AR7" s="20" t="s">
        <v>54</v>
      </c>
      <c r="AS7" s="20"/>
      <c r="AT7" s="20" t="s">
        <v>25</v>
      </c>
      <c r="AU7" s="20"/>
      <c r="AV7" s="20" t="s">
        <v>25</v>
      </c>
      <c r="AW7" s="20"/>
      <c r="AX7" s="20" t="s">
        <v>25</v>
      </c>
      <c r="AY7" s="20"/>
      <c r="AZ7" s="20" t="s">
        <v>25</v>
      </c>
    </row>
    <row r="8" spans="2:60" ht="12.75">
      <c r="B8" s="11" t="s">
        <v>271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0" t="s">
        <v>54</v>
      </c>
      <c r="AM8" s="20"/>
      <c r="AN8" s="20" t="s">
        <v>54</v>
      </c>
      <c r="AO8" s="20"/>
      <c r="AP8" s="20" t="s">
        <v>54</v>
      </c>
      <c r="AQ8" s="20"/>
      <c r="AR8" s="20" t="s">
        <v>54</v>
      </c>
      <c r="AS8" s="20"/>
      <c r="AT8" s="20" t="s">
        <v>25</v>
      </c>
      <c r="AU8" s="20"/>
      <c r="AV8" s="20" t="s">
        <v>25</v>
      </c>
      <c r="AW8" s="20"/>
      <c r="AX8" s="20" t="s">
        <v>25</v>
      </c>
      <c r="AY8" s="20"/>
      <c r="AZ8" s="20" t="s">
        <v>25</v>
      </c>
      <c r="BB8" s="28" t="s">
        <v>62</v>
      </c>
      <c r="BD8" s="28" t="s">
        <v>62</v>
      </c>
      <c r="BF8" s="28" t="s">
        <v>62</v>
      </c>
      <c r="BH8" s="28" t="s">
        <v>62</v>
      </c>
    </row>
    <row r="9" spans="2:52" s="56" customFormat="1" ht="38.25">
      <c r="B9" s="56" t="s">
        <v>48</v>
      </c>
      <c r="E9" s="44"/>
      <c r="F9" s="44" t="s">
        <v>154</v>
      </c>
      <c r="G9" s="44"/>
      <c r="H9" s="44" t="s">
        <v>154</v>
      </c>
      <c r="I9" s="44"/>
      <c r="J9" s="44" t="s">
        <v>154</v>
      </c>
      <c r="K9" s="44"/>
      <c r="L9" s="44" t="s">
        <v>154</v>
      </c>
      <c r="M9" s="44"/>
      <c r="N9" s="44" t="s">
        <v>155</v>
      </c>
      <c r="O9" s="44"/>
      <c r="P9" s="44" t="s">
        <v>155</v>
      </c>
      <c r="Q9" s="44"/>
      <c r="R9" s="44" t="s">
        <v>155</v>
      </c>
      <c r="S9" s="44"/>
      <c r="T9" s="44" t="s">
        <v>155</v>
      </c>
      <c r="U9" s="44"/>
      <c r="V9" s="44" t="s">
        <v>156</v>
      </c>
      <c r="W9" s="44"/>
      <c r="X9" s="44" t="s">
        <v>156</v>
      </c>
      <c r="Y9" s="44"/>
      <c r="Z9" s="44" t="s">
        <v>156</v>
      </c>
      <c r="AA9" s="44"/>
      <c r="AB9" s="44" t="s">
        <v>156</v>
      </c>
      <c r="AC9" s="44"/>
      <c r="AD9" s="56" t="s">
        <v>157</v>
      </c>
      <c r="AF9" s="56" t="s">
        <v>157</v>
      </c>
      <c r="AH9" s="56" t="s">
        <v>157</v>
      </c>
      <c r="AJ9" s="56" t="s">
        <v>157</v>
      </c>
      <c r="AL9" s="56" t="s">
        <v>54</v>
      </c>
      <c r="AN9" s="56" t="s">
        <v>54</v>
      </c>
      <c r="AP9" s="56" t="s">
        <v>54</v>
      </c>
      <c r="AR9" s="56" t="s">
        <v>54</v>
      </c>
      <c r="AT9" s="56" t="s">
        <v>25</v>
      </c>
      <c r="AV9" s="56" t="s">
        <v>25</v>
      </c>
      <c r="AX9" s="56" t="s">
        <v>25</v>
      </c>
      <c r="AZ9" s="56" t="s">
        <v>25</v>
      </c>
    </row>
    <row r="10" spans="2:34" ht="12.75">
      <c r="B10" s="11" t="s">
        <v>85</v>
      </c>
      <c r="D10" s="11" t="s">
        <v>52</v>
      </c>
      <c r="E10" s="13"/>
      <c r="F10" s="13">
        <v>898</v>
      </c>
      <c r="G10" s="13"/>
      <c r="H10" s="13">
        <v>877</v>
      </c>
      <c r="I10" s="13"/>
      <c r="J10" s="13">
        <v>813</v>
      </c>
      <c r="K10" s="13"/>
      <c r="L10" s="13"/>
      <c r="M10" s="13"/>
      <c r="N10" s="13">
        <v>801</v>
      </c>
      <c r="O10" s="13"/>
      <c r="P10" s="13">
        <v>829</v>
      </c>
      <c r="Q10" s="13"/>
      <c r="R10" s="13">
        <v>806</v>
      </c>
      <c r="S10" s="13"/>
      <c r="T10" s="13"/>
      <c r="U10" s="13"/>
      <c r="V10" s="13">
        <v>602</v>
      </c>
      <c r="W10" s="13"/>
      <c r="X10" s="28">
        <v>606</v>
      </c>
      <c r="Z10" s="18">
        <v>610</v>
      </c>
      <c r="AA10" s="18"/>
      <c r="AD10" s="28">
        <v>450</v>
      </c>
      <c r="AF10" s="28">
        <v>493</v>
      </c>
      <c r="AH10" s="28">
        <v>490</v>
      </c>
    </row>
    <row r="11" spans="2:34" ht="12.75">
      <c r="B11" s="11" t="s">
        <v>108</v>
      </c>
      <c r="D11" s="11" t="s">
        <v>109</v>
      </c>
      <c r="E11" s="13"/>
      <c r="F11" s="13"/>
      <c r="G11" s="13"/>
      <c r="H11" s="13"/>
      <c r="I11" s="13"/>
      <c r="J11" s="13"/>
      <c r="K11" s="13"/>
      <c r="L11" s="13"/>
      <c r="M11" s="13"/>
      <c r="N11" s="13">
        <v>16232</v>
      </c>
      <c r="O11" s="13"/>
      <c r="P11" s="13">
        <v>17966</v>
      </c>
      <c r="Q11" s="13"/>
      <c r="R11" s="13">
        <v>17228</v>
      </c>
      <c r="S11" s="13"/>
      <c r="T11" s="13"/>
      <c r="U11" s="13"/>
      <c r="V11" s="13">
        <v>16725</v>
      </c>
      <c r="W11" s="13"/>
      <c r="X11" s="28">
        <v>16610</v>
      </c>
      <c r="Z11" s="28">
        <v>17259</v>
      </c>
      <c r="AD11" s="28">
        <v>54</v>
      </c>
      <c r="AF11" s="28">
        <v>102</v>
      </c>
      <c r="AH11" s="28">
        <v>82</v>
      </c>
    </row>
    <row r="12" spans="2:50" ht="12.75">
      <c r="B12" s="11" t="s">
        <v>107</v>
      </c>
      <c r="D12" s="11" t="s">
        <v>52</v>
      </c>
      <c r="E12" s="13"/>
      <c r="F12" s="13">
        <v>80</v>
      </c>
      <c r="G12" s="13"/>
      <c r="H12" s="13">
        <v>76</v>
      </c>
      <c r="I12" s="13"/>
      <c r="J12" s="13">
        <v>61</v>
      </c>
      <c r="K12" s="13"/>
      <c r="L12" s="13"/>
      <c r="M12" s="13"/>
      <c r="N12" s="13">
        <v>28</v>
      </c>
      <c r="O12" s="13"/>
      <c r="P12" s="13">
        <v>7</v>
      </c>
      <c r="Q12" s="13"/>
      <c r="R12" s="13">
        <v>8</v>
      </c>
      <c r="S12" s="13"/>
      <c r="T12" s="13"/>
      <c r="U12" s="13"/>
      <c r="V12" s="13">
        <v>21</v>
      </c>
      <c r="W12" s="13"/>
      <c r="X12" s="28">
        <v>30</v>
      </c>
      <c r="Z12" s="28">
        <v>19</v>
      </c>
      <c r="AD12" s="28">
        <v>3</v>
      </c>
      <c r="AF12" s="28">
        <v>1</v>
      </c>
      <c r="AH12" s="28">
        <v>1</v>
      </c>
      <c r="AL12" s="28">
        <v>39</v>
      </c>
      <c r="AN12" s="28">
        <v>39</v>
      </c>
      <c r="AP12" s="28">
        <v>39</v>
      </c>
      <c r="AT12" s="28">
        <f>SUM(AL12,AD12,V12,N12,F12)</f>
        <v>171</v>
      </c>
      <c r="AV12" s="28">
        <f>SUM(AN12,AF12,X12,P12,H12)</f>
        <v>153</v>
      </c>
      <c r="AX12" s="28">
        <f>SUM(AP12,AH12,Z12,R12,J12)</f>
        <v>128</v>
      </c>
    </row>
    <row r="13" spans="2:50" ht="12.75">
      <c r="B13" s="11" t="s">
        <v>49</v>
      </c>
      <c r="D13" s="11" t="s">
        <v>52</v>
      </c>
      <c r="E13" s="13"/>
      <c r="F13" s="13">
        <v>644</v>
      </c>
      <c r="G13" s="13"/>
      <c r="H13" s="13">
        <v>629</v>
      </c>
      <c r="I13" s="13"/>
      <c r="J13" s="13">
        <v>583</v>
      </c>
      <c r="K13" s="13"/>
      <c r="L13" s="13"/>
      <c r="M13" s="13"/>
      <c r="N13" s="13">
        <v>0.6</v>
      </c>
      <c r="O13" s="13"/>
      <c r="P13" s="13">
        <v>0.7</v>
      </c>
      <c r="Q13" s="13"/>
      <c r="R13" s="13">
        <v>0.6</v>
      </c>
      <c r="S13" s="13"/>
      <c r="T13" s="13"/>
      <c r="U13" s="13"/>
      <c r="V13" s="13">
        <v>0</v>
      </c>
      <c r="W13" s="13"/>
      <c r="X13" s="28">
        <v>0</v>
      </c>
      <c r="Z13" s="28">
        <v>0</v>
      </c>
      <c r="AD13" s="28">
        <v>2.4</v>
      </c>
      <c r="AF13" s="28">
        <v>2.8</v>
      </c>
      <c r="AH13" s="28">
        <v>2.5</v>
      </c>
      <c r="AL13" s="28">
        <v>15</v>
      </c>
      <c r="AN13" s="28">
        <v>20</v>
      </c>
      <c r="AP13" s="28">
        <v>20</v>
      </c>
      <c r="AT13" s="28">
        <f>SUM(AL13,AD13,V13,N13,F13)</f>
        <v>662</v>
      </c>
      <c r="AV13" s="28">
        <f>SUM(AN13,AF13,X13,P13,H13)</f>
        <v>652.5</v>
      </c>
      <c r="AX13" s="28">
        <f>SUM(AP13,AH13,Z13,R13,J13)</f>
        <v>606.1</v>
      </c>
    </row>
    <row r="14" spans="6:23" ht="12.75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2:43" ht="12.75">
      <c r="B15" s="11" t="s">
        <v>103</v>
      </c>
      <c r="D15" s="11" t="s">
        <v>17</v>
      </c>
      <c r="E15" s="30"/>
      <c r="F15" s="13">
        <f>'emiss 1'!$G$33</f>
        <v>7891</v>
      </c>
      <c r="G15" s="13"/>
      <c r="H15" s="13">
        <f>'emiss 1'!$I$33</f>
        <v>7981</v>
      </c>
      <c r="I15" s="13"/>
      <c r="J15" s="13">
        <f>'emiss 1'!$K$33</f>
        <v>8138</v>
      </c>
      <c r="K15" s="13"/>
      <c r="L15" s="13"/>
      <c r="M15" s="13"/>
      <c r="N15" s="13">
        <f>'emiss 1'!$G$33</f>
        <v>7891</v>
      </c>
      <c r="O15" s="13"/>
      <c r="P15" s="13">
        <f>'emiss 1'!$I$33</f>
        <v>7981</v>
      </c>
      <c r="Q15" s="13"/>
      <c r="R15" s="13">
        <f>'emiss 1'!$K$33</f>
        <v>8138</v>
      </c>
      <c r="S15" s="13"/>
      <c r="T15" s="13"/>
      <c r="U15" s="13"/>
      <c r="V15" s="13">
        <f>'emiss 1'!$G$33</f>
        <v>7891</v>
      </c>
      <c r="W15" s="13"/>
      <c r="X15" s="13">
        <f>'emiss 1'!$I$33</f>
        <v>7981</v>
      </c>
      <c r="Y15" s="13"/>
      <c r="Z15" s="13">
        <f>'emiss 1'!$K$33</f>
        <v>8138</v>
      </c>
      <c r="AA15" s="13"/>
      <c r="AD15" s="13">
        <f>'emiss 1'!$G$33</f>
        <v>7891</v>
      </c>
      <c r="AE15" s="13"/>
      <c r="AF15" s="13">
        <f>'emiss 1'!$I$33</f>
        <v>7981</v>
      </c>
      <c r="AG15" s="13"/>
      <c r="AH15" s="13">
        <f>'emiss 1'!$K$33</f>
        <v>8138</v>
      </c>
      <c r="AI15" s="13"/>
      <c r="AL15" s="13">
        <f>'emiss 1'!$G$33</f>
        <v>7891</v>
      </c>
      <c r="AM15" s="13"/>
      <c r="AN15" s="13">
        <f>'emiss 1'!$I$33</f>
        <v>7981</v>
      </c>
      <c r="AO15" s="13"/>
      <c r="AP15" s="13">
        <f>'emiss 1'!$K$33</f>
        <v>8138</v>
      </c>
      <c r="AQ15" s="13"/>
    </row>
    <row r="16" spans="2:43" ht="12.75">
      <c r="B16" s="11" t="s">
        <v>104</v>
      </c>
      <c r="D16" s="11" t="s">
        <v>18</v>
      </c>
      <c r="E16" s="30"/>
      <c r="F16" s="13">
        <f>'emiss 1'!$G$34</f>
        <v>9.6</v>
      </c>
      <c r="G16" s="13"/>
      <c r="H16" s="13">
        <f>'emiss 1'!$I$34</f>
        <v>9.1</v>
      </c>
      <c r="I16" s="13"/>
      <c r="J16" s="13">
        <f>'emiss 1'!$K$34</f>
        <v>8.5</v>
      </c>
      <c r="K16" s="13"/>
      <c r="L16" s="13"/>
      <c r="M16" s="13"/>
      <c r="N16" s="13">
        <f>'emiss 1'!$G$34</f>
        <v>9.6</v>
      </c>
      <c r="O16" s="13"/>
      <c r="P16" s="13">
        <f>'emiss 1'!$I$34</f>
        <v>9.1</v>
      </c>
      <c r="Q16" s="13"/>
      <c r="R16" s="13">
        <f>'emiss 1'!$K$34</f>
        <v>8.5</v>
      </c>
      <c r="S16" s="13"/>
      <c r="T16" s="13"/>
      <c r="U16" s="13"/>
      <c r="V16" s="13">
        <f>'emiss 1'!$G$34</f>
        <v>9.6</v>
      </c>
      <c r="W16" s="13"/>
      <c r="X16" s="13">
        <f>'emiss 1'!$I$34</f>
        <v>9.1</v>
      </c>
      <c r="Y16" s="13"/>
      <c r="Z16" s="13">
        <f>'emiss 1'!$K$34</f>
        <v>8.5</v>
      </c>
      <c r="AA16" s="13"/>
      <c r="AD16" s="13">
        <f>'emiss 1'!$G$34</f>
        <v>9.6</v>
      </c>
      <c r="AE16" s="13"/>
      <c r="AF16" s="13">
        <f>'emiss 1'!$I$34</f>
        <v>9.1</v>
      </c>
      <c r="AG16" s="13"/>
      <c r="AH16" s="13">
        <f>'emiss 1'!$K$34</f>
        <v>8.5</v>
      </c>
      <c r="AI16" s="13"/>
      <c r="AL16" s="13">
        <f>'emiss 1'!$G$34</f>
        <v>9.6</v>
      </c>
      <c r="AM16" s="13"/>
      <c r="AN16" s="13">
        <f>'emiss 1'!$I$34</f>
        <v>9.1</v>
      </c>
      <c r="AO16" s="13"/>
      <c r="AP16" s="13">
        <f>'emiss 1'!$K$34</f>
        <v>8.5</v>
      </c>
      <c r="AQ16" s="13"/>
    </row>
    <row r="17" spans="5:23" ht="12.75">
      <c r="E17" s="3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2:52" ht="12.75">
      <c r="B18" s="11" t="s">
        <v>110</v>
      </c>
      <c r="D18" s="11" t="s">
        <v>111</v>
      </c>
      <c r="E18" s="30"/>
      <c r="F18" s="13">
        <f>F10*F11/1000000</f>
        <v>0</v>
      </c>
      <c r="G18" s="13"/>
      <c r="H18" s="13">
        <f>H10*H11/1000000</f>
        <v>0</v>
      </c>
      <c r="I18" s="13"/>
      <c r="J18" s="13">
        <f>J10*J11/1000000</f>
        <v>0</v>
      </c>
      <c r="K18" s="13"/>
      <c r="L18" s="13"/>
      <c r="M18" s="13"/>
      <c r="N18" s="34">
        <f>N10*N11/1000000</f>
        <v>13.001832</v>
      </c>
      <c r="O18" s="34"/>
      <c r="P18" s="34">
        <f>P10*P11/1000000</f>
        <v>14.893814</v>
      </c>
      <c r="Q18" s="34"/>
      <c r="R18" s="34">
        <f>R10*R11/1000000</f>
        <v>13.885768</v>
      </c>
      <c r="S18" s="34"/>
      <c r="T18" s="13"/>
      <c r="U18" s="13"/>
      <c r="V18" s="34">
        <f>V10*V11/1000000</f>
        <v>10.06845</v>
      </c>
      <c r="W18" s="34"/>
      <c r="X18" s="34">
        <f>X10*X11/1000000</f>
        <v>10.06566</v>
      </c>
      <c r="Y18" s="34"/>
      <c r="Z18" s="34">
        <f>Z10*Z11/1000000</f>
        <v>10.52799</v>
      </c>
      <c r="AA18" s="34"/>
      <c r="AD18" s="34">
        <f>AD10*AD11/1000000</f>
        <v>0.0243</v>
      </c>
      <c r="AE18" s="34"/>
      <c r="AF18" s="34">
        <f>AF10*AF11/1000000</f>
        <v>0.050286</v>
      </c>
      <c r="AG18" s="34"/>
      <c r="AH18" s="34">
        <f>AH10*AH11/1000000</f>
        <v>0.04018</v>
      </c>
      <c r="AI18" s="34"/>
      <c r="AL18" s="34">
        <f>AL10*AL11/1000000</f>
        <v>0</v>
      </c>
      <c r="AM18" s="34"/>
      <c r="AN18" s="34">
        <f>AN10*AN11/1000000</f>
        <v>0</v>
      </c>
      <c r="AO18" s="34"/>
      <c r="AP18" s="34">
        <f>AP10*AP11/1000000</f>
        <v>0</v>
      </c>
      <c r="AQ18" s="34"/>
      <c r="AT18" s="31">
        <f>SUM(AL18,AD18,V18,N18,F18)</f>
        <v>23.094582000000003</v>
      </c>
      <c r="AU18" s="31"/>
      <c r="AV18" s="31">
        <f>SUM(AN18,AF18,X18,P18,H18)</f>
        <v>25.00976</v>
      </c>
      <c r="AW18" s="31"/>
      <c r="AX18" s="31">
        <f>SUM(AP18,AH18,Z18,R18,J18)</f>
        <v>24.453938</v>
      </c>
      <c r="AY18" s="31"/>
      <c r="AZ18" s="41">
        <f>AVERAGE(AT18,AV18,AX18)</f>
        <v>24.186093333333332</v>
      </c>
    </row>
    <row r="19" spans="2:23" ht="12.75">
      <c r="B19" s="11" t="s">
        <v>112</v>
      </c>
      <c r="D19" s="11" t="s">
        <v>111</v>
      </c>
      <c r="E19" s="3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5:23" ht="12.75">
      <c r="E20" s="3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2:23" ht="12.75">
      <c r="B21" s="47" t="s">
        <v>105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2:60" ht="12.75">
      <c r="B22" s="11" t="s">
        <v>107</v>
      </c>
      <c r="D22" s="11" t="s">
        <v>55</v>
      </c>
      <c r="E22" s="28" t="s">
        <v>15</v>
      </c>
      <c r="F22" s="42">
        <f>F12*454*1000000/F15/60/0.0283*(21-7)/(21-F16)</f>
        <v>3328888.8529603537</v>
      </c>
      <c r="G22" s="42"/>
      <c r="H22" s="42">
        <f>H12*454*1000000/H15/60/0.0283*(21-7)/(21-H16)</f>
        <v>2995404.8090710277</v>
      </c>
      <c r="I22" s="42"/>
      <c r="J22" s="42">
        <f>J12*454*1000000/J15/60/0.0283*(21-7)/(21-J16)</f>
        <v>2244648.482695875</v>
      </c>
      <c r="K22" s="42"/>
      <c r="L22" s="42">
        <f>AVERAGE(F22:J22)</f>
        <v>2856314.0482424186</v>
      </c>
      <c r="M22" s="42"/>
      <c r="N22" s="42">
        <f>N12*454*1000000/N15/60/0.0283*(21-7)/(21-N16)</f>
        <v>1165111.0985361235</v>
      </c>
      <c r="O22" s="42"/>
      <c r="P22" s="42">
        <f>P12*454*1000000/P15/60/0.0283*(21-7)/(21-P16)</f>
        <v>275892.54820391047</v>
      </c>
      <c r="Q22" s="42"/>
      <c r="R22" s="42">
        <f>R12*454*1000000/R15/60/0.0283*(21-7)/(21-R16)</f>
        <v>294380.1288781476</v>
      </c>
      <c r="S22" s="42"/>
      <c r="T22" s="42">
        <f>AVERAGE(N22:R22)</f>
        <v>578461.2585393939</v>
      </c>
      <c r="U22" s="42"/>
      <c r="V22" s="42">
        <f>V12*454*1000000/V15/60/0.0283*(21-7)/(21-V16)</f>
        <v>873833.3239020926</v>
      </c>
      <c r="W22" s="42"/>
      <c r="X22" s="42">
        <f>X12*454*1000000/X15/60/0.0283*(21-7)/(21-X16)</f>
        <v>1182396.6351596161</v>
      </c>
      <c r="Y22" s="42"/>
      <c r="Z22" s="42">
        <f>Z12*454*1000000/Z15/60/0.0283*(21-7)/(21-Z16)</f>
        <v>699152.8060856008</v>
      </c>
      <c r="AA22" s="42"/>
      <c r="AB22" s="42">
        <f>AVERAGE(V22:Z22)</f>
        <v>918460.9217157699</v>
      </c>
      <c r="AC22" s="42"/>
      <c r="AD22" s="42">
        <f>AD12*454*1000000/AD15/60/0.0283*(21-7)/(21-AD16)</f>
        <v>124833.33198601322</v>
      </c>
      <c r="AE22" s="42"/>
      <c r="AF22" s="42">
        <f>AF12*454*1000000/AF15/60/0.0283*(21-7)/(21-AF16)</f>
        <v>39413.2211719872</v>
      </c>
      <c r="AG22" s="42"/>
      <c r="AH22" s="42">
        <f>AH12*454*1000000/AH15/60/0.0283*(21-7)/(21-AH16)</f>
        <v>36797.51610976845</v>
      </c>
      <c r="AI22" s="42"/>
      <c r="AJ22" s="42">
        <f>AVERAGE(AD22:AH22)</f>
        <v>67014.68975592295</v>
      </c>
      <c r="AK22" s="42"/>
      <c r="AL22" s="42">
        <f>AL12*454*1000000/AL15/60/0.0283*(21-7)/(21-AL16)</f>
        <v>1622833.315818172</v>
      </c>
      <c r="AM22" s="42"/>
      <c r="AN22" s="42">
        <f>AN12*454*1000000/AN15/60/0.0283*(21-7)/(21-AN16)</f>
        <v>1537115.6257075008</v>
      </c>
      <c r="AO22" s="42"/>
      <c r="AP22" s="42">
        <f>AP12*454*1000000/AP15/60/0.0283*(21-7)/(21-AP16)</f>
        <v>1435103.1282809696</v>
      </c>
      <c r="AQ22" s="42"/>
      <c r="AR22" s="42">
        <f>AVERAGE(AL22:AP22)</f>
        <v>1531684.0232688806</v>
      </c>
      <c r="AS22" s="42"/>
      <c r="AT22" s="28">
        <f>SUM(AL22,AD22,V22,N22,F22)</f>
        <v>7115499.923202755</v>
      </c>
      <c r="AV22" s="28">
        <f>SUM(AN22,AF22,X22,P22,H22)</f>
        <v>6030222.839314043</v>
      </c>
      <c r="AX22" s="28">
        <f>SUM(AP22,AH22,Z22,R22,J22)</f>
        <v>4710082.062050361</v>
      </c>
      <c r="AZ22" s="28">
        <f>SUM(AR22,AJ22,AB22,T22,L22)</f>
        <v>5951934.941522386</v>
      </c>
      <c r="BB22" s="41">
        <f>AT22-AL22</f>
        <v>5492666.607384583</v>
      </c>
      <c r="BD22" s="41">
        <f>AV22-AN22</f>
        <v>4493107.213606542</v>
      </c>
      <c r="BF22" s="41">
        <f>AX22-AP22</f>
        <v>3274978.933769392</v>
      </c>
      <c r="BH22" s="41">
        <f>AZ22-AR22</f>
        <v>4420250.918253506</v>
      </c>
    </row>
    <row r="23" spans="2:60" ht="12.75">
      <c r="B23" s="11" t="s">
        <v>49</v>
      </c>
      <c r="D23" s="11" t="s">
        <v>61</v>
      </c>
      <c r="E23" s="28" t="s">
        <v>15</v>
      </c>
      <c r="F23" s="34">
        <f>F13*454*1000/F15/60/0.0283*(21-7)/(21-F16)</f>
        <v>26797.55526633084</v>
      </c>
      <c r="G23" s="34"/>
      <c r="H23" s="34">
        <f>H13*454*1000/H15/60/0.0283*(21-7)/(21-H16)</f>
        <v>24790.916117179953</v>
      </c>
      <c r="I23" s="34"/>
      <c r="J23" s="34">
        <f>J13*454*1000/J15/60/0.0283*(21-7)/(21-J16)</f>
        <v>21452.951891995006</v>
      </c>
      <c r="K23" s="34"/>
      <c r="L23" s="42">
        <f>AVERAGE(F23:J23)</f>
        <v>24347.141091835267</v>
      </c>
      <c r="M23" s="42"/>
      <c r="N23" s="34">
        <f>N13*454*1000/N15/60/0.0283*(21-7)/(21-N16)</f>
        <v>24.966666397202644</v>
      </c>
      <c r="O23" s="34"/>
      <c r="P23" s="34">
        <f>P13*454*1000/P15/60/0.0283*(21-7)/(21-P16)</f>
        <v>27.589254820391037</v>
      </c>
      <c r="Q23" s="34"/>
      <c r="R23" s="34">
        <f>R13*454*1000/R15/60/0.0283*(21-7)/(21-R16)</f>
        <v>22.078509665861066</v>
      </c>
      <c r="S23" s="34"/>
      <c r="T23" s="42">
        <f>AVERAGE(N23:R23)</f>
        <v>24.878143627818247</v>
      </c>
      <c r="U23" s="42"/>
      <c r="V23" s="34">
        <f>V13*454*1000/V15/60/0.0283*(21-7)/(21-V16)</f>
        <v>0</v>
      </c>
      <c r="W23" s="34"/>
      <c r="X23" s="34">
        <f>X13*454*1000/X15/60/0.0283*(21-7)/(21-X16)</f>
        <v>0</v>
      </c>
      <c r="Y23" s="34"/>
      <c r="Z23" s="34">
        <f>Z13*454*1000/Z15/60/0.0283*(21-7)/(21-Z16)</f>
        <v>0</v>
      </c>
      <c r="AA23" s="34"/>
      <c r="AB23" s="42">
        <f>AVERAGE(V23:Z23)</f>
        <v>0</v>
      </c>
      <c r="AC23" s="42"/>
      <c r="AD23" s="34">
        <f>AD13*454*1000/AD15/60/0.0283*(21-7)/(21-AD16)</f>
        <v>99.86666558881058</v>
      </c>
      <c r="AE23" s="34"/>
      <c r="AF23" s="34">
        <f>AF13*454*1000/AF15/60/0.0283*(21-7)/(21-AF16)</f>
        <v>110.35701928156415</v>
      </c>
      <c r="AG23" s="34"/>
      <c r="AH23" s="34">
        <f>AH13*454*1000/AH15/60/0.0283*(21-7)/(21-AH16)</f>
        <v>91.99379027442113</v>
      </c>
      <c r="AI23" s="34"/>
      <c r="AJ23" s="42">
        <f>AVERAGE(AD23:AH23)</f>
        <v>100.73915838159861</v>
      </c>
      <c r="AK23" s="42"/>
      <c r="AL23" s="34">
        <f>AL13*454*1000/AL15/60/0.0283*(21-7)/(21-AL16)</f>
        <v>624.1666599300662</v>
      </c>
      <c r="AM23" s="34"/>
      <c r="AN23" s="34">
        <f>AN13*454*1000/AN15/60/0.0283*(21-7)/(21-AN16)</f>
        <v>788.264423439744</v>
      </c>
      <c r="AO23" s="34"/>
      <c r="AP23" s="34">
        <f>AP13*454*1000/AP15/60/0.0283*(21-7)/(21-AP16)</f>
        <v>735.950322195369</v>
      </c>
      <c r="AQ23" s="34"/>
      <c r="AR23" s="42">
        <f>AVERAGE(AL23:AP23)</f>
        <v>716.127135188393</v>
      </c>
      <c r="AS23" s="42"/>
      <c r="AT23" s="41">
        <f>SUM(AL23,AD23,V23,N23,F23)</f>
        <v>27546.55525824692</v>
      </c>
      <c r="AU23" s="41"/>
      <c r="AV23" s="41">
        <f>SUM(AN23,AF23,X23,P23,H23)</f>
        <v>25717.126814721654</v>
      </c>
      <c r="AW23" s="41"/>
      <c r="AX23" s="41">
        <f>SUM(AP23,AH23,Z23,R23,J23)</f>
        <v>22302.974514130656</v>
      </c>
      <c r="AY23" s="41"/>
      <c r="AZ23" s="41">
        <f>SUM(AR23,AJ23,AB23,T23,L23)</f>
        <v>25188.885529033076</v>
      </c>
      <c r="BB23" s="41">
        <f>AT23-AL23</f>
        <v>26922.388598316855</v>
      </c>
      <c r="BD23" s="41">
        <f>AV23-AN23</f>
        <v>24928.86239128191</v>
      </c>
      <c r="BF23" s="41">
        <f>AX23-AP23</f>
        <v>21567.02419193529</v>
      </c>
      <c r="BH23" s="41">
        <f>AZ23-AR23</f>
        <v>24472.758393844684</v>
      </c>
    </row>
    <row r="24" spans="6:23" ht="12.7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6:23" ht="12.7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60" ht="12.75">
      <c r="A26" s="28" t="s">
        <v>84</v>
      </c>
      <c r="B26" s="27" t="s">
        <v>188</v>
      </c>
      <c r="C26" s="27" t="s">
        <v>83</v>
      </c>
      <c r="F26" s="30" t="s">
        <v>197</v>
      </c>
      <c r="G26" s="30"/>
      <c r="H26" s="30" t="s">
        <v>198</v>
      </c>
      <c r="I26" s="30"/>
      <c r="J26" s="30" t="s">
        <v>199</v>
      </c>
      <c r="K26" s="30"/>
      <c r="L26" s="30" t="s">
        <v>47</v>
      </c>
      <c r="M26" s="30"/>
      <c r="N26" s="30" t="s">
        <v>197</v>
      </c>
      <c r="O26" s="30"/>
      <c r="P26" s="30" t="s">
        <v>198</v>
      </c>
      <c r="Q26" s="30"/>
      <c r="R26" s="30" t="s">
        <v>199</v>
      </c>
      <c r="S26" s="30"/>
      <c r="T26" s="51" t="s">
        <v>47</v>
      </c>
      <c r="U26" s="51"/>
      <c r="V26" s="30" t="s">
        <v>197</v>
      </c>
      <c r="W26" s="30"/>
      <c r="X26" s="30" t="s">
        <v>198</v>
      </c>
      <c r="Y26" s="30"/>
      <c r="Z26" s="30" t="s">
        <v>199</v>
      </c>
      <c r="AA26" s="30"/>
      <c r="AB26" s="51" t="s">
        <v>47</v>
      </c>
      <c r="AC26" s="51"/>
      <c r="AD26" s="30" t="s">
        <v>197</v>
      </c>
      <c r="AE26" s="30"/>
      <c r="AF26" s="30" t="s">
        <v>198</v>
      </c>
      <c r="AG26" s="30"/>
      <c r="AH26" s="30" t="s">
        <v>199</v>
      </c>
      <c r="AI26" s="30"/>
      <c r="AJ26" s="51" t="s">
        <v>47</v>
      </c>
      <c r="AK26" s="51"/>
      <c r="AL26" s="30" t="s">
        <v>197</v>
      </c>
      <c r="AM26" s="30"/>
      <c r="AN26" s="30" t="s">
        <v>198</v>
      </c>
      <c r="AO26" s="30"/>
      <c r="AP26" s="30" t="s">
        <v>199</v>
      </c>
      <c r="AQ26" s="30"/>
      <c r="AR26" s="28" t="s">
        <v>47</v>
      </c>
      <c r="AT26" s="30" t="s">
        <v>197</v>
      </c>
      <c r="AU26" s="30"/>
      <c r="AV26" s="30" t="s">
        <v>198</v>
      </c>
      <c r="AW26" s="30"/>
      <c r="AX26" s="30" t="s">
        <v>199</v>
      </c>
      <c r="AY26" s="30"/>
      <c r="AZ26" s="28" t="s">
        <v>47</v>
      </c>
      <c r="BB26" s="30" t="s">
        <v>197</v>
      </c>
      <c r="BC26" s="30"/>
      <c r="BD26" s="30" t="s">
        <v>198</v>
      </c>
      <c r="BE26" s="30"/>
      <c r="BF26" s="30" t="s">
        <v>199</v>
      </c>
      <c r="BG26" s="30"/>
      <c r="BH26" s="28" t="s">
        <v>47</v>
      </c>
    </row>
    <row r="27" spans="2:37" ht="12.75">
      <c r="B27" s="27"/>
      <c r="C27" s="27"/>
      <c r="F27" s="30"/>
      <c r="G27" s="30"/>
      <c r="H27" s="30"/>
      <c r="I27" s="30"/>
      <c r="J27" s="30"/>
      <c r="K27" s="30"/>
      <c r="L27" s="30"/>
      <c r="M27" s="30"/>
      <c r="R27" s="20"/>
      <c r="S27" s="20"/>
      <c r="T27" s="51"/>
      <c r="U27" s="51"/>
      <c r="Z27" s="20"/>
      <c r="AA27" s="20"/>
      <c r="AB27" s="51"/>
      <c r="AC27" s="51"/>
      <c r="AH27" s="20"/>
      <c r="AI27" s="20"/>
      <c r="AJ27" s="51"/>
      <c r="AK27" s="51"/>
    </row>
    <row r="28" spans="2:52" ht="12.75">
      <c r="B28" s="11" t="s">
        <v>260</v>
      </c>
      <c r="F28" s="30" t="s">
        <v>263</v>
      </c>
      <c r="G28" s="30"/>
      <c r="H28" s="30" t="s">
        <v>263</v>
      </c>
      <c r="I28" s="30"/>
      <c r="J28" s="30" t="s">
        <v>263</v>
      </c>
      <c r="K28" s="30"/>
      <c r="L28" s="30" t="s">
        <v>263</v>
      </c>
      <c r="M28" s="30"/>
      <c r="N28" s="30" t="s">
        <v>265</v>
      </c>
      <c r="O28" s="30"/>
      <c r="P28" s="30" t="s">
        <v>265</v>
      </c>
      <c r="Q28" s="30"/>
      <c r="R28" s="30" t="s">
        <v>265</v>
      </c>
      <c r="S28" s="30"/>
      <c r="T28" s="30" t="s">
        <v>265</v>
      </c>
      <c r="U28" s="30"/>
      <c r="V28" s="30" t="s">
        <v>266</v>
      </c>
      <c r="W28" s="30"/>
      <c r="X28" s="30" t="s">
        <v>266</v>
      </c>
      <c r="Y28" s="30"/>
      <c r="Z28" s="30" t="s">
        <v>266</v>
      </c>
      <c r="AA28" s="30"/>
      <c r="AB28" s="30" t="s">
        <v>266</v>
      </c>
      <c r="AC28" s="30"/>
      <c r="AD28" s="30" t="s">
        <v>267</v>
      </c>
      <c r="AE28" s="30"/>
      <c r="AF28" s="30" t="s">
        <v>267</v>
      </c>
      <c r="AG28" s="30"/>
      <c r="AH28" s="30" t="s">
        <v>267</v>
      </c>
      <c r="AI28" s="30"/>
      <c r="AJ28" s="30" t="s">
        <v>267</v>
      </c>
      <c r="AK28" s="30"/>
      <c r="AL28" s="20" t="s">
        <v>268</v>
      </c>
      <c r="AM28" s="20"/>
      <c r="AN28" s="20" t="s">
        <v>268</v>
      </c>
      <c r="AO28" s="20"/>
      <c r="AP28" s="20" t="s">
        <v>268</v>
      </c>
      <c r="AQ28" s="20"/>
      <c r="AR28" s="20" t="s">
        <v>268</v>
      </c>
      <c r="AS28" s="20"/>
      <c r="AT28" s="20" t="s">
        <v>269</v>
      </c>
      <c r="AU28" s="20"/>
      <c r="AV28" s="20" t="s">
        <v>269</v>
      </c>
      <c r="AW28" s="20"/>
      <c r="AX28" s="20" t="s">
        <v>269</v>
      </c>
      <c r="AY28" s="20"/>
      <c r="AZ28" s="20" t="s">
        <v>269</v>
      </c>
    </row>
    <row r="29" spans="2:52" ht="12.75">
      <c r="B29" s="11" t="s">
        <v>261</v>
      </c>
      <c r="F29" s="30" t="s">
        <v>262</v>
      </c>
      <c r="G29" s="30"/>
      <c r="H29" s="30" t="s">
        <v>262</v>
      </c>
      <c r="I29" s="30"/>
      <c r="J29" s="30" t="s">
        <v>262</v>
      </c>
      <c r="K29" s="30"/>
      <c r="L29" s="30" t="s">
        <v>262</v>
      </c>
      <c r="M29" s="30"/>
      <c r="N29" s="30" t="s">
        <v>264</v>
      </c>
      <c r="O29" s="30"/>
      <c r="P29" s="30" t="s">
        <v>264</v>
      </c>
      <c r="Q29" s="30"/>
      <c r="R29" s="30" t="s">
        <v>264</v>
      </c>
      <c r="S29" s="30"/>
      <c r="T29" s="30" t="s">
        <v>264</v>
      </c>
      <c r="U29" s="30"/>
      <c r="V29" s="30" t="s">
        <v>264</v>
      </c>
      <c r="W29" s="30"/>
      <c r="X29" s="30" t="s">
        <v>264</v>
      </c>
      <c r="Y29" s="30"/>
      <c r="Z29" s="30" t="s">
        <v>264</v>
      </c>
      <c r="AA29" s="30"/>
      <c r="AB29" s="30" t="s">
        <v>264</v>
      </c>
      <c r="AC29" s="30"/>
      <c r="AD29" s="30" t="s">
        <v>264</v>
      </c>
      <c r="AE29" s="30"/>
      <c r="AF29" s="30" t="s">
        <v>264</v>
      </c>
      <c r="AG29" s="30"/>
      <c r="AH29" s="30" t="s">
        <v>264</v>
      </c>
      <c r="AI29" s="30"/>
      <c r="AJ29" s="30" t="s">
        <v>264</v>
      </c>
      <c r="AK29" s="30"/>
      <c r="AL29" s="20" t="s">
        <v>54</v>
      </c>
      <c r="AM29" s="20"/>
      <c r="AN29" s="20" t="s">
        <v>54</v>
      </c>
      <c r="AO29" s="20"/>
      <c r="AP29" s="20" t="s">
        <v>54</v>
      </c>
      <c r="AQ29" s="20"/>
      <c r="AR29" s="20" t="s">
        <v>54</v>
      </c>
      <c r="AS29" s="20"/>
      <c r="AT29" s="20" t="s">
        <v>25</v>
      </c>
      <c r="AU29" s="20"/>
      <c r="AV29" s="20" t="s">
        <v>25</v>
      </c>
      <c r="AW29" s="20"/>
      <c r="AX29" s="20" t="s">
        <v>25</v>
      </c>
      <c r="AY29" s="20"/>
      <c r="AZ29" s="20" t="s">
        <v>25</v>
      </c>
    </row>
    <row r="30" spans="2:60" ht="12.75">
      <c r="B30" s="11" t="s">
        <v>271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0" t="s">
        <v>54</v>
      </c>
      <c r="AM30" s="20"/>
      <c r="AN30" s="20" t="s">
        <v>54</v>
      </c>
      <c r="AO30" s="20"/>
      <c r="AP30" s="20" t="s">
        <v>54</v>
      </c>
      <c r="AQ30" s="20"/>
      <c r="AR30" s="20" t="s">
        <v>54</v>
      </c>
      <c r="AS30" s="20"/>
      <c r="AT30" s="20" t="s">
        <v>25</v>
      </c>
      <c r="AU30" s="20"/>
      <c r="AV30" s="20" t="s">
        <v>25</v>
      </c>
      <c r="AW30" s="20"/>
      <c r="AX30" s="20" t="s">
        <v>25</v>
      </c>
      <c r="AY30" s="20"/>
      <c r="AZ30" s="20" t="s">
        <v>25</v>
      </c>
      <c r="BB30" s="28" t="s">
        <v>62</v>
      </c>
      <c r="BD30" s="28" t="s">
        <v>62</v>
      </c>
      <c r="BF30" s="28" t="s">
        <v>62</v>
      </c>
      <c r="BH30" s="28" t="s">
        <v>62</v>
      </c>
    </row>
    <row r="31" spans="2:52" s="56" customFormat="1" ht="38.25">
      <c r="B31" s="56" t="s">
        <v>48</v>
      </c>
      <c r="E31" s="44"/>
      <c r="F31" s="44" t="s">
        <v>154</v>
      </c>
      <c r="G31" s="44"/>
      <c r="H31" s="44" t="s">
        <v>154</v>
      </c>
      <c r="I31" s="44"/>
      <c r="J31" s="44" t="s">
        <v>154</v>
      </c>
      <c r="K31" s="44"/>
      <c r="L31" s="44" t="s">
        <v>154</v>
      </c>
      <c r="M31" s="44"/>
      <c r="N31" s="44" t="s">
        <v>155</v>
      </c>
      <c r="O31" s="44"/>
      <c r="P31" s="44" t="s">
        <v>155</v>
      </c>
      <c r="Q31" s="44"/>
      <c r="R31" s="44" t="s">
        <v>155</v>
      </c>
      <c r="S31" s="44"/>
      <c r="T31" s="44" t="s">
        <v>155</v>
      </c>
      <c r="U31" s="44"/>
      <c r="V31" s="44" t="s">
        <v>156</v>
      </c>
      <c r="W31" s="44"/>
      <c r="X31" s="44" t="s">
        <v>156</v>
      </c>
      <c r="Y31" s="44"/>
      <c r="Z31" s="44" t="s">
        <v>156</v>
      </c>
      <c r="AA31" s="44"/>
      <c r="AB31" s="44" t="s">
        <v>156</v>
      </c>
      <c r="AC31" s="44"/>
      <c r="AD31" s="56" t="s">
        <v>157</v>
      </c>
      <c r="AF31" s="56" t="s">
        <v>157</v>
      </c>
      <c r="AH31" s="56" t="s">
        <v>157</v>
      </c>
      <c r="AJ31" s="56" t="s">
        <v>157</v>
      </c>
      <c r="AL31" s="56" t="s">
        <v>54</v>
      </c>
      <c r="AN31" s="56" t="s">
        <v>54</v>
      </c>
      <c r="AP31" s="56" t="s">
        <v>54</v>
      </c>
      <c r="AR31" s="56" t="s">
        <v>54</v>
      </c>
      <c r="AT31" s="56" t="s">
        <v>25</v>
      </c>
      <c r="AV31" s="56" t="s">
        <v>25</v>
      </c>
      <c r="AX31" s="56" t="s">
        <v>25</v>
      </c>
      <c r="AZ31" s="56" t="s">
        <v>25</v>
      </c>
    </row>
    <row r="32" spans="2:43" ht="12.75">
      <c r="B32" s="11" t="s">
        <v>85</v>
      </c>
      <c r="D32" s="11" t="s">
        <v>52</v>
      </c>
      <c r="E32" s="13"/>
      <c r="F32" s="13">
        <v>269</v>
      </c>
      <c r="G32" s="13"/>
      <c r="H32" s="13">
        <v>295</v>
      </c>
      <c r="I32" s="13"/>
      <c r="J32" s="13">
        <v>259</v>
      </c>
      <c r="K32" s="13"/>
      <c r="L32" s="13"/>
      <c r="M32" s="13"/>
      <c r="N32" s="13">
        <v>411</v>
      </c>
      <c r="O32" s="13"/>
      <c r="P32" s="13">
        <v>392</v>
      </c>
      <c r="Q32" s="13"/>
      <c r="R32" s="13">
        <v>358</v>
      </c>
      <c r="S32" s="13"/>
      <c r="T32" s="13"/>
      <c r="U32" s="13"/>
      <c r="V32" s="13">
        <v>369</v>
      </c>
      <c r="W32" s="13"/>
      <c r="X32" s="13">
        <v>383</v>
      </c>
      <c r="Y32" s="13"/>
      <c r="Z32" s="13">
        <v>389</v>
      </c>
      <c r="AA32" s="13"/>
      <c r="AB32" s="13"/>
      <c r="AC32" s="13"/>
      <c r="AD32" s="13">
        <v>300</v>
      </c>
      <c r="AE32" s="13"/>
      <c r="AF32" s="13">
        <v>307</v>
      </c>
      <c r="AG32" s="13"/>
      <c r="AH32" s="13">
        <v>307</v>
      </c>
      <c r="AI32" s="13"/>
      <c r="AJ32" s="13"/>
      <c r="AK32" s="13"/>
      <c r="AL32" s="13"/>
      <c r="AM32" s="13"/>
      <c r="AN32" s="13"/>
      <c r="AO32" s="13"/>
      <c r="AP32" s="13"/>
      <c r="AQ32" s="13"/>
    </row>
    <row r="33" spans="2:43" ht="12.75">
      <c r="B33" s="11" t="s">
        <v>108</v>
      </c>
      <c r="D33" s="11" t="s">
        <v>109</v>
      </c>
      <c r="E33" s="13"/>
      <c r="F33" s="13"/>
      <c r="G33" s="13"/>
      <c r="H33" s="13"/>
      <c r="I33" s="13"/>
      <c r="J33" s="13"/>
      <c r="K33" s="13"/>
      <c r="L33" s="13"/>
      <c r="M33" s="13"/>
      <c r="N33" s="13">
        <v>13799</v>
      </c>
      <c r="O33" s="13"/>
      <c r="P33" s="13">
        <v>29915</v>
      </c>
      <c r="Q33" s="13"/>
      <c r="R33" s="13">
        <v>17609</v>
      </c>
      <c r="S33" s="13"/>
      <c r="T33" s="13"/>
      <c r="U33" s="13"/>
      <c r="V33" s="13">
        <v>15570</v>
      </c>
      <c r="W33" s="13"/>
      <c r="X33" s="13">
        <v>13681</v>
      </c>
      <c r="Y33" s="13"/>
      <c r="Z33" s="13">
        <v>13693</v>
      </c>
      <c r="AA33" s="13"/>
      <c r="AB33" s="13"/>
      <c r="AC33" s="13"/>
      <c r="AD33" s="13">
        <v>80</v>
      </c>
      <c r="AE33" s="13"/>
      <c r="AF33" s="13">
        <v>67</v>
      </c>
      <c r="AG33" s="13"/>
      <c r="AH33" s="13">
        <v>50</v>
      </c>
      <c r="AI33" s="13"/>
      <c r="AJ33" s="13"/>
      <c r="AK33" s="13"/>
      <c r="AL33" s="13"/>
      <c r="AM33" s="13"/>
      <c r="AN33" s="13"/>
      <c r="AO33" s="13"/>
      <c r="AP33" s="13"/>
      <c r="AQ33" s="13"/>
    </row>
    <row r="34" spans="2:50" ht="12.75">
      <c r="B34" s="11" t="s">
        <v>107</v>
      </c>
      <c r="D34" s="11" t="s">
        <v>52</v>
      </c>
      <c r="E34" s="13"/>
      <c r="F34" s="13">
        <v>0</v>
      </c>
      <c r="G34" s="13"/>
      <c r="H34" s="13">
        <v>0</v>
      </c>
      <c r="I34" s="13"/>
      <c r="J34" s="13">
        <v>0</v>
      </c>
      <c r="K34" s="13"/>
      <c r="L34" s="13"/>
      <c r="M34" s="13"/>
      <c r="N34" s="13">
        <v>90</v>
      </c>
      <c r="O34" s="13"/>
      <c r="P34" s="13">
        <v>87</v>
      </c>
      <c r="Q34" s="13"/>
      <c r="R34" s="13">
        <v>85</v>
      </c>
      <c r="S34" s="13"/>
      <c r="T34" s="13"/>
      <c r="U34" s="13"/>
      <c r="V34" s="13">
        <v>56</v>
      </c>
      <c r="W34" s="13"/>
      <c r="X34" s="13">
        <v>59</v>
      </c>
      <c r="Y34" s="13"/>
      <c r="Z34" s="13">
        <v>80</v>
      </c>
      <c r="AA34" s="13"/>
      <c r="AB34" s="13"/>
      <c r="AC34" s="13"/>
      <c r="AD34" s="13">
        <v>1</v>
      </c>
      <c r="AE34" s="13"/>
      <c r="AF34" s="13">
        <v>1</v>
      </c>
      <c r="AG34" s="13"/>
      <c r="AH34" s="13">
        <v>1</v>
      </c>
      <c r="AI34" s="13"/>
      <c r="AJ34" s="13"/>
      <c r="AK34" s="13"/>
      <c r="AL34" s="13"/>
      <c r="AM34" s="13"/>
      <c r="AN34" s="13"/>
      <c r="AO34" s="13"/>
      <c r="AP34" s="13"/>
      <c r="AQ34" s="13"/>
      <c r="AT34" s="28">
        <f>SUM(AL34,AD34,V34,N34,F34)</f>
        <v>147</v>
      </c>
      <c r="AV34" s="28">
        <f>SUM(AN34,AF34,X34,P34,H34)</f>
        <v>147</v>
      </c>
      <c r="AX34" s="28">
        <f>SUM(AP34,AH34,Z34,R34,J34)</f>
        <v>166</v>
      </c>
    </row>
    <row r="35" spans="2:50" ht="12.75">
      <c r="B35" s="11" t="s">
        <v>49</v>
      </c>
      <c r="D35" s="11" t="s">
        <v>52</v>
      </c>
      <c r="E35" s="13"/>
      <c r="F35" s="13">
        <v>79</v>
      </c>
      <c r="G35" s="13"/>
      <c r="H35" s="13">
        <v>86</v>
      </c>
      <c r="I35" s="13"/>
      <c r="J35" s="13">
        <v>76</v>
      </c>
      <c r="K35" s="13"/>
      <c r="L35" s="13"/>
      <c r="M35" s="13"/>
      <c r="N35" s="13">
        <v>0.8</v>
      </c>
      <c r="O35" s="13"/>
      <c r="P35" s="13">
        <v>0.4</v>
      </c>
      <c r="Q35" s="13"/>
      <c r="R35" s="13">
        <v>0.4</v>
      </c>
      <c r="S35" s="13"/>
      <c r="T35" s="13"/>
      <c r="U35" s="13"/>
      <c r="V35" s="13">
        <v>6</v>
      </c>
      <c r="W35" s="13"/>
      <c r="X35" s="13">
        <v>7</v>
      </c>
      <c r="Y35" s="13"/>
      <c r="Z35" s="13">
        <v>7</v>
      </c>
      <c r="AA35" s="13"/>
      <c r="AB35" s="13"/>
      <c r="AC35" s="13"/>
      <c r="AD35" s="13">
        <v>5.9</v>
      </c>
      <c r="AE35" s="13"/>
      <c r="AF35" s="13">
        <v>5.4</v>
      </c>
      <c r="AG35" s="13"/>
      <c r="AH35" s="13">
        <v>5.9</v>
      </c>
      <c r="AI35" s="13"/>
      <c r="AJ35" s="13"/>
      <c r="AK35" s="13"/>
      <c r="AL35" s="13"/>
      <c r="AM35" s="13"/>
      <c r="AN35" s="13"/>
      <c r="AO35" s="13"/>
      <c r="AP35" s="13"/>
      <c r="AQ35" s="13"/>
      <c r="AT35" s="28">
        <f>SUM(AL35,AD35,V35,N35,F35)</f>
        <v>91.7</v>
      </c>
      <c r="AV35" s="28">
        <f>SUM(AN35,AF35,X35,P35,H35)</f>
        <v>98.8</v>
      </c>
      <c r="AX35" s="28">
        <f>SUM(AP35,AH35,Z35,R35,J35)</f>
        <v>89.3</v>
      </c>
    </row>
    <row r="36" spans="6:23" ht="12.75"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2:43" ht="12.75">
      <c r="B37" s="11" t="s">
        <v>103</v>
      </c>
      <c r="D37" s="11" t="s">
        <v>17</v>
      </c>
      <c r="E37" s="30"/>
      <c r="F37" s="13">
        <f>'emiss 1'!$G$60</f>
        <v>8793</v>
      </c>
      <c r="G37" s="13"/>
      <c r="H37" s="13">
        <f>'emiss 1'!$I$60</f>
        <v>8731</v>
      </c>
      <c r="I37" s="13"/>
      <c r="J37" s="13">
        <f>'emiss 1'!$K$60</f>
        <v>8892</v>
      </c>
      <c r="K37" s="13"/>
      <c r="L37" s="13"/>
      <c r="M37" s="13"/>
      <c r="N37" s="13">
        <f>'emiss 1'!$G$60</f>
        <v>8793</v>
      </c>
      <c r="O37" s="13"/>
      <c r="P37" s="13">
        <f>'emiss 1'!$I$60</f>
        <v>8731</v>
      </c>
      <c r="Q37" s="13"/>
      <c r="R37" s="13">
        <f>'emiss 1'!$K$60</f>
        <v>8892</v>
      </c>
      <c r="S37" s="13"/>
      <c r="T37" s="13"/>
      <c r="U37" s="13"/>
      <c r="V37" s="13">
        <f>'emiss 1'!$G$60</f>
        <v>8793</v>
      </c>
      <c r="W37" s="13"/>
      <c r="X37" s="13">
        <f>'emiss 1'!$I$60</f>
        <v>8731</v>
      </c>
      <c r="Y37" s="13"/>
      <c r="Z37" s="13">
        <f>'emiss 1'!$K$60</f>
        <v>8892</v>
      </c>
      <c r="AA37" s="13"/>
      <c r="AD37" s="13">
        <f>'emiss 1'!$G$60</f>
        <v>8793</v>
      </c>
      <c r="AE37" s="13"/>
      <c r="AF37" s="13">
        <f>'emiss 1'!$I$60</f>
        <v>8731</v>
      </c>
      <c r="AG37" s="13"/>
      <c r="AH37" s="13">
        <f>'emiss 1'!$K$60</f>
        <v>8892</v>
      </c>
      <c r="AI37" s="13"/>
      <c r="AL37" s="13">
        <f>'emiss 1'!$G$60</f>
        <v>8793</v>
      </c>
      <c r="AM37" s="13"/>
      <c r="AN37" s="13">
        <f>'emiss 1'!$I$60</f>
        <v>8731</v>
      </c>
      <c r="AO37" s="13"/>
      <c r="AP37" s="13">
        <f>'emiss 1'!$K$60</f>
        <v>8892</v>
      </c>
      <c r="AQ37" s="13"/>
    </row>
    <row r="38" spans="2:43" ht="12.75">
      <c r="B38" s="11" t="s">
        <v>104</v>
      </c>
      <c r="D38" s="11" t="s">
        <v>18</v>
      </c>
      <c r="E38" s="30"/>
      <c r="F38" s="13">
        <f>'emiss 1'!$G$61</f>
        <v>9.8</v>
      </c>
      <c r="G38" s="13"/>
      <c r="H38" s="13">
        <f>'emiss 1'!$I$61</f>
        <v>9.7</v>
      </c>
      <c r="I38" s="13"/>
      <c r="J38" s="13">
        <f>'emiss 1'!$K$61</f>
        <v>9.7</v>
      </c>
      <c r="K38" s="13"/>
      <c r="L38" s="13"/>
      <c r="M38" s="13"/>
      <c r="N38" s="13">
        <f>'emiss 1'!$G$61</f>
        <v>9.8</v>
      </c>
      <c r="O38" s="13"/>
      <c r="P38" s="13">
        <f>'emiss 1'!$I$61</f>
        <v>9.7</v>
      </c>
      <c r="Q38" s="13"/>
      <c r="R38" s="13">
        <f>'emiss 1'!$K$61</f>
        <v>9.7</v>
      </c>
      <c r="S38" s="13"/>
      <c r="T38" s="13"/>
      <c r="U38" s="13"/>
      <c r="V38" s="13">
        <f>'emiss 1'!$G$61</f>
        <v>9.8</v>
      </c>
      <c r="W38" s="13"/>
      <c r="X38" s="13">
        <f>'emiss 1'!$I$61</f>
        <v>9.7</v>
      </c>
      <c r="Y38" s="13"/>
      <c r="Z38" s="13">
        <f>'emiss 1'!$K$61</f>
        <v>9.7</v>
      </c>
      <c r="AA38" s="13"/>
      <c r="AD38" s="13">
        <f>'emiss 1'!$G$61</f>
        <v>9.8</v>
      </c>
      <c r="AE38" s="13"/>
      <c r="AF38" s="13">
        <f>'emiss 1'!$I$61</f>
        <v>9.7</v>
      </c>
      <c r="AG38" s="13"/>
      <c r="AH38" s="13">
        <f>'emiss 1'!$K$61</f>
        <v>9.7</v>
      </c>
      <c r="AI38" s="13"/>
      <c r="AL38" s="13">
        <f>'emiss 1'!$G$61</f>
        <v>9.8</v>
      </c>
      <c r="AM38" s="13"/>
      <c r="AN38" s="13">
        <f>'emiss 1'!$I$61</f>
        <v>9.7</v>
      </c>
      <c r="AO38" s="13"/>
      <c r="AP38" s="13">
        <f>'emiss 1'!$K$61</f>
        <v>9.7</v>
      </c>
      <c r="AQ38" s="13"/>
    </row>
    <row r="39" spans="5:23" ht="12.75">
      <c r="E39" s="30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2:52" ht="12.75">
      <c r="B40" s="11" t="s">
        <v>110</v>
      </c>
      <c r="D40" s="11" t="s">
        <v>111</v>
      </c>
      <c r="E40" s="30"/>
      <c r="F40" s="13">
        <f>F32*F33/1000000</f>
        <v>0</v>
      </c>
      <c r="G40" s="13"/>
      <c r="H40" s="13">
        <f>H32*H33/1000000</f>
        <v>0</v>
      </c>
      <c r="I40" s="13"/>
      <c r="J40" s="13">
        <f>J32*J33/1000000</f>
        <v>0</v>
      </c>
      <c r="K40" s="13"/>
      <c r="L40" s="13"/>
      <c r="M40" s="13"/>
      <c r="N40" s="34">
        <f>N32*N33/1000000</f>
        <v>5.671389</v>
      </c>
      <c r="O40" s="34"/>
      <c r="P40" s="34">
        <f>P32*P33/1000000</f>
        <v>11.72668</v>
      </c>
      <c r="Q40" s="34"/>
      <c r="R40" s="34">
        <f>R32*R33/1000000</f>
        <v>6.304022</v>
      </c>
      <c r="S40" s="34"/>
      <c r="T40" s="13"/>
      <c r="U40" s="13"/>
      <c r="V40" s="34">
        <f>V32*V33/1000000</f>
        <v>5.74533</v>
      </c>
      <c r="W40" s="34"/>
      <c r="X40" s="34">
        <f>X32*X33/1000000</f>
        <v>5.239823</v>
      </c>
      <c r="Y40" s="34"/>
      <c r="Z40" s="34">
        <f>Z32*Z33/1000000</f>
        <v>5.326577</v>
      </c>
      <c r="AA40" s="34"/>
      <c r="AD40" s="34">
        <f>AD32*AD33/1000000</f>
        <v>0.024</v>
      </c>
      <c r="AE40" s="34"/>
      <c r="AF40" s="34">
        <f>AF32*AF33/1000000</f>
        <v>0.020569</v>
      </c>
      <c r="AG40" s="34"/>
      <c r="AH40" s="34">
        <f>AH32*AH33/1000000</f>
        <v>0.01535</v>
      </c>
      <c r="AI40" s="34"/>
      <c r="AL40" s="34">
        <f>AL32*AL33/1000000</f>
        <v>0</v>
      </c>
      <c r="AM40" s="34"/>
      <c r="AN40" s="34">
        <f>AN32*AN33/1000000</f>
        <v>0</v>
      </c>
      <c r="AO40" s="34"/>
      <c r="AP40" s="34">
        <f>AP32*AP33/1000000</f>
        <v>0</v>
      </c>
      <c r="AQ40" s="34"/>
      <c r="AT40" s="28">
        <f>SUM(AL40,AD40,V40,N40,F40)</f>
        <v>11.440719</v>
      </c>
      <c r="AV40" s="28">
        <f>SUM(AN40,AF40,X40,P40,H40)</f>
        <v>16.987072</v>
      </c>
      <c r="AX40" s="28">
        <f>SUM(AP40,AH40,Z40,R40,J40)</f>
        <v>11.645949</v>
      </c>
      <c r="AZ40" s="41">
        <f>AVERAGE(AT40,AV40,AX40)</f>
        <v>13.357913333333334</v>
      </c>
    </row>
    <row r="41" spans="2:23" ht="12.75">
      <c r="B41" s="11" t="s">
        <v>112</v>
      </c>
      <c r="D41" s="11" t="s">
        <v>111</v>
      </c>
      <c r="E41" s="3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5:23" ht="12.75">
      <c r="E42" s="3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2:23" ht="12.75">
      <c r="B43" s="47" t="s">
        <v>105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2:60" ht="12.75">
      <c r="B44" s="11" t="s">
        <v>107</v>
      </c>
      <c r="D44" s="11" t="s">
        <v>55</v>
      </c>
      <c r="E44" s="28" t="s">
        <v>15</v>
      </c>
      <c r="F44" s="42">
        <f>F34*454*1000000/F37/60/0.0283*(21-7)/(21-F38)</f>
        <v>0</v>
      </c>
      <c r="G44" s="42"/>
      <c r="H44" s="42">
        <f>H34*454*1000000/H37/60/0.0283*(21-7)/(21-H38)</f>
        <v>0</v>
      </c>
      <c r="I44" s="42"/>
      <c r="J44" s="42">
        <f>J34*454*1000000/J37/60/0.0283*(21-7)/(21-J38)</f>
        <v>0</v>
      </c>
      <c r="K44" s="42"/>
      <c r="L44" s="42">
        <f>AVERAGE(F44:J44)</f>
        <v>0</v>
      </c>
      <c r="M44" s="42"/>
      <c r="N44" s="42">
        <f>N34*454*1000000/N37/60/0.0283*(21-7)/(21-N38)</f>
        <v>3420846.730393877</v>
      </c>
      <c r="O44" s="42"/>
      <c r="P44" s="42">
        <f>P34*454*1000000/P37/60/0.0283*(21-7)/(21-P38)</f>
        <v>3300828.979692531</v>
      </c>
      <c r="Q44" s="42"/>
      <c r="R44" s="42">
        <f>R34*454*1000000/R37/60/0.0283*(21-7)/(21-R38)</f>
        <v>3166556.4227228872</v>
      </c>
      <c r="S44" s="42"/>
      <c r="T44" s="42">
        <f>AVERAGE(N44:R44)</f>
        <v>3296077.3776030983</v>
      </c>
      <c r="U44" s="42"/>
      <c r="V44" s="42">
        <f>V34*454*1000000/V37/60/0.0283*(21-7)/(21-V38)</f>
        <v>2128526.854467301</v>
      </c>
      <c r="W44" s="42"/>
      <c r="X44" s="42">
        <f>X34*454*1000000/X37/60/0.0283*(21-7)/(21-X38)</f>
        <v>2238493.2161133257</v>
      </c>
      <c r="Y44" s="42"/>
      <c r="Z44" s="42">
        <f>Z34*454*1000000/Z37/60/0.0283*(21-7)/(21-Z38)</f>
        <v>2980288.3978568343</v>
      </c>
      <c r="AA44" s="42"/>
      <c r="AB44" s="42">
        <f>AVERAGE(V44:Z44)</f>
        <v>2449102.822812487</v>
      </c>
      <c r="AC44" s="42"/>
      <c r="AD44" s="42">
        <f>AD34*454*1000000/AD37/60/0.0283*(21-7)/(21-AD38)</f>
        <v>38009.408115487524</v>
      </c>
      <c r="AE44" s="42"/>
      <c r="AF44" s="42">
        <f>AF34*454*1000000/AF37/60/0.0283*(21-7)/(21-AF38)</f>
        <v>37940.56298497162</v>
      </c>
      <c r="AG44" s="42"/>
      <c r="AH44" s="42">
        <f>AH34*454*1000000/AH37/60/0.0283*(21-7)/(21-AH38)</f>
        <v>37253.60497321044</v>
      </c>
      <c r="AI44" s="42"/>
      <c r="AJ44" s="42">
        <f>AVERAGE(AD44:AH44)</f>
        <v>37734.525357889856</v>
      </c>
      <c r="AK44" s="42"/>
      <c r="AL44" s="42">
        <f>AL34*454*1000000/AL37/60/0.0283*(21-7)/(21-AL38)</f>
        <v>0</v>
      </c>
      <c r="AM44" s="42"/>
      <c r="AN44" s="42">
        <f>AN34*454*1000000/AN37/60/0.0283*(21-7)/(21-AN38)</f>
        <v>0</v>
      </c>
      <c r="AO44" s="42"/>
      <c r="AP44" s="42">
        <f>AP34*454*1000000/AP37/60/0.0283*(21-7)/(21-AP38)</f>
        <v>0</v>
      </c>
      <c r="AQ44" s="42"/>
      <c r="AR44" s="42">
        <f>AVERAGE(AL44:AP44)</f>
        <v>0</v>
      </c>
      <c r="AS44" s="42"/>
      <c r="AT44" s="28">
        <f>SUM(AL44,AD44,V44,N44,F44)</f>
        <v>5587382.9929766655</v>
      </c>
      <c r="AV44" s="28">
        <f>SUM(AN44,AF44,X44,P44,H44)</f>
        <v>5577262.758790828</v>
      </c>
      <c r="AX44" s="28">
        <f>SUM(AP44,AH44,Z44,R44,J44)</f>
        <v>6184098.425552933</v>
      </c>
      <c r="AZ44" s="28">
        <f>SUM(AR44,AJ44,AB44,T44,L44)</f>
        <v>5782914.725773475</v>
      </c>
      <c r="BB44" s="28">
        <f>AT44</f>
        <v>5587382.9929766655</v>
      </c>
      <c r="BD44" s="28">
        <f>AV44</f>
        <v>5577262.758790828</v>
      </c>
      <c r="BF44" s="28">
        <f>AX44</f>
        <v>6184098.425552933</v>
      </c>
      <c r="BH44" s="28">
        <f>AZ44</f>
        <v>5782914.725773475</v>
      </c>
    </row>
    <row r="45" spans="2:60" ht="12.75">
      <c r="B45" s="11" t="s">
        <v>49</v>
      </c>
      <c r="D45" s="11" t="s">
        <v>61</v>
      </c>
      <c r="E45" s="28" t="s">
        <v>15</v>
      </c>
      <c r="F45" s="34">
        <f>F35*454*1000/F37/60/0.0283*(21-7)/(21-F38)</f>
        <v>3002.7432411235145</v>
      </c>
      <c r="G45" s="34"/>
      <c r="H45" s="34">
        <f>H35*454*1000/H37/60/0.0283*(21-7)/(21-H38)</f>
        <v>3262.888416707559</v>
      </c>
      <c r="I45" s="34"/>
      <c r="J45" s="34">
        <f>J35*454*1000/J37/60/0.0283*(21-7)/(21-J38)</f>
        <v>2831.2739779639933</v>
      </c>
      <c r="K45" s="34"/>
      <c r="L45" s="42">
        <f>AVERAGE(F45:J45)</f>
        <v>3032.3018785983554</v>
      </c>
      <c r="M45" s="42"/>
      <c r="N45" s="34">
        <f>N35*454*1000/N37/60/0.0283*(21-7)/(21-N38)</f>
        <v>30.40752649239002</v>
      </c>
      <c r="O45" s="34"/>
      <c r="P45" s="34">
        <f>P35*454*1000/P37/60/0.0283*(21-7)/(21-P38)</f>
        <v>15.17622519398865</v>
      </c>
      <c r="Q45" s="34"/>
      <c r="R45" s="34">
        <f>R35*454*1000/R37/60/0.0283*(21-7)/(21-R38)</f>
        <v>14.901441989284178</v>
      </c>
      <c r="S45" s="34"/>
      <c r="T45" s="42">
        <f>AVERAGE(N45:R45)</f>
        <v>20.16173122522095</v>
      </c>
      <c r="U45" s="42"/>
      <c r="V45" s="34">
        <f>V35*454*1000/V37/60/0.0283*(21-7)/(21-V38)</f>
        <v>228.05644869292513</v>
      </c>
      <c r="W45" s="34"/>
      <c r="X45" s="34">
        <f>X35*454*1000/X37/60/0.0283*(21-7)/(21-X38)</f>
        <v>265.5839408948014</v>
      </c>
      <c r="Y45" s="34"/>
      <c r="Z45" s="34">
        <f>Z35*454*1000/Z37/60/0.0283*(21-7)/(21-Z38)</f>
        <v>260.77523481247306</v>
      </c>
      <c r="AA45" s="34"/>
      <c r="AB45" s="42">
        <f>AVERAGE(V45:Z45)</f>
        <v>251.47187480006653</v>
      </c>
      <c r="AC45" s="42"/>
      <c r="AD45" s="34">
        <f>AD35*454*1000/AD37/60/0.0283*(21-7)/(21-AD38)</f>
        <v>224.25550788137645</v>
      </c>
      <c r="AE45" s="34"/>
      <c r="AF45" s="34">
        <f>AF35*454*1000/AF37/60/0.0283*(21-7)/(21-AF38)</f>
        <v>204.8790401188468</v>
      </c>
      <c r="AG45" s="34"/>
      <c r="AH45" s="34">
        <f>AH35*454*1000/AH37/60/0.0283*(21-7)/(21-AH38)</f>
        <v>219.7962693419416</v>
      </c>
      <c r="AI45" s="34"/>
      <c r="AJ45" s="42">
        <f>AVERAGE(AD45:AH45)</f>
        <v>216.31027244738831</v>
      </c>
      <c r="AK45" s="42"/>
      <c r="AL45" s="34">
        <f>AL35*454*1000/AL37/60/0.0283*(21-7)/(21-AL38)</f>
        <v>0</v>
      </c>
      <c r="AM45" s="34"/>
      <c r="AN45" s="34">
        <f>AN35*454*1000/AN37/60/0.0283*(21-7)/(21-AN38)</f>
        <v>0</v>
      </c>
      <c r="AO45" s="34"/>
      <c r="AP45" s="34">
        <f>AP35*454*1000/AP37/60/0.0283*(21-7)/(21-AP38)</f>
        <v>0</v>
      </c>
      <c r="AQ45" s="34"/>
      <c r="AR45" s="42">
        <f>AVERAGE(AL45:AP45)</f>
        <v>0</v>
      </c>
      <c r="AS45" s="42"/>
      <c r="AT45" s="41">
        <f>SUM(AL45,AD45,V45,N45,F45)</f>
        <v>3485.4627241902062</v>
      </c>
      <c r="AU45" s="41"/>
      <c r="AV45" s="41">
        <f>SUM(AN45,AF45,X45,P45,H45)</f>
        <v>3748.527622915196</v>
      </c>
      <c r="AW45" s="41"/>
      <c r="AX45" s="41">
        <f>SUM(AP45,AH45,Z45,R45,J45)</f>
        <v>3326.7469241076924</v>
      </c>
      <c r="AY45" s="41"/>
      <c r="AZ45" s="41">
        <f>SUM(AR45,AJ45,AB45,T45,L45)</f>
        <v>3520.245757071031</v>
      </c>
      <c r="BA45" s="41"/>
      <c r="BB45" s="41">
        <f>AT45</f>
        <v>3485.4627241902062</v>
      </c>
      <c r="BC45" s="41"/>
      <c r="BD45" s="41">
        <f>AV45</f>
        <v>3748.527622915196</v>
      </c>
      <c r="BE45" s="41"/>
      <c r="BF45" s="41">
        <f>AX45</f>
        <v>3326.7469241076924</v>
      </c>
      <c r="BG45" s="41"/>
      <c r="BH45" s="41">
        <f>AZ45</f>
        <v>3520.245757071031</v>
      </c>
    </row>
    <row r="49" spans="1:60" ht="12.75">
      <c r="A49" s="28" t="s">
        <v>84</v>
      </c>
      <c r="B49" s="27" t="s">
        <v>189</v>
      </c>
      <c r="C49" s="27" t="s">
        <v>83</v>
      </c>
      <c r="F49" s="30" t="s">
        <v>197</v>
      </c>
      <c r="G49" s="30"/>
      <c r="H49" s="30" t="s">
        <v>198</v>
      </c>
      <c r="I49" s="30"/>
      <c r="J49" s="30" t="s">
        <v>199</v>
      </c>
      <c r="K49" s="30"/>
      <c r="L49" s="30" t="s">
        <v>47</v>
      </c>
      <c r="M49" s="30"/>
      <c r="N49" s="30" t="s">
        <v>197</v>
      </c>
      <c r="O49" s="30"/>
      <c r="P49" s="30" t="s">
        <v>198</v>
      </c>
      <c r="Q49" s="30"/>
      <c r="R49" s="30" t="s">
        <v>199</v>
      </c>
      <c r="S49" s="30"/>
      <c r="T49" s="51" t="s">
        <v>47</v>
      </c>
      <c r="U49" s="51"/>
      <c r="V49" s="30" t="s">
        <v>197</v>
      </c>
      <c r="W49" s="30"/>
      <c r="X49" s="30" t="s">
        <v>198</v>
      </c>
      <c r="Y49" s="30"/>
      <c r="Z49" s="30" t="s">
        <v>199</v>
      </c>
      <c r="AA49" s="30"/>
      <c r="AB49" s="51" t="s">
        <v>47</v>
      </c>
      <c r="AC49" s="51"/>
      <c r="AD49" s="30" t="s">
        <v>197</v>
      </c>
      <c r="AE49" s="30"/>
      <c r="AF49" s="30" t="s">
        <v>198</v>
      </c>
      <c r="AG49" s="30"/>
      <c r="AH49" s="30" t="s">
        <v>199</v>
      </c>
      <c r="AI49" s="30"/>
      <c r="AJ49" s="51" t="s">
        <v>47</v>
      </c>
      <c r="AK49" s="51"/>
      <c r="AL49" s="30" t="s">
        <v>197</v>
      </c>
      <c r="AM49" s="30"/>
      <c r="AN49" s="30" t="s">
        <v>198</v>
      </c>
      <c r="AO49" s="30"/>
      <c r="AP49" s="30" t="s">
        <v>199</v>
      </c>
      <c r="AQ49" s="30"/>
      <c r="AR49" s="28" t="s">
        <v>47</v>
      </c>
      <c r="AT49" s="30" t="s">
        <v>197</v>
      </c>
      <c r="AU49" s="30"/>
      <c r="AV49" s="30" t="s">
        <v>198</v>
      </c>
      <c r="AW49" s="30"/>
      <c r="AX49" s="30" t="s">
        <v>199</v>
      </c>
      <c r="AY49" s="30"/>
      <c r="AZ49" s="28" t="s">
        <v>47</v>
      </c>
      <c r="BB49" s="30" t="s">
        <v>197</v>
      </c>
      <c r="BC49" s="30"/>
      <c r="BD49" s="30" t="s">
        <v>198</v>
      </c>
      <c r="BE49" s="30"/>
      <c r="BF49" s="30" t="s">
        <v>199</v>
      </c>
      <c r="BG49" s="30"/>
      <c r="BH49" s="28" t="s">
        <v>47</v>
      </c>
    </row>
    <row r="51" spans="2:52" ht="12.75">
      <c r="B51" s="11" t="s">
        <v>260</v>
      </c>
      <c r="F51" s="30" t="s">
        <v>263</v>
      </c>
      <c r="G51" s="30"/>
      <c r="H51" s="30" t="s">
        <v>263</v>
      </c>
      <c r="I51" s="30"/>
      <c r="J51" s="30" t="s">
        <v>263</v>
      </c>
      <c r="K51" s="30"/>
      <c r="L51" s="30" t="s">
        <v>263</v>
      </c>
      <c r="M51" s="30"/>
      <c r="N51" s="30" t="s">
        <v>265</v>
      </c>
      <c r="O51" s="30"/>
      <c r="P51" s="30" t="s">
        <v>265</v>
      </c>
      <c r="Q51" s="30"/>
      <c r="R51" s="30" t="s">
        <v>265</v>
      </c>
      <c r="S51" s="30"/>
      <c r="T51" s="30" t="s">
        <v>265</v>
      </c>
      <c r="U51" s="30"/>
      <c r="V51" s="30" t="s">
        <v>266</v>
      </c>
      <c r="W51" s="30"/>
      <c r="X51" s="30" t="s">
        <v>266</v>
      </c>
      <c r="Y51" s="30"/>
      <c r="Z51" s="30" t="s">
        <v>266</v>
      </c>
      <c r="AA51" s="30"/>
      <c r="AB51" s="30" t="s">
        <v>266</v>
      </c>
      <c r="AC51" s="30"/>
      <c r="AD51" s="30" t="s">
        <v>267</v>
      </c>
      <c r="AE51" s="30"/>
      <c r="AF51" s="30" t="s">
        <v>267</v>
      </c>
      <c r="AG51" s="30"/>
      <c r="AH51" s="30" t="s">
        <v>267</v>
      </c>
      <c r="AI51" s="30"/>
      <c r="AJ51" s="30" t="s">
        <v>267</v>
      </c>
      <c r="AK51" s="30"/>
      <c r="AL51" s="20" t="s">
        <v>268</v>
      </c>
      <c r="AM51" s="20"/>
      <c r="AN51" s="20" t="s">
        <v>268</v>
      </c>
      <c r="AO51" s="20"/>
      <c r="AP51" s="20" t="s">
        <v>268</v>
      </c>
      <c r="AQ51" s="20"/>
      <c r="AR51" s="20" t="s">
        <v>268</v>
      </c>
      <c r="AS51" s="20"/>
      <c r="AT51" s="20" t="s">
        <v>269</v>
      </c>
      <c r="AU51" s="20"/>
      <c r="AV51" s="20" t="s">
        <v>269</v>
      </c>
      <c r="AW51" s="20"/>
      <c r="AX51" s="20" t="s">
        <v>269</v>
      </c>
      <c r="AY51" s="20"/>
      <c r="AZ51" s="20" t="s">
        <v>269</v>
      </c>
    </row>
    <row r="52" spans="2:52" ht="12.75">
      <c r="B52" s="11" t="s">
        <v>261</v>
      </c>
      <c r="F52" s="30" t="s">
        <v>262</v>
      </c>
      <c r="G52" s="30"/>
      <c r="H52" s="30" t="s">
        <v>262</v>
      </c>
      <c r="I52" s="30"/>
      <c r="J52" s="30" t="s">
        <v>262</v>
      </c>
      <c r="K52" s="30"/>
      <c r="L52" s="30" t="s">
        <v>262</v>
      </c>
      <c r="M52" s="30"/>
      <c r="N52" s="30" t="s">
        <v>264</v>
      </c>
      <c r="O52" s="30"/>
      <c r="P52" s="30" t="s">
        <v>264</v>
      </c>
      <c r="Q52" s="30"/>
      <c r="R52" s="30" t="s">
        <v>264</v>
      </c>
      <c r="S52" s="30"/>
      <c r="T52" s="30" t="s">
        <v>264</v>
      </c>
      <c r="U52" s="30"/>
      <c r="V52" s="30" t="s">
        <v>264</v>
      </c>
      <c r="W52" s="30"/>
      <c r="X52" s="30" t="s">
        <v>264</v>
      </c>
      <c r="Y52" s="30"/>
      <c r="Z52" s="30" t="s">
        <v>264</v>
      </c>
      <c r="AA52" s="30"/>
      <c r="AB52" s="30" t="s">
        <v>264</v>
      </c>
      <c r="AC52" s="30"/>
      <c r="AD52" s="30" t="s">
        <v>264</v>
      </c>
      <c r="AE52" s="30"/>
      <c r="AF52" s="30" t="s">
        <v>264</v>
      </c>
      <c r="AG52" s="30"/>
      <c r="AH52" s="30" t="s">
        <v>264</v>
      </c>
      <c r="AI52" s="30"/>
      <c r="AJ52" s="30" t="s">
        <v>264</v>
      </c>
      <c r="AK52" s="30"/>
      <c r="AL52" s="20" t="s">
        <v>54</v>
      </c>
      <c r="AM52" s="20"/>
      <c r="AN52" s="20" t="s">
        <v>54</v>
      </c>
      <c r="AO52" s="20"/>
      <c r="AP52" s="20" t="s">
        <v>54</v>
      </c>
      <c r="AQ52" s="20"/>
      <c r="AR52" s="20" t="s">
        <v>54</v>
      </c>
      <c r="AS52" s="20"/>
      <c r="AT52" s="20" t="s">
        <v>25</v>
      </c>
      <c r="AU52" s="20"/>
      <c r="AV52" s="20" t="s">
        <v>25</v>
      </c>
      <c r="AW52" s="20"/>
      <c r="AX52" s="20" t="s">
        <v>25</v>
      </c>
      <c r="AY52" s="20"/>
      <c r="AZ52" s="20" t="s">
        <v>25</v>
      </c>
    </row>
    <row r="53" spans="2:60" ht="12.75">
      <c r="B53" s="11" t="s">
        <v>271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20" t="s">
        <v>54</v>
      </c>
      <c r="AM53" s="20"/>
      <c r="AN53" s="20" t="s">
        <v>54</v>
      </c>
      <c r="AO53" s="20"/>
      <c r="AP53" s="20" t="s">
        <v>54</v>
      </c>
      <c r="AQ53" s="20"/>
      <c r="AR53" s="20" t="s">
        <v>54</v>
      </c>
      <c r="AS53" s="20"/>
      <c r="AT53" s="20" t="s">
        <v>25</v>
      </c>
      <c r="AU53" s="20"/>
      <c r="AV53" s="20" t="s">
        <v>25</v>
      </c>
      <c r="AW53" s="20"/>
      <c r="AX53" s="20" t="s">
        <v>25</v>
      </c>
      <c r="AY53" s="20"/>
      <c r="AZ53" s="20" t="s">
        <v>25</v>
      </c>
      <c r="BB53" s="28" t="s">
        <v>62</v>
      </c>
      <c r="BD53" s="28" t="s">
        <v>62</v>
      </c>
      <c r="BF53" s="28" t="s">
        <v>62</v>
      </c>
      <c r="BH53" s="28" t="s">
        <v>62</v>
      </c>
    </row>
    <row r="54" spans="2:52" s="56" customFormat="1" ht="38.25">
      <c r="B54" s="56" t="s">
        <v>48</v>
      </c>
      <c r="E54" s="44"/>
      <c r="F54" s="44" t="s">
        <v>154</v>
      </c>
      <c r="G54" s="44"/>
      <c r="H54" s="44" t="s">
        <v>154</v>
      </c>
      <c r="I54" s="44"/>
      <c r="J54" s="44" t="s">
        <v>154</v>
      </c>
      <c r="K54" s="44"/>
      <c r="L54" s="44" t="s">
        <v>154</v>
      </c>
      <c r="M54" s="44"/>
      <c r="N54" s="44" t="s">
        <v>155</v>
      </c>
      <c r="O54" s="44"/>
      <c r="P54" s="44" t="s">
        <v>155</v>
      </c>
      <c r="Q54" s="44"/>
      <c r="R54" s="44" t="s">
        <v>155</v>
      </c>
      <c r="S54" s="44"/>
      <c r="T54" s="44" t="s">
        <v>155</v>
      </c>
      <c r="U54" s="44"/>
      <c r="V54" s="44" t="s">
        <v>156</v>
      </c>
      <c r="W54" s="44"/>
      <c r="X54" s="44" t="s">
        <v>156</v>
      </c>
      <c r="Y54" s="44"/>
      <c r="Z54" s="44" t="s">
        <v>156</v>
      </c>
      <c r="AA54" s="44"/>
      <c r="AB54" s="44" t="s">
        <v>156</v>
      </c>
      <c r="AC54" s="44"/>
      <c r="AD54" s="56" t="s">
        <v>157</v>
      </c>
      <c r="AF54" s="56" t="s">
        <v>157</v>
      </c>
      <c r="AH54" s="56" t="s">
        <v>157</v>
      </c>
      <c r="AJ54" s="56" t="s">
        <v>157</v>
      </c>
      <c r="AL54" s="56" t="s">
        <v>54</v>
      </c>
      <c r="AN54" s="56" t="s">
        <v>54</v>
      </c>
      <c r="AP54" s="56" t="s">
        <v>54</v>
      </c>
      <c r="AR54" s="56" t="s">
        <v>54</v>
      </c>
      <c r="AT54" s="56" t="s">
        <v>25</v>
      </c>
      <c r="AV54" s="56" t="s">
        <v>25</v>
      </c>
      <c r="AX54" s="56" t="s">
        <v>25</v>
      </c>
      <c r="AZ54" s="56" t="s">
        <v>25</v>
      </c>
    </row>
    <row r="55" spans="2:45" ht="12.75">
      <c r="B55" s="11" t="s">
        <v>85</v>
      </c>
      <c r="D55" s="11" t="s">
        <v>52</v>
      </c>
      <c r="E55" s="13"/>
      <c r="F55" s="13">
        <v>0</v>
      </c>
      <c r="G55" s="13"/>
      <c r="H55" s="13">
        <v>0</v>
      </c>
      <c r="I55" s="13"/>
      <c r="J55" s="13">
        <v>0</v>
      </c>
      <c r="K55" s="13"/>
      <c r="L55" s="13"/>
      <c r="M55" s="13"/>
      <c r="N55" s="13">
        <v>415</v>
      </c>
      <c r="O55" s="13"/>
      <c r="P55" s="13">
        <v>414</v>
      </c>
      <c r="Q55" s="13"/>
      <c r="R55" s="13">
        <v>498</v>
      </c>
      <c r="S55" s="13"/>
      <c r="T55" s="13"/>
      <c r="U55" s="13"/>
      <c r="V55" s="13">
        <v>543</v>
      </c>
      <c r="W55" s="13"/>
      <c r="X55" s="13">
        <v>553</v>
      </c>
      <c r="Y55" s="13"/>
      <c r="Z55" s="13">
        <v>425</v>
      </c>
      <c r="AA55" s="13"/>
      <c r="AB55" s="13"/>
      <c r="AC55" s="13"/>
      <c r="AD55" s="13">
        <v>370</v>
      </c>
      <c r="AE55" s="13"/>
      <c r="AF55" s="13">
        <v>370</v>
      </c>
      <c r="AG55" s="13"/>
      <c r="AH55" s="13">
        <v>523</v>
      </c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2:45" ht="12.75">
      <c r="B56" s="11" t="s">
        <v>108</v>
      </c>
      <c r="D56" s="11" t="s">
        <v>109</v>
      </c>
      <c r="E56" s="13"/>
      <c r="F56" s="13">
        <v>0</v>
      </c>
      <c r="G56" s="13"/>
      <c r="H56" s="13">
        <v>0</v>
      </c>
      <c r="I56" s="13"/>
      <c r="J56" s="13">
        <v>0</v>
      </c>
      <c r="K56" s="13"/>
      <c r="L56" s="13"/>
      <c r="M56" s="13"/>
      <c r="N56" s="13">
        <v>14078</v>
      </c>
      <c r="O56" s="13"/>
      <c r="P56" s="13">
        <v>14360</v>
      </c>
      <c r="Q56" s="13"/>
      <c r="R56" s="13">
        <v>15286</v>
      </c>
      <c r="S56" s="13"/>
      <c r="T56" s="13"/>
      <c r="U56" s="13"/>
      <c r="V56" s="13">
        <v>14445</v>
      </c>
      <c r="W56" s="13"/>
      <c r="X56" s="13">
        <v>13940</v>
      </c>
      <c r="Y56" s="13"/>
      <c r="Z56" s="13">
        <v>15708</v>
      </c>
      <c r="AA56" s="13"/>
      <c r="AB56" s="13"/>
      <c r="AC56" s="13"/>
      <c r="AD56" s="13">
        <v>50</v>
      </c>
      <c r="AE56" s="13"/>
      <c r="AF56" s="13">
        <v>50</v>
      </c>
      <c r="AG56" s="13"/>
      <c r="AH56" s="13">
        <v>128</v>
      </c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2:50" ht="12.75">
      <c r="B57" s="11" t="s">
        <v>107</v>
      </c>
      <c r="D57" s="11" t="s">
        <v>52</v>
      </c>
      <c r="E57" s="13"/>
      <c r="F57" s="13">
        <v>0</v>
      </c>
      <c r="G57" s="13"/>
      <c r="H57" s="13">
        <v>0</v>
      </c>
      <c r="I57" s="13"/>
      <c r="J57" s="13">
        <v>0</v>
      </c>
      <c r="K57" s="13"/>
      <c r="L57" s="13"/>
      <c r="M57" s="13"/>
      <c r="N57" s="13">
        <v>51</v>
      </c>
      <c r="O57" s="13"/>
      <c r="P57" s="13">
        <v>94</v>
      </c>
      <c r="Q57" s="13"/>
      <c r="R57" s="13">
        <v>79</v>
      </c>
      <c r="S57" s="13"/>
      <c r="T57" s="13"/>
      <c r="U57" s="13"/>
      <c r="V57" s="13">
        <v>84</v>
      </c>
      <c r="W57" s="13"/>
      <c r="X57" s="13">
        <v>89</v>
      </c>
      <c r="Y57" s="13"/>
      <c r="Z57" s="13">
        <v>46</v>
      </c>
      <c r="AA57" s="13"/>
      <c r="AB57" s="13"/>
      <c r="AC57" s="13"/>
      <c r="AD57" s="13">
        <v>1</v>
      </c>
      <c r="AE57" s="13"/>
      <c r="AF57" s="13">
        <v>1</v>
      </c>
      <c r="AG57" s="13"/>
      <c r="AH57" s="13">
        <v>2</v>
      </c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28">
        <f>SUM(AL57,AD57,V57,N57,F57)</f>
        <v>136</v>
      </c>
      <c r="AV57" s="28">
        <f>SUM(AN57,AF57,X57,P57,H57)</f>
        <v>184</v>
      </c>
      <c r="AX57" s="28">
        <f>SUM(AP57,AH57,Z57,R57,J57)</f>
        <v>127</v>
      </c>
    </row>
    <row r="58" spans="2:50" ht="12.75">
      <c r="B58" s="11" t="s">
        <v>49</v>
      </c>
      <c r="D58" s="11" t="s">
        <v>52</v>
      </c>
      <c r="E58" s="13"/>
      <c r="F58" s="13">
        <v>0</v>
      </c>
      <c r="G58" s="13"/>
      <c r="H58" s="13">
        <v>0</v>
      </c>
      <c r="I58" s="13"/>
      <c r="J58" s="13">
        <v>0</v>
      </c>
      <c r="K58" s="13"/>
      <c r="L58" s="13"/>
      <c r="M58" s="13"/>
      <c r="N58" s="13">
        <v>0.7</v>
      </c>
      <c r="O58" s="13"/>
      <c r="P58" s="13">
        <v>0.4</v>
      </c>
      <c r="Q58" s="13"/>
      <c r="R58" s="13">
        <v>0.7</v>
      </c>
      <c r="S58" s="13"/>
      <c r="T58" s="13"/>
      <c r="U58" s="13"/>
      <c r="V58" s="13">
        <v>0</v>
      </c>
      <c r="W58" s="13"/>
      <c r="X58" s="13">
        <v>0</v>
      </c>
      <c r="Y58" s="13"/>
      <c r="Z58" s="13">
        <v>1</v>
      </c>
      <c r="AA58" s="13"/>
      <c r="AB58" s="13"/>
      <c r="AC58" s="13"/>
      <c r="AD58" s="13">
        <v>5.4</v>
      </c>
      <c r="AE58" s="13"/>
      <c r="AF58" s="13">
        <v>5.5</v>
      </c>
      <c r="AG58" s="13"/>
      <c r="AH58" s="13">
        <v>2.2</v>
      </c>
      <c r="AI58" s="13"/>
      <c r="AJ58" s="13"/>
      <c r="AK58" s="13"/>
      <c r="AL58" s="13">
        <v>6</v>
      </c>
      <c r="AM58" s="13"/>
      <c r="AN58" s="13">
        <v>6</v>
      </c>
      <c r="AO58" s="13"/>
      <c r="AP58" s="13">
        <v>22</v>
      </c>
      <c r="AQ58" s="13"/>
      <c r="AR58" s="13"/>
      <c r="AS58" s="13"/>
      <c r="AT58" s="28">
        <f>SUM(AL58,AD58,V58,N58,F58)</f>
        <v>12.1</v>
      </c>
      <c r="AV58" s="28">
        <f>SUM(AN58,AF58,X58,P58,H58)</f>
        <v>11.9</v>
      </c>
      <c r="AX58" s="28">
        <f>SUM(AP58,AH58,Z58,R58,J58)</f>
        <v>25.9</v>
      </c>
    </row>
    <row r="59" spans="2:45" ht="12.75">
      <c r="B59" s="11" t="s">
        <v>162</v>
      </c>
      <c r="D59" s="11" t="s">
        <v>52</v>
      </c>
      <c r="E59" s="13"/>
      <c r="F59" s="13"/>
      <c r="G59" s="13"/>
      <c r="H59" s="13"/>
      <c r="I59" s="13"/>
      <c r="J59" s="13"/>
      <c r="K59" s="13"/>
      <c r="L59" s="13"/>
      <c r="M59" s="13"/>
      <c r="N59" s="62">
        <f>0.4*N$55/1000000</f>
        <v>0.000166</v>
      </c>
      <c r="O59" s="62"/>
      <c r="P59" s="62">
        <f>0.48*P$55/1000000</f>
        <v>0.00019872</v>
      </c>
      <c r="Q59" s="62"/>
      <c r="R59" s="62">
        <f>0.291*R$55/1000000</f>
        <v>0.00014491799999999998</v>
      </c>
      <c r="S59" s="62"/>
      <c r="T59" s="13"/>
      <c r="U59" s="13"/>
      <c r="V59" s="62">
        <f>0.445*V$55/1000000</f>
        <v>0.000241635</v>
      </c>
      <c r="W59" s="62"/>
      <c r="X59" s="62">
        <f>0.467*X$55/1000000</f>
        <v>0.00025825100000000003</v>
      </c>
      <c r="Y59" s="62"/>
      <c r="Z59" s="62">
        <f>0.23*Z$55/1000000</f>
        <v>9.775E-05</v>
      </c>
      <c r="AA59" s="62"/>
      <c r="AB59" s="13"/>
      <c r="AC59" s="13"/>
      <c r="AD59" s="62">
        <f>0.414*AD$55/1000000</f>
        <v>0.00015317999999999997</v>
      </c>
      <c r="AE59" s="62"/>
      <c r="AF59" s="62">
        <f>0.352*AF$55/1000000</f>
        <v>0.00013023999999999997</v>
      </c>
      <c r="AG59" s="62"/>
      <c r="AH59" s="62">
        <f>0.176*AH$55/1000000</f>
        <v>9.204799999999998E-05</v>
      </c>
      <c r="AI59" s="62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2:45" ht="12.75">
      <c r="B60" s="11" t="s">
        <v>158</v>
      </c>
      <c r="D60" s="11" t="s">
        <v>52</v>
      </c>
      <c r="E60" s="13"/>
      <c r="F60" s="13"/>
      <c r="G60" s="13"/>
      <c r="H60" s="13"/>
      <c r="I60" s="13"/>
      <c r="J60" s="13"/>
      <c r="K60" s="13"/>
      <c r="L60" s="13"/>
      <c r="M60" s="13"/>
      <c r="N60" s="62">
        <f>0.05*N$55/1000000</f>
        <v>2.075E-05</v>
      </c>
      <c r="O60" s="62"/>
      <c r="P60" s="62">
        <f>0.05*P$55/1000000</f>
        <v>2.0700000000000002E-05</v>
      </c>
      <c r="Q60" s="62"/>
      <c r="R60" s="62">
        <f>0.052*R$55/1000000</f>
        <v>2.5895999999999997E-05</v>
      </c>
      <c r="S60" s="62"/>
      <c r="T60" s="13"/>
      <c r="U60" s="13"/>
      <c r="V60" s="62">
        <f>0.05*V$55/1000000</f>
        <v>2.7150000000000003E-05</v>
      </c>
      <c r="W60" s="62"/>
      <c r="X60" s="62">
        <f>0.05*X$55/1000000</f>
        <v>2.765E-05</v>
      </c>
      <c r="Y60" s="62"/>
      <c r="Z60" s="62">
        <f>0.02*Z$55/1000000</f>
        <v>8.5E-06</v>
      </c>
      <c r="AA60" s="62"/>
      <c r="AB60" s="13"/>
      <c r="AC60" s="13"/>
      <c r="AD60" s="62">
        <f>0.953*AD$55/1000000</f>
        <v>0.00035260999999999995</v>
      </c>
      <c r="AE60" s="62"/>
      <c r="AF60" s="62">
        <f>0.89*AF$55/1000000</f>
        <v>0.00032930000000000004</v>
      </c>
      <c r="AG60" s="62"/>
      <c r="AH60" s="62">
        <f>0.513*AH$55/1000000</f>
        <v>0.000268299</v>
      </c>
      <c r="AI60" s="62"/>
      <c r="AJ60" s="13"/>
      <c r="AK60" s="13"/>
      <c r="AL60" s="13">
        <v>0.279</v>
      </c>
      <c r="AM60" s="13"/>
      <c r="AN60" s="13">
        <v>0.279</v>
      </c>
      <c r="AO60" s="13"/>
      <c r="AP60" s="13">
        <v>0.334</v>
      </c>
      <c r="AQ60" s="13"/>
      <c r="AR60" s="13"/>
      <c r="AS60" s="13"/>
    </row>
    <row r="61" spans="2:45" ht="12.75">
      <c r="B61" s="11" t="s">
        <v>164</v>
      </c>
      <c r="D61" s="11" t="s">
        <v>52</v>
      </c>
      <c r="E61" s="13"/>
      <c r="F61" s="13"/>
      <c r="G61" s="13"/>
      <c r="H61" s="13"/>
      <c r="I61" s="13"/>
      <c r="J61" s="13"/>
      <c r="K61" s="13"/>
      <c r="L61" s="13"/>
      <c r="M61" s="13"/>
      <c r="N61" s="62">
        <f>0.736*N$55/1000000</f>
        <v>0.00030544</v>
      </c>
      <c r="O61" s="62"/>
      <c r="P61" s="62">
        <f>1.177*P$55/1000000</f>
        <v>0.000487278</v>
      </c>
      <c r="Q61" s="62"/>
      <c r="R61" s="62">
        <f>2.812*R$55/1000000</f>
        <v>0.001400376</v>
      </c>
      <c r="S61" s="62"/>
      <c r="T61" s="13"/>
      <c r="U61" s="13"/>
      <c r="V61" s="62">
        <f>1.306*V$55/1000000</f>
        <v>0.000709158</v>
      </c>
      <c r="W61" s="62"/>
      <c r="X61" s="62">
        <f>1.379*X$55/1000000</f>
        <v>0.000762587</v>
      </c>
      <c r="Y61" s="62"/>
      <c r="Z61" s="62">
        <f>1.922*Z$55/1000000</f>
        <v>0.00081685</v>
      </c>
      <c r="AA61" s="62"/>
      <c r="AB61" s="13"/>
      <c r="AC61" s="13"/>
      <c r="AD61" s="62">
        <f>3.11*AD$55/1000000</f>
        <v>0.0011507</v>
      </c>
      <c r="AE61" s="62"/>
      <c r="AF61" s="62">
        <f>2.74*AF$55/1000000</f>
        <v>0.0010138</v>
      </c>
      <c r="AG61" s="62"/>
      <c r="AH61" s="62">
        <f>1.5*AH$55/1000000</f>
        <v>0.0007845</v>
      </c>
      <c r="AI61" s="62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2:45" ht="12.75">
      <c r="B62" s="11" t="s">
        <v>163</v>
      </c>
      <c r="D62" s="11" t="s">
        <v>52</v>
      </c>
      <c r="E62" s="13"/>
      <c r="F62" s="13"/>
      <c r="G62" s="13"/>
      <c r="H62" s="13"/>
      <c r="I62" s="13"/>
      <c r="J62" s="13"/>
      <c r="K62" s="13"/>
      <c r="L62" s="13"/>
      <c r="M62" s="13"/>
      <c r="N62" s="62">
        <f>0.05*N$55/1000000</f>
        <v>2.075E-05</v>
      </c>
      <c r="O62" s="62"/>
      <c r="P62" s="62">
        <f>0.05*P$55/1000000</f>
        <v>2.0700000000000002E-05</v>
      </c>
      <c r="Q62" s="62"/>
      <c r="R62" s="62">
        <f>0.024*R$55/1000000</f>
        <v>1.1952E-05</v>
      </c>
      <c r="S62" s="62"/>
      <c r="T62" s="13"/>
      <c r="U62" s="13"/>
      <c r="V62" s="62">
        <f>0.05*V$55/1000000</f>
        <v>2.7150000000000003E-05</v>
      </c>
      <c r="W62" s="62"/>
      <c r="X62" s="62">
        <f>0.05*X$55/1000000</f>
        <v>2.765E-05</v>
      </c>
      <c r="Y62" s="62"/>
      <c r="Z62" s="62">
        <f>0.011*Z$55/1000000</f>
        <v>4.675E-06</v>
      </c>
      <c r="AA62" s="62"/>
      <c r="AB62" s="13"/>
      <c r="AC62" s="13"/>
      <c r="AD62" s="62">
        <f>0.067*AD$55/1000000</f>
        <v>2.479E-05</v>
      </c>
      <c r="AE62" s="62"/>
      <c r="AF62" s="62">
        <f>0.0625*AF$55/1000000</f>
        <v>2.3125E-05</v>
      </c>
      <c r="AG62" s="62"/>
      <c r="AH62" s="62">
        <f>0.0651*AH$55/1000000</f>
        <v>3.40473E-05</v>
      </c>
      <c r="AI62" s="62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2:45" ht="12.75">
      <c r="B63" s="11" t="s">
        <v>159</v>
      </c>
      <c r="D63" s="11" t="s">
        <v>52</v>
      </c>
      <c r="E63" s="13"/>
      <c r="F63" s="13"/>
      <c r="G63" s="13"/>
      <c r="H63" s="13"/>
      <c r="I63" s="13"/>
      <c r="J63" s="13"/>
      <c r="K63" s="13"/>
      <c r="L63" s="13"/>
      <c r="M63" s="13"/>
      <c r="N63" s="62">
        <f>0.117*N$55/1000000</f>
        <v>4.8555E-05</v>
      </c>
      <c r="O63" s="62"/>
      <c r="P63" s="62">
        <f>0.152*P$55/1000000</f>
        <v>6.292799999999999E-05</v>
      </c>
      <c r="Q63" s="62"/>
      <c r="R63" s="62">
        <f>0.069*R$55/1000000</f>
        <v>3.4362E-05</v>
      </c>
      <c r="S63" s="62"/>
      <c r="T63" s="13"/>
      <c r="U63" s="13"/>
      <c r="V63" s="62">
        <f>0.191*V$55/1000000</f>
        <v>0.00010371300000000001</v>
      </c>
      <c r="W63" s="62"/>
      <c r="X63" s="62">
        <f>0.206*X$55/1000000</f>
        <v>0.00011391799999999999</v>
      </c>
      <c r="Y63" s="62"/>
      <c r="Z63" s="62">
        <f>0.039*Z$55/1000000</f>
        <v>1.6575E-05</v>
      </c>
      <c r="AA63" s="62"/>
      <c r="AB63" s="13"/>
      <c r="AC63" s="13"/>
      <c r="AD63" s="62">
        <f>0.385*AD$55/1000000</f>
        <v>0.00014245000000000002</v>
      </c>
      <c r="AE63" s="62"/>
      <c r="AF63" s="62">
        <f>0.353*AF$55/1000000</f>
        <v>0.00013061</v>
      </c>
      <c r="AG63" s="62"/>
      <c r="AH63" s="62">
        <f>0.224*AH$55/1000000</f>
        <v>0.000117152</v>
      </c>
      <c r="AI63" s="62"/>
      <c r="AJ63" s="13"/>
      <c r="AK63" s="13"/>
      <c r="AL63" s="13">
        <v>0.213</v>
      </c>
      <c r="AM63" s="13"/>
      <c r="AN63" s="13">
        <v>0.213</v>
      </c>
      <c r="AO63" s="13"/>
      <c r="AP63" s="13">
        <v>0.212</v>
      </c>
      <c r="AQ63" s="13"/>
      <c r="AR63" s="13"/>
      <c r="AS63" s="13"/>
    </row>
    <row r="64" spans="2:45" ht="12.75">
      <c r="B64" s="11" t="s">
        <v>160</v>
      </c>
      <c r="D64" s="11" t="s">
        <v>52</v>
      </c>
      <c r="E64" s="13"/>
      <c r="F64" s="13"/>
      <c r="G64" s="13"/>
      <c r="H64" s="13"/>
      <c r="I64" s="13"/>
      <c r="J64" s="13"/>
      <c r="K64" s="13"/>
      <c r="L64" s="13"/>
      <c r="M64" s="13"/>
      <c r="N64" s="62">
        <f>0.7*N$55/1000000</f>
        <v>0.0002905</v>
      </c>
      <c r="O64" s="62"/>
      <c r="P64" s="62">
        <f>1.091*P$55/1000000</f>
        <v>0.000451674</v>
      </c>
      <c r="Q64" s="62"/>
      <c r="R64" s="62">
        <f>2.741*R$55/1000000</f>
        <v>0.001365018</v>
      </c>
      <c r="S64" s="62"/>
      <c r="T64" s="13"/>
      <c r="U64" s="13"/>
      <c r="V64" s="62">
        <f>1.396*V$55/1000000</f>
        <v>0.0007580279999999999</v>
      </c>
      <c r="W64" s="62"/>
      <c r="X64" s="62">
        <f>1.345*X$55/1000000</f>
        <v>0.000743785</v>
      </c>
      <c r="Y64" s="62"/>
      <c r="Z64" s="62">
        <f>1.229*Z$55/1000000</f>
        <v>0.000522325</v>
      </c>
      <c r="AA64" s="62"/>
      <c r="AB64" s="13"/>
      <c r="AC64" s="13"/>
      <c r="AD64" s="62">
        <f>29.9*AD$55/1000000</f>
        <v>0.011063</v>
      </c>
      <c r="AE64" s="62"/>
      <c r="AF64" s="62">
        <f>27.2*AF$55/1000000</f>
        <v>0.010064</v>
      </c>
      <c r="AG64" s="62"/>
      <c r="AH64" s="62">
        <f>13.5*AH$55/1000000</f>
        <v>0.0070605</v>
      </c>
      <c r="AI64" s="62"/>
      <c r="AJ64" s="13"/>
      <c r="AK64" s="13"/>
      <c r="AL64" s="13">
        <v>0.284</v>
      </c>
      <c r="AM64" s="13"/>
      <c r="AN64" s="13">
        <v>0.284</v>
      </c>
      <c r="AO64" s="13"/>
      <c r="AP64" s="13">
        <v>0.298</v>
      </c>
      <c r="AQ64" s="13"/>
      <c r="AR64" s="13"/>
      <c r="AS64" s="13"/>
    </row>
    <row r="65" spans="2:45" ht="12.75">
      <c r="B65" s="11" t="s">
        <v>165</v>
      </c>
      <c r="D65" s="11" t="s">
        <v>52</v>
      </c>
      <c r="E65" s="13"/>
      <c r="F65" s="13"/>
      <c r="G65" s="13"/>
      <c r="H65" s="13"/>
      <c r="I65" s="13"/>
      <c r="J65" s="13"/>
      <c r="K65" s="13"/>
      <c r="L65" s="13"/>
      <c r="M65" s="13"/>
      <c r="N65" s="62">
        <f>0.079*N$55/1000000</f>
        <v>3.2785000000000005E-05</v>
      </c>
      <c r="O65" s="62"/>
      <c r="P65" s="62">
        <f>0.071*P$55/1000000</f>
        <v>2.9393999999999997E-05</v>
      </c>
      <c r="Q65" s="62"/>
      <c r="R65" s="62">
        <f>0.1*R$55/1000000</f>
        <v>4.9800000000000004E-05</v>
      </c>
      <c r="S65" s="62"/>
      <c r="T65" s="13"/>
      <c r="U65" s="13"/>
      <c r="V65" s="62">
        <f>0.093*V$55/1000000</f>
        <v>5.0499000000000006E-05</v>
      </c>
      <c r="W65" s="62"/>
      <c r="X65" s="62">
        <f>0.078*X$55/1000000</f>
        <v>4.3134E-05</v>
      </c>
      <c r="Y65" s="62"/>
      <c r="Z65" s="62">
        <f>0.051*Z$55/1000000</f>
        <v>2.1674999999999998E-05</v>
      </c>
      <c r="AA65" s="62"/>
      <c r="AB65" s="13"/>
      <c r="AC65" s="13"/>
      <c r="AD65" s="62">
        <f>0.497*AD$55/1000000</f>
        <v>0.00018388999999999998</v>
      </c>
      <c r="AE65" s="62"/>
      <c r="AF65" s="62">
        <f>0.472*AF$55/1000000</f>
        <v>0.00017464</v>
      </c>
      <c r="AG65" s="62"/>
      <c r="AH65" s="62">
        <f>0.231*AH$55/1000000</f>
        <v>0.000120813</v>
      </c>
      <c r="AI65" s="62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2:45" ht="12.75">
      <c r="B66" s="11" t="s">
        <v>161</v>
      </c>
      <c r="D66" s="11" t="s">
        <v>52</v>
      </c>
      <c r="E66" s="13"/>
      <c r="F66" s="13"/>
      <c r="G66" s="13"/>
      <c r="H66" s="13"/>
      <c r="I66" s="13"/>
      <c r="J66" s="13"/>
      <c r="K66" s="13"/>
      <c r="L66" s="13"/>
      <c r="M66" s="13"/>
      <c r="N66" s="62">
        <f>1.59*N$55/1000000</f>
        <v>0.00065985</v>
      </c>
      <c r="O66" s="62"/>
      <c r="P66" s="62">
        <f>2.586*P$55/1000000</f>
        <v>0.001070604</v>
      </c>
      <c r="Q66" s="62"/>
      <c r="R66" s="62">
        <f>5.969*R$55/1000000</f>
        <v>0.002972562</v>
      </c>
      <c r="S66" s="62"/>
      <c r="T66" s="13"/>
      <c r="U66" s="13"/>
      <c r="V66" s="62">
        <f>2.93*V$55/1000000</f>
        <v>0.00159099</v>
      </c>
      <c r="W66" s="62"/>
      <c r="X66" s="62">
        <f>2.911*X$55/1000000</f>
        <v>0.001609783</v>
      </c>
      <c r="Y66" s="62"/>
      <c r="Z66" s="62">
        <f>3.625*Z$55/1000000</f>
        <v>0.001540625</v>
      </c>
      <c r="AA66" s="62"/>
      <c r="AB66" s="13"/>
      <c r="AC66" s="13"/>
      <c r="AD66" s="62">
        <f>12.8*AD$55/1000000</f>
        <v>0.004736</v>
      </c>
      <c r="AE66" s="62"/>
      <c r="AF66" s="62">
        <f>12.6*AF$55/1000000</f>
        <v>0.004662</v>
      </c>
      <c r="AG66" s="62"/>
      <c r="AH66" s="62">
        <f>4.62*AH$55/1000000</f>
        <v>0.0024162600000000004</v>
      </c>
      <c r="AI66" s="62"/>
      <c r="AJ66" s="13"/>
      <c r="AK66" s="13"/>
      <c r="AL66" s="13">
        <v>2.59</v>
      </c>
      <c r="AM66" s="13"/>
      <c r="AN66" s="13">
        <v>2.6</v>
      </c>
      <c r="AO66" s="13"/>
      <c r="AP66" s="13">
        <v>2.61</v>
      </c>
      <c r="AQ66" s="13"/>
      <c r="AR66" s="13"/>
      <c r="AS66" s="13"/>
    </row>
    <row r="67" spans="2:45" ht="12.75">
      <c r="B67" s="11" t="s">
        <v>166</v>
      </c>
      <c r="D67" s="11" t="s">
        <v>52</v>
      </c>
      <c r="E67" s="13"/>
      <c r="F67" s="13"/>
      <c r="G67" s="13"/>
      <c r="H67" s="13"/>
      <c r="I67" s="13"/>
      <c r="J67" s="13"/>
      <c r="K67" s="13"/>
      <c r="L67" s="13"/>
      <c r="M67" s="13"/>
      <c r="N67" s="62">
        <f>3.86*N$55/1000000</f>
        <v>0.0016018999999999999</v>
      </c>
      <c r="O67" s="62"/>
      <c r="P67" s="62">
        <f>1.636*P$55/1000000</f>
        <v>0.000677304</v>
      </c>
      <c r="Q67" s="62"/>
      <c r="R67" s="62">
        <f>6.698*R$55/1000000</f>
        <v>0.0033356040000000003</v>
      </c>
      <c r="S67" s="62"/>
      <c r="T67" s="13"/>
      <c r="U67" s="13"/>
      <c r="V67" s="62">
        <f>2.357*V$55/1000000</f>
        <v>0.001279851</v>
      </c>
      <c r="W67" s="62"/>
      <c r="X67" s="62">
        <f>1.943*X$55/1000000</f>
        <v>0.0010744790000000001</v>
      </c>
      <c r="Y67" s="62"/>
      <c r="Z67" s="62">
        <f>3.879*Z$55/1000000</f>
        <v>0.001648575</v>
      </c>
      <c r="AA67" s="62"/>
      <c r="AB67" s="13"/>
      <c r="AC67" s="13"/>
      <c r="AD67" s="62">
        <f>16.6*AD$55/1000000</f>
        <v>0.006142000000000001</v>
      </c>
      <c r="AE67" s="62"/>
      <c r="AF67" s="62">
        <f>15.2*AF$55/1000000</f>
        <v>0.005624</v>
      </c>
      <c r="AG67" s="62"/>
      <c r="AH67" s="62">
        <f>23.8*AH$55/1000000</f>
        <v>0.012447399999999999</v>
      </c>
      <c r="AI67" s="62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2:45" ht="12.75">
      <c r="B68" s="11" t="s">
        <v>167</v>
      </c>
      <c r="D68" s="11" t="s">
        <v>52</v>
      </c>
      <c r="E68" s="13"/>
      <c r="F68" s="13"/>
      <c r="G68" s="13"/>
      <c r="H68" s="13"/>
      <c r="I68" s="13"/>
      <c r="J68" s="13"/>
      <c r="K68" s="13"/>
      <c r="L68" s="13"/>
      <c r="M68" s="13"/>
      <c r="N68" s="62">
        <f>0.821*N$55/1000000</f>
        <v>0.00034071499999999995</v>
      </c>
      <c r="O68" s="62"/>
      <c r="P68" s="62">
        <f>1.225*P$55/1000000</f>
        <v>0.00050715</v>
      </c>
      <c r="Q68" s="62"/>
      <c r="R68" s="62">
        <f>1.034*R$55/1000000</f>
        <v>0.0005149320000000001</v>
      </c>
      <c r="S68" s="62"/>
      <c r="T68" s="13"/>
      <c r="U68" s="13"/>
      <c r="V68" s="62">
        <f>1.528*V$55/1000000</f>
        <v>0.0008297040000000001</v>
      </c>
      <c r="W68" s="62"/>
      <c r="X68" s="62">
        <f>1.617*X$55/1000000</f>
        <v>0.0008942010000000001</v>
      </c>
      <c r="Y68" s="62"/>
      <c r="Z68" s="62">
        <f>0.613*Z$55/1000000</f>
        <v>0.000260525</v>
      </c>
      <c r="AA68" s="62"/>
      <c r="AB68" s="13"/>
      <c r="AC68" s="13"/>
      <c r="AD68" s="62">
        <f>8.4*AD$55/1000000</f>
        <v>0.003108</v>
      </c>
      <c r="AE68" s="62"/>
      <c r="AF68" s="62">
        <f>3.09*AF$55/1000000</f>
        <v>0.0011432999999999999</v>
      </c>
      <c r="AG68" s="62"/>
      <c r="AH68" s="62">
        <f>2.73*AH$55/1000000</f>
        <v>0.00142779</v>
      </c>
      <c r="AI68" s="62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2:45" ht="12.75">
      <c r="B69" s="11" t="s">
        <v>168</v>
      </c>
      <c r="D69" s="11" t="s">
        <v>52</v>
      </c>
      <c r="E69" s="13"/>
      <c r="F69" s="13"/>
      <c r="G69" s="13"/>
      <c r="H69" s="13"/>
      <c r="I69" s="13"/>
      <c r="J69" s="13"/>
      <c r="K69" s="13"/>
      <c r="L69" s="13"/>
      <c r="M69" s="13"/>
      <c r="N69" s="62">
        <f>0.701*N$55/1000000</f>
        <v>0.000290915</v>
      </c>
      <c r="O69" s="62"/>
      <c r="P69" s="62">
        <f>0.645*P$55/1000000</f>
        <v>0.00026703</v>
      </c>
      <c r="Q69" s="62"/>
      <c r="R69" s="62">
        <f>1.341*R$55/1000000</f>
        <v>0.000667818</v>
      </c>
      <c r="S69" s="62"/>
      <c r="T69" s="13"/>
      <c r="U69" s="13"/>
      <c r="V69" s="62">
        <f>0.72*V$55/1000000</f>
        <v>0.00039096</v>
      </c>
      <c r="W69" s="62"/>
      <c r="X69" s="62">
        <f>1.385*X$55/1000000</f>
        <v>0.000765905</v>
      </c>
      <c r="Y69" s="62"/>
      <c r="Z69" s="62">
        <f>0.814*Z$55/1000000</f>
        <v>0.00034595</v>
      </c>
      <c r="AA69" s="62"/>
      <c r="AB69" s="13"/>
      <c r="AC69" s="13"/>
      <c r="AD69" s="62">
        <f>9.32*AD$55/1000000</f>
        <v>0.0034484</v>
      </c>
      <c r="AE69" s="62"/>
      <c r="AF69" s="62">
        <f>8.65*AF$55/1000000</f>
        <v>0.0032005</v>
      </c>
      <c r="AG69" s="62"/>
      <c r="AH69" s="62">
        <f>5.7*AH$55/1000000</f>
        <v>0.0029811</v>
      </c>
      <c r="AI69" s="62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2:45" ht="12.75">
      <c r="B70" s="11" t="s">
        <v>169</v>
      </c>
      <c r="D70" s="11" t="s">
        <v>52</v>
      </c>
      <c r="E70" s="13"/>
      <c r="F70" s="13"/>
      <c r="G70" s="13"/>
      <c r="H70" s="13"/>
      <c r="I70" s="13"/>
      <c r="J70" s="13"/>
      <c r="K70" s="13"/>
      <c r="L70" s="13"/>
      <c r="M70" s="13"/>
      <c r="N70" s="62">
        <f>0.383*N$55/1000000</f>
        <v>0.000158945</v>
      </c>
      <c r="O70" s="62"/>
      <c r="P70" s="62">
        <f>0.572*P$55/1000000</f>
        <v>0.000236808</v>
      </c>
      <c r="Q70" s="62"/>
      <c r="R70" s="62">
        <f>2.421*R$55/1000000</f>
        <v>0.0012056579999999999</v>
      </c>
      <c r="S70" s="62"/>
      <c r="T70" s="13"/>
      <c r="U70" s="13"/>
      <c r="V70" s="62">
        <f>0.591*V$55/1000000</f>
        <v>0.00032091300000000004</v>
      </c>
      <c r="W70" s="62"/>
      <c r="X70" s="62">
        <f>0.607*X$55/1000000</f>
        <v>0.000335671</v>
      </c>
      <c r="Y70" s="62"/>
      <c r="Z70" s="62">
        <f>0.883*Z$55/1000000</f>
        <v>0.000375275</v>
      </c>
      <c r="AA70" s="62"/>
      <c r="AB70" s="13"/>
      <c r="AC70" s="13"/>
      <c r="AD70" s="62">
        <f>62.4*AD$55/1000000</f>
        <v>0.023088</v>
      </c>
      <c r="AE70" s="62"/>
      <c r="AF70" s="62">
        <f>59.6*AF$55/1000000</f>
        <v>0.022052</v>
      </c>
      <c r="AG70" s="62"/>
      <c r="AH70" s="62">
        <f>16.2*AH$55/1000000</f>
        <v>0.0084726</v>
      </c>
      <c r="AI70" s="62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2:45" ht="12.75">
      <c r="B71" s="11" t="s">
        <v>170</v>
      </c>
      <c r="D71" s="11" t="s">
        <v>52</v>
      </c>
      <c r="E71" s="13"/>
      <c r="F71" s="13"/>
      <c r="G71" s="13"/>
      <c r="H71" s="13"/>
      <c r="I71" s="13"/>
      <c r="J71" s="13"/>
      <c r="K71" s="13"/>
      <c r="L71" s="13"/>
      <c r="M71" s="13"/>
      <c r="N71" s="62">
        <f>0.091*N$55/1000000</f>
        <v>3.7765E-05</v>
      </c>
      <c r="O71" s="62"/>
      <c r="P71" s="62">
        <f>0.163*P$55/1000000</f>
        <v>6.7482E-05</v>
      </c>
      <c r="Q71" s="62"/>
      <c r="R71" s="62">
        <f>0.353*R$55/1000000</f>
        <v>0.00017579399999999998</v>
      </c>
      <c r="S71" s="62"/>
      <c r="T71" s="13"/>
      <c r="U71" s="13"/>
      <c r="V71" s="62">
        <f>0.159*V$55/1000000</f>
        <v>8.6337E-05</v>
      </c>
      <c r="W71" s="62"/>
      <c r="X71" s="62">
        <f>0.159*X$55/1000000</f>
        <v>8.7927E-05</v>
      </c>
      <c r="Y71" s="62"/>
      <c r="Z71" s="62">
        <f>0.238*Z$55/1000000</f>
        <v>0.00010114999999999999</v>
      </c>
      <c r="AA71" s="62"/>
      <c r="AB71" s="13"/>
      <c r="AC71" s="13"/>
      <c r="AD71" s="62">
        <f>0.758*AD$55/1000000</f>
        <v>0.00028045999999999995</v>
      </c>
      <c r="AE71" s="62"/>
      <c r="AF71" s="62">
        <f>0.688*AF$55/1000000</f>
        <v>0.00025456</v>
      </c>
      <c r="AG71" s="62"/>
      <c r="AH71" s="62">
        <f>0.381*AH$55/1000000</f>
        <v>0.000199263</v>
      </c>
      <c r="AI71" s="62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2:45" ht="12.75">
      <c r="B72" s="11" t="s">
        <v>171</v>
      </c>
      <c r="D72" s="11" t="s">
        <v>52</v>
      </c>
      <c r="E72" s="13"/>
      <c r="F72" s="13"/>
      <c r="G72" s="13"/>
      <c r="H72" s="13"/>
      <c r="I72" s="13"/>
      <c r="J72" s="13"/>
      <c r="K72" s="13"/>
      <c r="L72" s="13"/>
      <c r="M72" s="13"/>
      <c r="N72" s="62">
        <f>0.15*N$55/1000000</f>
        <v>6.225E-05</v>
      </c>
      <c r="O72" s="62"/>
      <c r="P72" s="62">
        <f>0.15*P$55/1000000</f>
        <v>6.209999999999999E-05</v>
      </c>
      <c r="Q72" s="62"/>
      <c r="R72" s="62">
        <f>0.15*R$55/1000000</f>
        <v>7.47E-05</v>
      </c>
      <c r="S72" s="62"/>
      <c r="T72" s="13"/>
      <c r="U72" s="13"/>
      <c r="V72" s="62">
        <f>0.15*V$55/1000000</f>
        <v>8.145E-05</v>
      </c>
      <c r="W72" s="62"/>
      <c r="X72" s="62">
        <f>0.15*X$55/1000000</f>
        <v>8.295E-05</v>
      </c>
      <c r="Y72" s="62"/>
      <c r="Z72" s="62">
        <f>0.15*Z$55/1000000</f>
        <v>6.375E-05</v>
      </c>
      <c r="AA72" s="62"/>
      <c r="AB72" s="13"/>
      <c r="AC72" s="13"/>
      <c r="AD72" s="62">
        <f>0.15*AD$55/1000000</f>
        <v>5.55E-05</v>
      </c>
      <c r="AE72" s="62"/>
      <c r="AF72" s="62">
        <f>0.15*AF$55/1000000</f>
        <v>5.55E-05</v>
      </c>
      <c r="AG72" s="62"/>
      <c r="AH72" s="62">
        <f>0.15*AH$55/1000000</f>
        <v>7.845000000000001E-05</v>
      </c>
      <c r="AI72" s="62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2:45" ht="12.75">
      <c r="B73" s="11" t="s">
        <v>172</v>
      </c>
      <c r="D73" s="11" t="s">
        <v>52</v>
      </c>
      <c r="E73" s="13"/>
      <c r="F73" s="13"/>
      <c r="G73" s="13"/>
      <c r="H73" s="13"/>
      <c r="I73" s="13"/>
      <c r="J73" s="13"/>
      <c r="K73" s="13"/>
      <c r="L73" s="13"/>
      <c r="M73" s="13"/>
      <c r="N73" s="62">
        <f>0.05*N$55/1000000</f>
        <v>2.075E-05</v>
      </c>
      <c r="O73" s="62"/>
      <c r="P73" s="62">
        <f aca="true" t="shared" si="0" ref="P73:Z73">0.05*P$55/1000000</f>
        <v>2.0700000000000002E-05</v>
      </c>
      <c r="Q73" s="62"/>
      <c r="R73" s="62">
        <f t="shared" si="0"/>
        <v>2.4900000000000002E-05</v>
      </c>
      <c r="S73" s="62"/>
      <c r="T73" s="13"/>
      <c r="U73" s="13"/>
      <c r="V73" s="62">
        <f t="shared" si="0"/>
        <v>2.7150000000000003E-05</v>
      </c>
      <c r="W73" s="62"/>
      <c r="X73" s="62">
        <f t="shared" si="0"/>
        <v>2.765E-05</v>
      </c>
      <c r="Y73" s="62"/>
      <c r="Z73" s="62">
        <f t="shared" si="0"/>
        <v>2.125E-05</v>
      </c>
      <c r="AA73" s="62"/>
      <c r="AB73" s="13"/>
      <c r="AC73" s="13"/>
      <c r="AD73" s="62">
        <f>0.156*AD$55/1000000</f>
        <v>5.7719999999999996E-05</v>
      </c>
      <c r="AE73" s="62"/>
      <c r="AF73" s="62">
        <f>0.137*AF$55/1000000</f>
        <v>5.0690000000000004E-05</v>
      </c>
      <c r="AG73" s="62"/>
      <c r="AH73" s="62">
        <f>0.05*AH$55/1000000</f>
        <v>2.6150000000000002E-05</v>
      </c>
      <c r="AI73" s="62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6:23" ht="12.75"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2:52" ht="12.75">
      <c r="B75" s="11" t="s">
        <v>103</v>
      </c>
      <c r="D75" s="11" t="s">
        <v>17</v>
      </c>
      <c r="E75" s="30"/>
      <c r="F75" s="13">
        <f>'emiss 1'!$G$106</f>
        <v>8869</v>
      </c>
      <c r="G75" s="13"/>
      <c r="H75" s="13">
        <f>'emiss 1'!$I$106</f>
        <v>8950</v>
      </c>
      <c r="I75" s="13"/>
      <c r="J75" s="13">
        <f>'emiss 1'!$K$106</f>
        <v>8585</v>
      </c>
      <c r="K75" s="13"/>
      <c r="L75" s="13"/>
      <c r="M75" s="13"/>
      <c r="N75" s="13">
        <f>'emiss 1'!$G$106</f>
        <v>8869</v>
      </c>
      <c r="O75" s="13"/>
      <c r="P75" s="13">
        <f>'emiss 1'!$I$106</f>
        <v>8950</v>
      </c>
      <c r="Q75" s="13"/>
      <c r="R75" s="13">
        <f>'emiss 1'!$K$106</f>
        <v>8585</v>
      </c>
      <c r="S75" s="13"/>
      <c r="T75" s="13"/>
      <c r="U75" s="13"/>
      <c r="V75" s="13">
        <f>'emiss 1'!$G$106</f>
        <v>8869</v>
      </c>
      <c r="W75" s="13"/>
      <c r="X75" s="13">
        <f>'emiss 1'!$I$106</f>
        <v>8950</v>
      </c>
      <c r="Y75" s="13"/>
      <c r="Z75" s="13">
        <f>'emiss 1'!$K$106</f>
        <v>8585</v>
      </c>
      <c r="AA75" s="13"/>
      <c r="AD75" s="13">
        <f>'emiss 1'!$G$106</f>
        <v>8869</v>
      </c>
      <c r="AE75" s="13"/>
      <c r="AF75" s="13">
        <f>'emiss 1'!$I$106</f>
        <v>8950</v>
      </c>
      <c r="AG75" s="13"/>
      <c r="AH75" s="13">
        <f>'emiss 1'!$K$106</f>
        <v>8585</v>
      </c>
      <c r="AI75" s="13"/>
      <c r="AL75" s="13">
        <f>'emiss 1'!$G$106</f>
        <v>8869</v>
      </c>
      <c r="AM75" s="13"/>
      <c r="AN75" s="13">
        <f>'emiss 1'!$I$106</f>
        <v>8950</v>
      </c>
      <c r="AO75" s="13"/>
      <c r="AP75" s="13">
        <f>'emiss 1'!$K$106</f>
        <v>8585</v>
      </c>
      <c r="AQ75" s="13"/>
      <c r="AT75" s="13">
        <f>'emiss 1'!$G$106</f>
        <v>8869</v>
      </c>
      <c r="AU75" s="13"/>
      <c r="AV75" s="13">
        <f>'emiss 1'!$I$106</f>
        <v>8950</v>
      </c>
      <c r="AW75" s="13"/>
      <c r="AX75" s="13">
        <f>'emiss 1'!$K$106</f>
        <v>8585</v>
      </c>
      <c r="AY75" s="13"/>
      <c r="AZ75" s="41">
        <f>AVERAGE(AT75,AV75,AX75)</f>
        <v>8801.333333333334</v>
      </c>
    </row>
    <row r="76" spans="2:52" ht="12.75">
      <c r="B76" s="11" t="s">
        <v>104</v>
      </c>
      <c r="D76" s="11" t="s">
        <v>18</v>
      </c>
      <c r="E76" s="30"/>
      <c r="F76" s="13">
        <f>'emiss 1'!$G$107</f>
        <v>9</v>
      </c>
      <c r="G76" s="13"/>
      <c r="H76" s="13">
        <f>'emiss 1'!$I$107</f>
        <v>8.8</v>
      </c>
      <c r="I76" s="13"/>
      <c r="J76" s="13">
        <f>'emiss 1'!$K$107</f>
        <v>8.9</v>
      </c>
      <c r="K76" s="13"/>
      <c r="L76" s="13"/>
      <c r="M76" s="13"/>
      <c r="N76" s="13">
        <f>'emiss 1'!$G$107</f>
        <v>9</v>
      </c>
      <c r="O76" s="13"/>
      <c r="P76" s="13">
        <f>'emiss 1'!$I$107</f>
        <v>8.8</v>
      </c>
      <c r="Q76" s="13"/>
      <c r="R76" s="13">
        <f>'emiss 1'!$K$107</f>
        <v>8.9</v>
      </c>
      <c r="S76" s="13"/>
      <c r="T76" s="13"/>
      <c r="U76" s="13"/>
      <c r="V76" s="13">
        <f>'emiss 1'!$G$107</f>
        <v>9</v>
      </c>
      <c r="W76" s="13"/>
      <c r="X76" s="13">
        <f>'emiss 1'!$I$107</f>
        <v>8.8</v>
      </c>
      <c r="Y76" s="13"/>
      <c r="Z76" s="13">
        <f>'emiss 1'!$K$107</f>
        <v>8.9</v>
      </c>
      <c r="AA76" s="13"/>
      <c r="AD76" s="13">
        <f>'emiss 1'!$G$107</f>
        <v>9</v>
      </c>
      <c r="AE76" s="13"/>
      <c r="AF76" s="13">
        <f>'emiss 1'!$I$107</f>
        <v>8.8</v>
      </c>
      <c r="AG76" s="13"/>
      <c r="AH76" s="13">
        <f>'emiss 1'!$K$107</f>
        <v>8.9</v>
      </c>
      <c r="AI76" s="13"/>
      <c r="AL76" s="13">
        <f>'emiss 1'!$G$107</f>
        <v>9</v>
      </c>
      <c r="AM76" s="13"/>
      <c r="AN76" s="13">
        <f>'emiss 1'!$I$107</f>
        <v>8.8</v>
      </c>
      <c r="AO76" s="13"/>
      <c r="AP76" s="13">
        <f>'emiss 1'!$K$107</f>
        <v>8.9</v>
      </c>
      <c r="AQ76" s="13"/>
      <c r="AT76" s="13">
        <f>'emiss 1'!$G$107</f>
        <v>9</v>
      </c>
      <c r="AU76" s="13"/>
      <c r="AV76" s="13">
        <f>'emiss 1'!$I$107</f>
        <v>8.8</v>
      </c>
      <c r="AW76" s="13"/>
      <c r="AX76" s="13">
        <f>'emiss 1'!$K$107</f>
        <v>8.9</v>
      </c>
      <c r="AY76" s="13"/>
      <c r="AZ76" s="41">
        <f>AVERAGE(AT76,AV76,AX76)</f>
        <v>8.9</v>
      </c>
    </row>
    <row r="77" spans="5:23" ht="12.75">
      <c r="E77" s="3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2:52" ht="12.75">
      <c r="B78" s="11" t="s">
        <v>110</v>
      </c>
      <c r="D78" s="11" t="s">
        <v>111</v>
      </c>
      <c r="E78" s="30"/>
      <c r="F78" s="13">
        <f>F55*F56/1000000</f>
        <v>0</v>
      </c>
      <c r="G78" s="13"/>
      <c r="H78" s="13">
        <f>H55*H56/1000000</f>
        <v>0</v>
      </c>
      <c r="I78" s="13"/>
      <c r="J78" s="13">
        <f>J55*J56/1000000</f>
        <v>0</v>
      </c>
      <c r="K78" s="13"/>
      <c r="L78" s="13"/>
      <c r="M78" s="13"/>
      <c r="N78" s="34">
        <f>N55*N56/1000000</f>
        <v>5.84237</v>
      </c>
      <c r="O78" s="34"/>
      <c r="P78" s="34">
        <f>P55*P56/1000000</f>
        <v>5.94504</v>
      </c>
      <c r="Q78" s="34"/>
      <c r="R78" s="34">
        <f>R55*R56/1000000</f>
        <v>7.612428</v>
      </c>
      <c r="S78" s="34"/>
      <c r="T78" s="13"/>
      <c r="U78" s="13"/>
      <c r="V78" s="34">
        <f>V55*V56/1000000</f>
        <v>7.843635</v>
      </c>
      <c r="W78" s="34"/>
      <c r="X78" s="34">
        <f>X55*X56/1000000</f>
        <v>7.70882</v>
      </c>
      <c r="Y78" s="34"/>
      <c r="Z78" s="34">
        <f>Z55*Z56/1000000</f>
        <v>6.6759</v>
      </c>
      <c r="AA78" s="34"/>
      <c r="AD78" s="34">
        <f>AD55*AD56/1000000</f>
        <v>0.0185</v>
      </c>
      <c r="AE78" s="34"/>
      <c r="AF78" s="34">
        <f>AF55*AF56/1000000</f>
        <v>0.0185</v>
      </c>
      <c r="AG78" s="34"/>
      <c r="AH78" s="34">
        <f>AH55*AH56/1000000</f>
        <v>0.066944</v>
      </c>
      <c r="AI78" s="34"/>
      <c r="AL78" s="34">
        <f>AL55*AL56/1000000</f>
        <v>0</v>
      </c>
      <c r="AM78" s="34"/>
      <c r="AN78" s="34">
        <f>AN55*AN56/1000000</f>
        <v>0</v>
      </c>
      <c r="AO78" s="34"/>
      <c r="AP78" s="34">
        <f>AP55*AP56/1000000</f>
        <v>0</v>
      </c>
      <c r="AQ78" s="34"/>
      <c r="AT78" s="33">
        <f>SUM(AL78,AD78,V78,N78,F78)</f>
        <v>13.704505000000001</v>
      </c>
      <c r="AU78" s="33"/>
      <c r="AV78" s="33">
        <f>SUM(AN78,AF78,X78,P78,H78)</f>
        <v>13.672360000000001</v>
      </c>
      <c r="AW78" s="33"/>
      <c r="AX78" s="33">
        <f>SUM(AP78,AH78,Z78,R78,J78)</f>
        <v>14.355272000000001</v>
      </c>
      <c r="AY78" s="33"/>
      <c r="AZ78" s="41">
        <f>AVERAGE(AT78,AV78,AX78)</f>
        <v>13.910712333333334</v>
      </c>
    </row>
    <row r="79" spans="2:52" ht="12.75">
      <c r="B79" s="11" t="s">
        <v>112</v>
      </c>
      <c r="D79" s="11" t="s">
        <v>111</v>
      </c>
      <c r="E79" s="3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AZ79" s="31">
        <f>AZ75/150*(21-AZ76)/21</f>
        <v>33.8082962962963</v>
      </c>
    </row>
    <row r="80" spans="5:23" ht="12.75">
      <c r="E80" s="3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2:23" ht="12.75">
      <c r="B81" s="47" t="s">
        <v>105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2:60" ht="12.75">
      <c r="B82" s="11" t="s">
        <v>107</v>
      </c>
      <c r="D82" s="11" t="s">
        <v>55</v>
      </c>
      <c r="E82" s="28" t="s">
        <v>15</v>
      </c>
      <c r="F82" s="42">
        <f>F57*454*1000000/F75/60/0.0283*(21-7)/(21-F76)</f>
        <v>0</v>
      </c>
      <c r="G82" s="42"/>
      <c r="H82" s="42">
        <f>H57*454*1000000/H75/60/0.0283*(21-7)/(21-H76)</f>
        <v>0</v>
      </c>
      <c r="I82" s="42"/>
      <c r="J82" s="42">
        <f>J57*454*1000000/J75/60/0.0283*(21-7)/(21-J76)</f>
        <v>0</v>
      </c>
      <c r="K82" s="42"/>
      <c r="L82" s="42">
        <f>AVERAGE(F82:J82)</f>
        <v>0</v>
      </c>
      <c r="M82" s="42"/>
      <c r="N82" s="42">
        <f>N57*454*1000000/N75/60/0.0283*(21-7)/(21-N76)</f>
        <v>1793744.0677225543</v>
      </c>
      <c r="O82" s="42"/>
      <c r="P82" s="42">
        <f>P57*454*1000000/P75/60/0.0283*(21-7)/(21-P76)</f>
        <v>3222487.120331737</v>
      </c>
      <c r="Q82" s="42"/>
      <c r="R82" s="42">
        <f>R57*454*1000000/R75/60/0.0283*(21-7)/(21-R76)</f>
        <v>2846738.8225188996</v>
      </c>
      <c r="S82" s="42"/>
      <c r="T82" s="42">
        <f>AVERAGE(N82:R82)</f>
        <v>2620990.003524397</v>
      </c>
      <c r="U82" s="42"/>
      <c r="V82" s="42">
        <f>V57*454*1000000/V75/60/0.0283*(21-7)/(21-V76)</f>
        <v>2954401.9938959717</v>
      </c>
      <c r="W82" s="42"/>
      <c r="X82" s="42">
        <f>X57*454*1000000/X75/60/0.0283*(21-7)/(21-X76)</f>
        <v>3051078.230952389</v>
      </c>
      <c r="Y82" s="42"/>
      <c r="Z82" s="42">
        <f>Z57*454*1000000/Z75/60/0.0283*(21-7)/(21-Z76)</f>
        <v>1657594.7574160679</v>
      </c>
      <c r="AA82" s="42"/>
      <c r="AB82" s="42">
        <f>AVERAGE(V82:Z82)</f>
        <v>2554358.327421476</v>
      </c>
      <c r="AC82" s="42"/>
      <c r="AD82" s="42">
        <f>AD57*454*1000000/AD75/60/0.0283*(21-7)/(21-AD76)</f>
        <v>35171.45230828538</v>
      </c>
      <c r="AE82" s="42"/>
      <c r="AF82" s="42">
        <f>AF57*454*1000000/AF75/60/0.0283*(21-7)/(21-AF76)</f>
        <v>34281.77787586955</v>
      </c>
      <c r="AG82" s="42"/>
      <c r="AH82" s="42">
        <f>AH57*454*1000000/AH75/60/0.0283*(21-7)/(21-AH76)</f>
        <v>72069.33727895947</v>
      </c>
      <c r="AI82" s="42"/>
      <c r="AJ82" s="42">
        <f>AVERAGE(AD82:AH82)</f>
        <v>47174.18915437147</v>
      </c>
      <c r="AK82" s="42"/>
      <c r="AL82" s="42">
        <f>AL57*454*1000000/AL75/60/0.0283*(21-7)/(21-AL76)</f>
        <v>0</v>
      </c>
      <c r="AM82" s="42"/>
      <c r="AN82" s="42">
        <f>AN57*454*1000000/AN75/60/0.0283*(21-7)/(21-AN76)</f>
        <v>0</v>
      </c>
      <c r="AO82" s="42"/>
      <c r="AP82" s="42">
        <f>AP57*454*1000000/AP75/60/0.0283*(21-7)/(21-AP76)</f>
        <v>0</v>
      </c>
      <c r="AQ82" s="42"/>
      <c r="AR82" s="42">
        <f>AVERAGE(AL82,AN82,AP82)</f>
        <v>0</v>
      </c>
      <c r="AS82" s="42"/>
      <c r="AT82" s="28">
        <f>SUM(AL82,AD82,V82,N82,F82)</f>
        <v>4783317.5139268115</v>
      </c>
      <c r="AV82" s="28">
        <f>SUM(AN82,AF82,X82,P82,H82)</f>
        <v>6307847.129159996</v>
      </c>
      <c r="AX82" s="28">
        <f>SUM(AP82,AH82,Z82,R82,J82)</f>
        <v>4576402.917213927</v>
      </c>
      <c r="AZ82" s="41">
        <f>SUM(AR82,AJ82,AB82,T82,L82)</f>
        <v>5222522.520100245</v>
      </c>
      <c r="BB82" s="41">
        <f aca="true" t="shared" si="1" ref="BB82:BB98">AT82-AL82</f>
        <v>4783317.5139268115</v>
      </c>
      <c r="BD82" s="41">
        <f aca="true" t="shared" si="2" ref="BD82:BD98">AV82-AN82</f>
        <v>6307847.129159996</v>
      </c>
      <c r="BF82" s="41">
        <f aca="true" t="shared" si="3" ref="BF82:BF98">AX82-AP82</f>
        <v>4576402.917213927</v>
      </c>
      <c r="BH82" s="41">
        <f>AVERAGE(BF82,BD82,BB82)</f>
        <v>5222522.520100244</v>
      </c>
    </row>
    <row r="83" spans="2:60" ht="12.75">
      <c r="B83" s="11" t="s">
        <v>49</v>
      </c>
      <c r="D83" s="11" t="s">
        <v>61</v>
      </c>
      <c r="E83" s="28" t="s">
        <v>15</v>
      </c>
      <c r="F83" s="34">
        <f>F58*454*1000/F75/60/0.0283*(21-7)/(21-F76)</f>
        <v>0</v>
      </c>
      <c r="G83" s="34"/>
      <c r="H83" s="34">
        <f>H58*454*1000/H75/60/0.0283*(21-7)/(21-H76)</f>
        <v>0</v>
      </c>
      <c r="I83" s="34"/>
      <c r="J83" s="34">
        <f>J58*454*1000/J75/60/0.0283*(21-7)/(21-J76)</f>
        <v>0</v>
      </c>
      <c r="K83" s="34"/>
      <c r="L83" s="42">
        <f>AVERAGE(F83:J83)</f>
        <v>0</v>
      </c>
      <c r="M83" s="42"/>
      <c r="N83" s="34">
        <f>N58*454*1000/N75/60/0.0283*(21-7)/(21-N76)</f>
        <v>24.620016615799756</v>
      </c>
      <c r="O83" s="34"/>
      <c r="P83" s="34">
        <f>P58*454*1000/P75/60/0.0283*(21-7)/(21-P76)</f>
        <v>13.712711150347818</v>
      </c>
      <c r="Q83" s="34"/>
      <c r="R83" s="34">
        <f>R58*454*1000/R75/60/0.0283*(21-7)/(21-R76)</f>
        <v>25.224268047635814</v>
      </c>
      <c r="S83" s="34"/>
      <c r="T83" s="42">
        <f>AVERAGE(N83:R83)</f>
        <v>21.18566527126113</v>
      </c>
      <c r="U83" s="42"/>
      <c r="V83" s="34">
        <f>V58*454*1000/V75/60/0.0283*(21-7)/(21-V76)</f>
        <v>0</v>
      </c>
      <c r="W83" s="34"/>
      <c r="X83" s="34">
        <f>X58*454*1000/X75/60/0.0283*(21-7)/(21-X76)</f>
        <v>0</v>
      </c>
      <c r="Y83" s="34"/>
      <c r="Z83" s="34">
        <f>Z58*454*1000/Z75/60/0.0283*(21-7)/(21-Z76)</f>
        <v>36.03466863947973</v>
      </c>
      <c r="AA83" s="34"/>
      <c r="AB83" s="42">
        <f>AVERAGE(V83:Z83)</f>
        <v>12.011556213159912</v>
      </c>
      <c r="AC83" s="42"/>
      <c r="AD83" s="34">
        <f>AD58*454*1000/AD75/60/0.0283*(21-7)/(21-AD76)</f>
        <v>189.92584246474107</v>
      </c>
      <c r="AE83" s="34"/>
      <c r="AF83" s="34">
        <f>AF58*454*1000/AF75/60/0.0283*(21-7)/(21-AF76)</f>
        <v>188.5497783172825</v>
      </c>
      <c r="AG83" s="34"/>
      <c r="AH83" s="34">
        <f>AH58*454*1000/AH75/60/0.0283*(21-7)/(21-AH76)</f>
        <v>79.27627100685544</v>
      </c>
      <c r="AI83" s="34"/>
      <c r="AJ83" s="42">
        <f>AVERAGE(AD83:AH83)</f>
        <v>152.58396392962632</v>
      </c>
      <c r="AK83" s="42"/>
      <c r="AL83" s="34">
        <f>AL58*454*1000/AL75/60/0.0283*(21-7)/(21-AL76)</f>
        <v>211.02871384971226</v>
      </c>
      <c r="AM83" s="34"/>
      <c r="AN83" s="34">
        <f>AN58*454*1000/AN75/60/0.0283*(21-7)/(21-AN76)</f>
        <v>205.69066725521725</v>
      </c>
      <c r="AO83" s="34"/>
      <c r="AP83" s="34">
        <f>AP58*454*1000/AP75/60/0.0283*(21-7)/(21-AP76)</f>
        <v>792.7627100685542</v>
      </c>
      <c r="AQ83" s="34"/>
      <c r="AR83" s="42">
        <f aca="true" t="shared" si="4" ref="AR83:AR98">AVERAGE(AL83,AN83,AP83)</f>
        <v>403.1606970578279</v>
      </c>
      <c r="AS83" s="42"/>
      <c r="AT83" s="31">
        <f>SUM(AL83,AD83,V83,N83,F83)</f>
        <v>425.5745729302531</v>
      </c>
      <c r="AU83" s="31"/>
      <c r="AV83" s="31">
        <f>SUM(AN83,AF83,X83,P83,H83)</f>
        <v>407.9531567228476</v>
      </c>
      <c r="AW83" s="31"/>
      <c r="AX83" s="31">
        <f>SUM(AP83,AH83,Z83,R83,J83)</f>
        <v>933.2979177625251</v>
      </c>
      <c r="AY83" s="31"/>
      <c r="AZ83" s="31">
        <f>SUM(AR83,AJ83,AB83,T83,L83)</f>
        <v>588.9418824718753</v>
      </c>
      <c r="BB83" s="41">
        <f t="shared" si="1"/>
        <v>214.54585908054085</v>
      </c>
      <c r="BD83" s="41">
        <f t="shared" si="2"/>
        <v>202.26248946763036</v>
      </c>
      <c r="BF83" s="41">
        <f t="shared" si="3"/>
        <v>140.53520769397096</v>
      </c>
      <c r="BH83" s="41">
        <f aca="true" t="shared" si="5" ref="BH83:BH101">AVERAGE(BF83,BD83,BB83)</f>
        <v>185.7811854140474</v>
      </c>
    </row>
    <row r="84" spans="2:60" ht="12.75">
      <c r="B84" s="11" t="s">
        <v>162</v>
      </c>
      <c r="D84" s="11" t="s">
        <v>55</v>
      </c>
      <c r="E84" s="28" t="s">
        <v>15</v>
      </c>
      <c r="N84" s="34">
        <f>N59*454*1000000/N$75/60/0.0283*(21-7)/(21-N$76)</f>
        <v>5.838461083175371</v>
      </c>
      <c r="O84" s="34"/>
      <c r="P84" s="34">
        <f>P59*454*1000000/P$75/60/0.0283*(21-7)/(21-P$76)</f>
        <v>6.812474899492797</v>
      </c>
      <c r="Q84" s="34"/>
      <c r="R84" s="34">
        <f>R59*454*1000000/R$75/60/0.0283*(21-7)/(21-R$76)</f>
        <v>5.222072109896124</v>
      </c>
      <c r="S84" s="34"/>
      <c r="V84" s="34">
        <f aca="true" t="shared" si="6" ref="V84:Z98">V59*454*1000000/V$75/60/0.0283*(21-7)/(21-V$76)</f>
        <v>8.498653878512537</v>
      </c>
      <c r="W84" s="34"/>
      <c r="X84" s="34">
        <f t="shared" si="6"/>
        <v>8.853303418221188</v>
      </c>
      <c r="Y84" s="34"/>
      <c r="Z84" s="34">
        <f t="shared" si="6"/>
        <v>3.5223888595091446</v>
      </c>
      <c r="AA84" s="34"/>
      <c r="AD84" s="34">
        <f aca="true" t="shared" si="7" ref="AD84:AH98">AD59*454*1000000/AD$75/60/0.0283*(21-7)/(21-AD$76)</f>
        <v>5.387563064583152</v>
      </c>
      <c r="AE84" s="34"/>
      <c r="AF84" s="34">
        <f t="shared" si="7"/>
        <v>4.464858750553249</v>
      </c>
      <c r="AG84" s="34"/>
      <c r="AH84" s="34">
        <f t="shared" si="7"/>
        <v>3.31691917892683</v>
      </c>
      <c r="AI84" s="34"/>
      <c r="AL84" s="34">
        <f aca="true" t="shared" si="8" ref="AL84:AP98">AL59*454*1000000/AL$75/60/0.0283*(21-7)/(21-AL$76)</f>
        <v>0</v>
      </c>
      <c r="AM84" s="34"/>
      <c r="AN84" s="34">
        <f t="shared" si="8"/>
        <v>0</v>
      </c>
      <c r="AO84" s="34"/>
      <c r="AP84" s="34">
        <f t="shared" si="8"/>
        <v>0</v>
      </c>
      <c r="AQ84" s="34"/>
      <c r="AR84" s="42">
        <f t="shared" si="4"/>
        <v>0</v>
      </c>
      <c r="AT84" s="31">
        <f aca="true" t="shared" si="9" ref="AT84:AT98">SUM(AL84,AD84,V84,N84,F84)</f>
        <v>19.72467802627106</v>
      </c>
      <c r="AU84" s="31"/>
      <c r="AV84" s="31">
        <f aca="true" t="shared" si="10" ref="AV84:AV98">SUM(AN84,AF84,X84,P84,H84)</f>
        <v>20.130637068267234</v>
      </c>
      <c r="AW84" s="31"/>
      <c r="AX84" s="31">
        <f aca="true" t="shared" si="11" ref="AX84:AX98">SUM(AP84,AH84,Z84,R84,J84)</f>
        <v>12.061380148332098</v>
      </c>
      <c r="AY84" s="31"/>
      <c r="AZ84" s="31">
        <f aca="true" t="shared" si="12" ref="AZ84:AZ98">SUM(AR84,AJ84,AB84,T84,L84)</f>
        <v>0</v>
      </c>
      <c r="BB84" s="41">
        <f t="shared" si="1"/>
        <v>19.72467802627106</v>
      </c>
      <c r="BD84" s="41">
        <f t="shared" si="2"/>
        <v>20.130637068267234</v>
      </c>
      <c r="BF84" s="41">
        <f t="shared" si="3"/>
        <v>12.061380148332098</v>
      </c>
      <c r="BH84" s="41">
        <f t="shared" si="5"/>
        <v>17.305565080956796</v>
      </c>
    </row>
    <row r="85" spans="2:60" ht="12.75">
      <c r="B85" s="11" t="s">
        <v>158</v>
      </c>
      <c r="D85" s="11" t="s">
        <v>55</v>
      </c>
      <c r="E85" s="28" t="s">
        <v>15</v>
      </c>
      <c r="N85" s="34">
        <f aca="true" t="shared" si="13" ref="N85:R98">N60*454*1000000/N$75/60/0.0283*(21-7)/(21-N$76)</f>
        <v>0.7298076353969214</v>
      </c>
      <c r="O85" s="34"/>
      <c r="P85" s="34">
        <f t="shared" si="13"/>
        <v>0.7096328020304998</v>
      </c>
      <c r="Q85" s="34"/>
      <c r="R85" s="34">
        <f t="shared" si="13"/>
        <v>0.9331537790879673</v>
      </c>
      <c r="S85" s="34"/>
      <c r="V85" s="34">
        <f t="shared" si="6"/>
        <v>0.9549049301699482</v>
      </c>
      <c r="W85" s="34"/>
      <c r="X85" s="34">
        <f t="shared" si="6"/>
        <v>0.9478911582677929</v>
      </c>
      <c r="Y85" s="34"/>
      <c r="Z85" s="34">
        <f t="shared" si="6"/>
        <v>0.30629468343557775</v>
      </c>
      <c r="AA85" s="34"/>
      <c r="AD85" s="34">
        <f t="shared" si="7"/>
        <v>12.401805798424503</v>
      </c>
      <c r="AE85" s="34"/>
      <c r="AF85" s="34">
        <f t="shared" si="7"/>
        <v>11.288989454523845</v>
      </c>
      <c r="AG85" s="34"/>
      <c r="AH85" s="34">
        <f t="shared" si="7"/>
        <v>9.668065561303774</v>
      </c>
      <c r="AI85" s="34"/>
      <c r="AL85" s="34">
        <f t="shared" si="8"/>
        <v>9812.835194011619</v>
      </c>
      <c r="AM85" s="34"/>
      <c r="AN85" s="34">
        <f t="shared" si="8"/>
        <v>9564.616027367605</v>
      </c>
      <c r="AO85" s="34"/>
      <c r="AP85" s="34">
        <f t="shared" si="8"/>
        <v>12035.57932558623</v>
      </c>
      <c r="AQ85" s="34"/>
      <c r="AR85" s="42">
        <f t="shared" si="4"/>
        <v>10471.01018232182</v>
      </c>
      <c r="AT85" s="31">
        <f t="shared" si="9"/>
        <v>9826.92171237561</v>
      </c>
      <c r="AU85" s="31"/>
      <c r="AV85" s="31">
        <f t="shared" si="10"/>
        <v>9577.562540782428</v>
      </c>
      <c r="AW85" s="31"/>
      <c r="AX85" s="31">
        <f t="shared" si="11"/>
        <v>12046.486839610057</v>
      </c>
      <c r="AY85" s="31"/>
      <c r="AZ85" s="31">
        <f t="shared" si="12"/>
        <v>10471.01018232182</v>
      </c>
      <c r="BB85" s="41">
        <f t="shared" si="1"/>
        <v>14.086518363990763</v>
      </c>
      <c r="BD85" s="41">
        <f t="shared" si="2"/>
        <v>12.94651341482313</v>
      </c>
      <c r="BF85" s="41">
        <f t="shared" si="3"/>
        <v>10.907514023827389</v>
      </c>
      <c r="BH85" s="41">
        <f t="shared" si="5"/>
        <v>12.646848600880427</v>
      </c>
    </row>
    <row r="86" spans="2:60" ht="12.75">
      <c r="B86" s="11" t="s">
        <v>164</v>
      </c>
      <c r="D86" s="11" t="s">
        <v>55</v>
      </c>
      <c r="E86" s="28" t="s">
        <v>15</v>
      </c>
      <c r="N86" s="34">
        <f t="shared" si="13"/>
        <v>10.742768393042683</v>
      </c>
      <c r="O86" s="34"/>
      <c r="P86" s="34">
        <f t="shared" si="13"/>
        <v>16.70475615979796</v>
      </c>
      <c r="Q86" s="34"/>
      <c r="R86" s="34">
        <f t="shared" si="13"/>
        <v>50.46208513068007</v>
      </c>
      <c r="S86" s="34"/>
      <c r="V86" s="34">
        <f t="shared" si="6"/>
        <v>24.94211677603904</v>
      </c>
      <c r="W86" s="34"/>
      <c r="X86" s="34">
        <f t="shared" si="6"/>
        <v>26.142838145025728</v>
      </c>
      <c r="Y86" s="34"/>
      <c r="Z86" s="34">
        <f t="shared" si="6"/>
        <v>29.434919078159027</v>
      </c>
      <c r="AA86" s="34"/>
      <c r="AD86" s="34">
        <f t="shared" si="7"/>
        <v>40.47179017114397</v>
      </c>
      <c r="AE86" s="34"/>
      <c r="AF86" s="34">
        <f t="shared" si="7"/>
        <v>34.75486641055655</v>
      </c>
      <c r="AG86" s="34"/>
      <c r="AH86" s="34">
        <f t="shared" si="7"/>
        <v>28.269197547671855</v>
      </c>
      <c r="AI86" s="34"/>
      <c r="AL86" s="34">
        <f t="shared" si="8"/>
        <v>0</v>
      </c>
      <c r="AM86" s="34"/>
      <c r="AN86" s="34">
        <f t="shared" si="8"/>
        <v>0</v>
      </c>
      <c r="AO86" s="34"/>
      <c r="AP86" s="34">
        <f t="shared" si="8"/>
        <v>0</v>
      </c>
      <c r="AQ86" s="34"/>
      <c r="AR86" s="42">
        <f t="shared" si="4"/>
        <v>0</v>
      </c>
      <c r="AT86" s="31">
        <f t="shared" si="9"/>
        <v>76.15667534022569</v>
      </c>
      <c r="AU86" s="31"/>
      <c r="AV86" s="31">
        <f t="shared" si="10"/>
        <v>77.60246071538023</v>
      </c>
      <c r="AW86" s="31"/>
      <c r="AX86" s="31">
        <f t="shared" si="11"/>
        <v>108.16620175651096</v>
      </c>
      <c r="AY86" s="31"/>
      <c r="AZ86" s="31">
        <f t="shared" si="12"/>
        <v>0</v>
      </c>
      <c r="BB86" s="41">
        <f t="shared" si="1"/>
        <v>76.15667534022569</v>
      </c>
      <c r="BD86" s="41">
        <f t="shared" si="2"/>
        <v>77.60246071538023</v>
      </c>
      <c r="BF86" s="41">
        <f t="shared" si="3"/>
        <v>108.16620175651096</v>
      </c>
      <c r="BH86" s="41">
        <f t="shared" si="5"/>
        <v>87.3084459373723</v>
      </c>
    </row>
    <row r="87" spans="2:60" ht="12.75">
      <c r="B87" s="11" t="s">
        <v>163</v>
      </c>
      <c r="D87" s="11" t="s">
        <v>55</v>
      </c>
      <c r="E87" s="28" t="s">
        <v>15</v>
      </c>
      <c r="N87" s="34">
        <f t="shared" si="13"/>
        <v>0.7298076353969214</v>
      </c>
      <c r="O87" s="34"/>
      <c r="P87" s="34">
        <f t="shared" si="13"/>
        <v>0.7096328020304998</v>
      </c>
      <c r="Q87" s="34"/>
      <c r="R87" s="34">
        <f t="shared" si="13"/>
        <v>0.4306863595790618</v>
      </c>
      <c r="S87" s="34"/>
      <c r="V87" s="34">
        <f t="shared" si="6"/>
        <v>0.9549049301699482</v>
      </c>
      <c r="W87" s="34"/>
      <c r="X87" s="34">
        <f t="shared" si="6"/>
        <v>0.9478911582677929</v>
      </c>
      <c r="Y87" s="34"/>
      <c r="Z87" s="34">
        <f t="shared" si="6"/>
        <v>0.1684620758895678</v>
      </c>
      <c r="AA87" s="34"/>
      <c r="AD87" s="34">
        <f t="shared" si="7"/>
        <v>0.8719003027223947</v>
      </c>
      <c r="AE87" s="34"/>
      <c r="AF87" s="34">
        <f t="shared" si="7"/>
        <v>0.7927661133794832</v>
      </c>
      <c r="AG87" s="34"/>
      <c r="AH87" s="34">
        <f t="shared" si="7"/>
        <v>1.2268831735689587</v>
      </c>
      <c r="AI87" s="34"/>
      <c r="AL87" s="34">
        <f t="shared" si="8"/>
        <v>0</v>
      </c>
      <c r="AM87" s="34"/>
      <c r="AN87" s="34">
        <f t="shared" si="8"/>
        <v>0</v>
      </c>
      <c r="AO87" s="34"/>
      <c r="AP87" s="34">
        <f t="shared" si="8"/>
        <v>0</v>
      </c>
      <c r="AQ87" s="34"/>
      <c r="AR87" s="42">
        <f t="shared" si="4"/>
        <v>0</v>
      </c>
      <c r="AT87" s="31">
        <f t="shared" si="9"/>
        <v>2.5566128682892644</v>
      </c>
      <c r="AU87" s="31"/>
      <c r="AV87" s="31">
        <f t="shared" si="10"/>
        <v>2.4502900736777757</v>
      </c>
      <c r="AW87" s="31"/>
      <c r="AX87" s="31">
        <f t="shared" si="11"/>
        <v>1.8260316090375883</v>
      </c>
      <c r="AY87" s="31"/>
      <c r="AZ87" s="31">
        <f t="shared" si="12"/>
        <v>0</v>
      </c>
      <c r="BB87" s="41">
        <f t="shared" si="1"/>
        <v>2.5566128682892644</v>
      </c>
      <c r="BD87" s="41">
        <f t="shared" si="2"/>
        <v>2.4502900736777757</v>
      </c>
      <c r="BF87" s="41">
        <f t="shared" si="3"/>
        <v>1.8260316090375883</v>
      </c>
      <c r="BH87" s="41">
        <f t="shared" si="5"/>
        <v>2.2776448503348763</v>
      </c>
    </row>
    <row r="88" spans="2:60" ht="12.75">
      <c r="B88" s="11" t="s">
        <v>159</v>
      </c>
      <c r="D88" s="11" t="s">
        <v>55</v>
      </c>
      <c r="E88" s="28" t="s">
        <v>15</v>
      </c>
      <c r="N88" s="34">
        <f t="shared" si="13"/>
        <v>1.7077498668287963</v>
      </c>
      <c r="O88" s="34"/>
      <c r="P88" s="34">
        <f t="shared" si="13"/>
        <v>2.1572837181727187</v>
      </c>
      <c r="Q88" s="34"/>
      <c r="R88" s="34">
        <f t="shared" si="13"/>
        <v>1.2382232837898028</v>
      </c>
      <c r="S88" s="34"/>
      <c r="V88" s="34">
        <f t="shared" si="6"/>
        <v>3.6477368332492013</v>
      </c>
      <c r="W88" s="34"/>
      <c r="X88" s="34">
        <f t="shared" si="6"/>
        <v>3.9053115720633067</v>
      </c>
      <c r="Y88" s="34"/>
      <c r="Z88" s="34">
        <f t="shared" si="6"/>
        <v>0.5972746326993766</v>
      </c>
      <c r="AA88" s="34"/>
      <c r="AD88" s="34">
        <f t="shared" si="7"/>
        <v>5.010173381315252</v>
      </c>
      <c r="AE88" s="34"/>
      <c r="AF88" s="34">
        <f t="shared" si="7"/>
        <v>4.477543008367322</v>
      </c>
      <c r="AG88" s="34"/>
      <c r="AH88" s="34">
        <f t="shared" si="7"/>
        <v>4.22153350045233</v>
      </c>
      <c r="AI88" s="34"/>
      <c r="AL88" s="34">
        <f t="shared" si="8"/>
        <v>7491.519341664784</v>
      </c>
      <c r="AM88" s="34"/>
      <c r="AN88" s="34">
        <f t="shared" si="8"/>
        <v>7302.018687560213</v>
      </c>
      <c r="AO88" s="34"/>
      <c r="AP88" s="34">
        <f t="shared" si="8"/>
        <v>7639.349751569702</v>
      </c>
      <c r="AQ88" s="34"/>
      <c r="AR88" s="42">
        <f t="shared" si="4"/>
        <v>7477.6292602649</v>
      </c>
      <c r="AT88" s="31">
        <f t="shared" si="9"/>
        <v>7501.885001746177</v>
      </c>
      <c r="AU88" s="31"/>
      <c r="AV88" s="31">
        <f t="shared" si="10"/>
        <v>7312.558825858817</v>
      </c>
      <c r="AW88" s="31"/>
      <c r="AX88" s="31">
        <f t="shared" si="11"/>
        <v>7645.4067829866435</v>
      </c>
      <c r="AY88" s="31"/>
      <c r="AZ88" s="31">
        <f t="shared" si="12"/>
        <v>7477.6292602649</v>
      </c>
      <c r="BB88" s="41">
        <f t="shared" si="1"/>
        <v>10.365660081392889</v>
      </c>
      <c r="BD88" s="41">
        <f t="shared" si="2"/>
        <v>10.540138298603779</v>
      </c>
      <c r="BF88" s="41">
        <f t="shared" si="3"/>
        <v>6.057031416941754</v>
      </c>
      <c r="BH88" s="41">
        <f t="shared" si="5"/>
        <v>8.987609932312807</v>
      </c>
    </row>
    <row r="89" spans="2:60" ht="12.75">
      <c r="B89" s="11" t="s">
        <v>160</v>
      </c>
      <c r="D89" s="11" t="s">
        <v>55</v>
      </c>
      <c r="E89" s="28" t="s">
        <v>15</v>
      </c>
      <c r="N89" s="34">
        <f t="shared" si="13"/>
        <v>10.2173068955569</v>
      </c>
      <c r="O89" s="34"/>
      <c r="P89" s="34">
        <f t="shared" si="13"/>
        <v>15.484187740305503</v>
      </c>
      <c r="Q89" s="34"/>
      <c r="R89" s="34">
        <f t="shared" si="13"/>
        <v>49.18797131692535</v>
      </c>
      <c r="S89" s="34"/>
      <c r="V89" s="34">
        <f t="shared" si="6"/>
        <v>26.66094565034494</v>
      </c>
      <c r="W89" s="34"/>
      <c r="X89" s="34">
        <f t="shared" si="6"/>
        <v>25.498272157403633</v>
      </c>
      <c r="Y89" s="34"/>
      <c r="Z89" s="34">
        <f t="shared" si="6"/>
        <v>18.821808297116252</v>
      </c>
      <c r="AA89" s="34"/>
      <c r="AD89" s="34">
        <f t="shared" si="7"/>
        <v>389.10177688656114</v>
      </c>
      <c r="AE89" s="34"/>
      <c r="AF89" s="34">
        <f t="shared" si="7"/>
        <v>345.01181254275104</v>
      </c>
      <c r="AG89" s="34"/>
      <c r="AH89" s="34">
        <f t="shared" si="7"/>
        <v>254.4227779290467</v>
      </c>
      <c r="AI89" s="34"/>
      <c r="AL89" s="34">
        <f t="shared" si="8"/>
        <v>9988.692455553044</v>
      </c>
      <c r="AM89" s="34"/>
      <c r="AN89" s="34">
        <f t="shared" si="8"/>
        <v>9736.02491674695</v>
      </c>
      <c r="AO89" s="34"/>
      <c r="AP89" s="34">
        <f t="shared" si="8"/>
        <v>10738.33125456496</v>
      </c>
      <c r="AQ89" s="34"/>
      <c r="AR89" s="42">
        <f t="shared" si="4"/>
        <v>10154.349542288319</v>
      </c>
      <c r="AT89" s="31">
        <f t="shared" si="9"/>
        <v>10414.672484985505</v>
      </c>
      <c r="AU89" s="31"/>
      <c r="AV89" s="31">
        <f t="shared" si="10"/>
        <v>10122.01918918741</v>
      </c>
      <c r="AW89" s="31"/>
      <c r="AX89" s="31">
        <f t="shared" si="11"/>
        <v>11060.763812108049</v>
      </c>
      <c r="AY89" s="31"/>
      <c r="AZ89" s="31">
        <f t="shared" si="12"/>
        <v>10154.349542288319</v>
      </c>
      <c r="BB89" s="41">
        <f t="shared" si="1"/>
        <v>425.9800294324614</v>
      </c>
      <c r="BD89" s="41">
        <f t="shared" si="2"/>
        <v>385.9942724404591</v>
      </c>
      <c r="BF89" s="41">
        <f t="shared" si="3"/>
        <v>322.4325575430885</v>
      </c>
      <c r="BH89" s="41">
        <f t="shared" si="5"/>
        <v>378.1356198053363</v>
      </c>
    </row>
    <row r="90" spans="2:60" ht="12.75">
      <c r="B90" s="11" t="s">
        <v>165</v>
      </c>
      <c r="D90" s="11" t="s">
        <v>55</v>
      </c>
      <c r="E90" s="28" t="s">
        <v>15</v>
      </c>
      <c r="N90" s="34">
        <f t="shared" si="13"/>
        <v>1.1530960639271362</v>
      </c>
      <c r="O90" s="34"/>
      <c r="P90" s="34">
        <f t="shared" si="13"/>
        <v>1.0076785788833094</v>
      </c>
      <c r="Q90" s="34"/>
      <c r="R90" s="34">
        <f t="shared" si="13"/>
        <v>1.7945264982460911</v>
      </c>
      <c r="S90" s="34"/>
      <c r="V90" s="34">
        <f t="shared" si="6"/>
        <v>1.7761231701161033</v>
      </c>
      <c r="W90" s="34"/>
      <c r="X90" s="34">
        <f t="shared" si="6"/>
        <v>1.478710206897757</v>
      </c>
      <c r="Y90" s="34"/>
      <c r="Z90" s="34">
        <f t="shared" si="6"/>
        <v>0.7810514427607232</v>
      </c>
      <c r="AA90" s="34"/>
      <c r="AD90" s="34">
        <f t="shared" si="7"/>
        <v>6.467678364970596</v>
      </c>
      <c r="AE90" s="34"/>
      <c r="AF90" s="34">
        <f t="shared" si="7"/>
        <v>5.986969688241858</v>
      </c>
      <c r="AG90" s="34"/>
      <c r="AH90" s="34">
        <f t="shared" si="7"/>
        <v>4.353456422341465</v>
      </c>
      <c r="AI90" s="34"/>
      <c r="AL90" s="34">
        <f t="shared" si="8"/>
        <v>0</v>
      </c>
      <c r="AM90" s="34"/>
      <c r="AN90" s="34">
        <f t="shared" si="8"/>
        <v>0</v>
      </c>
      <c r="AO90" s="34"/>
      <c r="AP90" s="34">
        <f t="shared" si="8"/>
        <v>0</v>
      </c>
      <c r="AQ90" s="34"/>
      <c r="AR90" s="42">
        <f t="shared" si="4"/>
        <v>0</v>
      </c>
      <c r="AT90" s="31">
        <f t="shared" si="9"/>
        <v>9.396897599013837</v>
      </c>
      <c r="AU90" s="31"/>
      <c r="AV90" s="31">
        <f t="shared" si="10"/>
        <v>8.473358474022925</v>
      </c>
      <c r="AW90" s="31"/>
      <c r="AX90" s="31">
        <f t="shared" si="11"/>
        <v>6.929034363348279</v>
      </c>
      <c r="AY90" s="31"/>
      <c r="AZ90" s="31">
        <f t="shared" si="12"/>
        <v>0</v>
      </c>
      <c r="BB90" s="41">
        <f t="shared" si="1"/>
        <v>9.396897599013837</v>
      </c>
      <c r="BD90" s="41">
        <f t="shared" si="2"/>
        <v>8.473358474022925</v>
      </c>
      <c r="BF90" s="41">
        <f t="shared" si="3"/>
        <v>6.929034363348279</v>
      </c>
      <c r="BH90" s="41">
        <f t="shared" si="5"/>
        <v>8.266430145461682</v>
      </c>
    </row>
    <row r="91" spans="2:60" ht="12.75">
      <c r="B91" s="11" t="s">
        <v>161</v>
      </c>
      <c r="D91" s="11" t="s">
        <v>55</v>
      </c>
      <c r="E91" s="28" t="s">
        <v>15</v>
      </c>
      <c r="N91" s="34">
        <f t="shared" si="13"/>
        <v>23.207882805622106</v>
      </c>
      <c r="O91" s="34"/>
      <c r="P91" s="34">
        <f t="shared" si="13"/>
        <v>36.70220852101743</v>
      </c>
      <c r="Q91" s="34"/>
      <c r="R91" s="34">
        <f t="shared" si="13"/>
        <v>107.11528668030917</v>
      </c>
      <c r="S91" s="34"/>
      <c r="V91" s="34">
        <f t="shared" si="6"/>
        <v>55.95742890795895</v>
      </c>
      <c r="W91" s="34"/>
      <c r="X91" s="34">
        <f t="shared" si="6"/>
        <v>55.1862232343509</v>
      </c>
      <c r="Y91" s="34"/>
      <c r="Z91" s="34">
        <f t="shared" si="6"/>
        <v>55.51591137269846</v>
      </c>
      <c r="AA91" s="34"/>
      <c r="AD91" s="34">
        <f t="shared" si="7"/>
        <v>166.57199813203954</v>
      </c>
      <c r="AE91" s="34"/>
      <c r="AF91" s="34">
        <f t="shared" si="7"/>
        <v>159.82164845730387</v>
      </c>
      <c r="AG91" s="34"/>
      <c r="AH91" s="34">
        <f t="shared" si="7"/>
        <v>87.06912844682932</v>
      </c>
      <c r="AI91" s="34"/>
      <c r="AL91" s="34">
        <f t="shared" si="8"/>
        <v>91094.0614784591</v>
      </c>
      <c r="AM91" s="34"/>
      <c r="AN91" s="34">
        <f t="shared" si="8"/>
        <v>89132.62247726081</v>
      </c>
      <c r="AO91" s="34"/>
      <c r="AP91" s="34">
        <f t="shared" si="8"/>
        <v>94050.48514904208</v>
      </c>
      <c r="AQ91" s="34"/>
      <c r="AR91" s="42">
        <f t="shared" si="4"/>
        <v>91425.72303492068</v>
      </c>
      <c r="AT91" s="31">
        <f t="shared" si="9"/>
        <v>91339.79878830473</v>
      </c>
      <c r="AU91" s="31"/>
      <c r="AV91" s="31">
        <f t="shared" si="10"/>
        <v>89384.33255747349</v>
      </c>
      <c r="AW91" s="31"/>
      <c r="AX91" s="31">
        <f t="shared" si="11"/>
        <v>94300.18547554192</v>
      </c>
      <c r="AY91" s="31"/>
      <c r="AZ91" s="31">
        <f t="shared" si="12"/>
        <v>91425.72303492068</v>
      </c>
      <c r="BB91" s="41">
        <f t="shared" si="1"/>
        <v>245.73730984563008</v>
      </c>
      <c r="BD91" s="41">
        <f t="shared" si="2"/>
        <v>251.71008021268062</v>
      </c>
      <c r="BF91" s="41">
        <f t="shared" si="3"/>
        <v>249.70032649983477</v>
      </c>
      <c r="BH91" s="41">
        <f t="shared" si="5"/>
        <v>249.04923885271515</v>
      </c>
    </row>
    <row r="92" spans="2:60" ht="12.75">
      <c r="B92" s="11" t="s">
        <v>166</v>
      </c>
      <c r="D92" s="11" t="s">
        <v>55</v>
      </c>
      <c r="E92" s="28" t="s">
        <v>15</v>
      </c>
      <c r="N92" s="34">
        <f t="shared" si="13"/>
        <v>56.341149452642334</v>
      </c>
      <c r="O92" s="34"/>
      <c r="P92" s="34">
        <f t="shared" si="13"/>
        <v>23.21918528243795</v>
      </c>
      <c r="Q92" s="34"/>
      <c r="R92" s="34">
        <f t="shared" si="13"/>
        <v>120.19738485252317</v>
      </c>
      <c r="S92" s="34"/>
      <c r="V92" s="34">
        <f t="shared" si="6"/>
        <v>45.01421840821134</v>
      </c>
      <c r="W92" s="34"/>
      <c r="X92" s="34">
        <f t="shared" si="6"/>
        <v>36.83505041028644</v>
      </c>
      <c r="Y92" s="34"/>
      <c r="Z92" s="34">
        <f t="shared" si="6"/>
        <v>59.405853852330296</v>
      </c>
      <c r="AA92" s="34"/>
      <c r="AD92" s="34">
        <f t="shared" si="7"/>
        <v>216.0230600774888</v>
      </c>
      <c r="AE92" s="34"/>
      <c r="AF92" s="34">
        <f t="shared" si="7"/>
        <v>192.80071877389034</v>
      </c>
      <c r="AG92" s="34"/>
      <c r="AH92" s="34">
        <f t="shared" si="7"/>
        <v>448.53793442305994</v>
      </c>
      <c r="AI92" s="34"/>
      <c r="AL92" s="34">
        <f t="shared" si="8"/>
        <v>0</v>
      </c>
      <c r="AM92" s="34"/>
      <c r="AN92" s="34">
        <f t="shared" si="8"/>
        <v>0</v>
      </c>
      <c r="AO92" s="34"/>
      <c r="AP92" s="34">
        <f t="shared" si="8"/>
        <v>0</v>
      </c>
      <c r="AQ92" s="34"/>
      <c r="AR92" s="42">
        <f t="shared" si="4"/>
        <v>0</v>
      </c>
      <c r="AT92" s="31">
        <f t="shared" si="9"/>
        <v>317.3784279383425</v>
      </c>
      <c r="AU92" s="31"/>
      <c r="AV92" s="31">
        <f t="shared" si="10"/>
        <v>252.85495446661474</v>
      </c>
      <c r="AW92" s="31"/>
      <c r="AX92" s="31">
        <f t="shared" si="11"/>
        <v>628.1411731279135</v>
      </c>
      <c r="AY92" s="31"/>
      <c r="AZ92" s="31">
        <f t="shared" si="12"/>
        <v>0</v>
      </c>
      <c r="BB92" s="41">
        <f t="shared" si="1"/>
        <v>317.3784279383425</v>
      </c>
      <c r="BD92" s="41">
        <f t="shared" si="2"/>
        <v>252.85495446661474</v>
      </c>
      <c r="BF92" s="41">
        <f t="shared" si="3"/>
        <v>628.1411731279135</v>
      </c>
      <c r="BH92" s="41">
        <f t="shared" si="5"/>
        <v>399.45818517762353</v>
      </c>
    </row>
    <row r="93" spans="2:60" ht="12.75">
      <c r="B93" s="11" t="s">
        <v>167</v>
      </c>
      <c r="D93" s="11" t="s">
        <v>55</v>
      </c>
      <c r="E93" s="28" t="s">
        <v>15</v>
      </c>
      <c r="N93" s="34">
        <f t="shared" si="13"/>
        <v>11.98344137321745</v>
      </c>
      <c r="O93" s="34"/>
      <c r="P93" s="34">
        <f t="shared" si="13"/>
        <v>17.38600364974724</v>
      </c>
      <c r="Q93" s="34"/>
      <c r="R93" s="34">
        <f t="shared" si="13"/>
        <v>18.55540399186458</v>
      </c>
      <c r="S93" s="34"/>
      <c r="T93" s="42">
        <f>AVERAGE(N93:R93)</f>
        <v>15.974949671609757</v>
      </c>
      <c r="U93" s="42"/>
      <c r="V93" s="34">
        <f t="shared" si="6"/>
        <v>29.18189466599361</v>
      </c>
      <c r="W93" s="34"/>
      <c r="X93" s="34">
        <f t="shared" si="6"/>
        <v>30.654800058380435</v>
      </c>
      <c r="Y93" s="34"/>
      <c r="Z93" s="34">
        <f t="shared" si="6"/>
        <v>9.38793204730046</v>
      </c>
      <c r="AA93" s="34"/>
      <c r="AB93" s="42">
        <f>AVERAGE(V93:Z93)</f>
        <v>23.074875590558168</v>
      </c>
      <c r="AC93" s="42"/>
      <c r="AD93" s="34">
        <f t="shared" si="7"/>
        <v>109.31287377415094</v>
      </c>
      <c r="AE93" s="34"/>
      <c r="AF93" s="34">
        <f t="shared" si="7"/>
        <v>39.19435664548165</v>
      </c>
      <c r="AG93" s="34"/>
      <c r="AH93" s="34">
        <f t="shared" si="7"/>
        <v>51.44993953676277</v>
      </c>
      <c r="AI93" s="34"/>
      <c r="AJ93" s="31">
        <f>AVERAGE(AD93,AF93,AH93)</f>
        <v>66.65238998546512</v>
      </c>
      <c r="AK93" s="31"/>
      <c r="AL93" s="34">
        <f t="shared" si="8"/>
        <v>0</v>
      </c>
      <c r="AM93" s="34"/>
      <c r="AN93" s="34">
        <f t="shared" si="8"/>
        <v>0</v>
      </c>
      <c r="AO93" s="34"/>
      <c r="AP93" s="34">
        <f t="shared" si="8"/>
        <v>0</v>
      </c>
      <c r="AQ93" s="34"/>
      <c r="AR93" s="42">
        <f t="shared" si="4"/>
        <v>0</v>
      </c>
      <c r="AS93" s="42"/>
      <c r="AT93" s="31">
        <f t="shared" si="9"/>
        <v>150.478209813362</v>
      </c>
      <c r="AU93" s="31"/>
      <c r="AV93" s="31">
        <f t="shared" si="10"/>
        <v>87.23516035360932</v>
      </c>
      <c r="AW93" s="31"/>
      <c r="AX93" s="31">
        <f t="shared" si="11"/>
        <v>79.39327557592782</v>
      </c>
      <c r="AY93" s="31"/>
      <c r="AZ93" s="31">
        <f t="shared" si="12"/>
        <v>105.70221524763303</v>
      </c>
      <c r="BB93" s="41">
        <f t="shared" si="1"/>
        <v>150.478209813362</v>
      </c>
      <c r="BD93" s="41">
        <f t="shared" si="2"/>
        <v>87.23516035360932</v>
      </c>
      <c r="BF93" s="41">
        <f t="shared" si="3"/>
        <v>79.39327557592782</v>
      </c>
      <c r="BH93" s="41">
        <f t="shared" si="5"/>
        <v>105.70221524763305</v>
      </c>
    </row>
    <row r="94" spans="2:60" ht="12.75">
      <c r="B94" s="11" t="s">
        <v>168</v>
      </c>
      <c r="D94" s="11" t="s">
        <v>55</v>
      </c>
      <c r="E94" s="28" t="s">
        <v>15</v>
      </c>
      <c r="N94" s="34">
        <f t="shared" si="13"/>
        <v>10.231903048264838</v>
      </c>
      <c r="O94" s="34"/>
      <c r="P94" s="34">
        <f t="shared" si="13"/>
        <v>9.154263146193447</v>
      </c>
      <c r="Q94" s="34"/>
      <c r="R94" s="34">
        <f t="shared" si="13"/>
        <v>24.06460034148008</v>
      </c>
      <c r="S94" s="34"/>
      <c r="V94" s="34">
        <f t="shared" si="6"/>
        <v>13.75063099444725</v>
      </c>
      <c r="W94" s="34"/>
      <c r="X94" s="34">
        <f t="shared" si="6"/>
        <v>26.256585084017868</v>
      </c>
      <c r="Y94" s="34"/>
      <c r="Z94" s="34">
        <f t="shared" si="6"/>
        <v>12.466193615828013</v>
      </c>
      <c r="AA94" s="34"/>
      <c r="AD94" s="34">
        <f t="shared" si="7"/>
        <v>121.2852361398913</v>
      </c>
      <c r="AE94" s="34"/>
      <c r="AF94" s="34">
        <f t="shared" si="7"/>
        <v>109.71883009172048</v>
      </c>
      <c r="AG94" s="34"/>
      <c r="AH94" s="34">
        <f t="shared" si="7"/>
        <v>107.42295068115304</v>
      </c>
      <c r="AI94" s="34"/>
      <c r="AJ94" s="42">
        <f>AVERAGE(AD94:AH94)</f>
        <v>112.80900563758827</v>
      </c>
      <c r="AK94" s="42"/>
      <c r="AL94" s="34">
        <f t="shared" si="8"/>
        <v>0</v>
      </c>
      <c r="AM94" s="34"/>
      <c r="AN94" s="34">
        <f t="shared" si="8"/>
        <v>0</v>
      </c>
      <c r="AO94" s="34"/>
      <c r="AP94" s="34">
        <f t="shared" si="8"/>
        <v>0</v>
      </c>
      <c r="AQ94" s="34"/>
      <c r="AR94" s="42">
        <f t="shared" si="4"/>
        <v>0</v>
      </c>
      <c r="AT94" s="31">
        <f t="shared" si="9"/>
        <v>145.26777018260339</v>
      </c>
      <c r="AU94" s="31"/>
      <c r="AV94" s="31">
        <f t="shared" si="10"/>
        <v>145.12967832193178</v>
      </c>
      <c r="AW94" s="31"/>
      <c r="AX94" s="31">
        <f t="shared" si="11"/>
        <v>143.95374463846113</v>
      </c>
      <c r="AY94" s="31"/>
      <c r="AZ94" s="31">
        <f t="shared" si="12"/>
        <v>112.80900563758827</v>
      </c>
      <c r="BB94" s="41">
        <f t="shared" si="1"/>
        <v>145.26777018260339</v>
      </c>
      <c r="BD94" s="41">
        <f t="shared" si="2"/>
        <v>145.12967832193178</v>
      </c>
      <c r="BF94" s="41">
        <f t="shared" si="3"/>
        <v>143.95374463846113</v>
      </c>
      <c r="BH94" s="41">
        <f t="shared" si="5"/>
        <v>144.78373104766544</v>
      </c>
    </row>
    <row r="95" spans="2:60" ht="12.75">
      <c r="B95" s="11" t="s">
        <v>169</v>
      </c>
      <c r="D95" s="11" t="s">
        <v>55</v>
      </c>
      <c r="E95" s="28" t="s">
        <v>15</v>
      </c>
      <c r="N95" s="34">
        <f t="shared" si="13"/>
        <v>5.590326487140419</v>
      </c>
      <c r="O95" s="34"/>
      <c r="P95" s="34">
        <f t="shared" si="13"/>
        <v>8.118199255228916</v>
      </c>
      <c r="Q95" s="34"/>
      <c r="R95" s="34">
        <f t="shared" si="13"/>
        <v>43.445486522537855</v>
      </c>
      <c r="S95" s="34"/>
      <c r="V95" s="34">
        <f t="shared" si="6"/>
        <v>11.286976274608785</v>
      </c>
      <c r="W95" s="34"/>
      <c r="X95" s="34">
        <f t="shared" si="6"/>
        <v>11.507398661371006</v>
      </c>
      <c r="Y95" s="34"/>
      <c r="Z95" s="34">
        <f t="shared" si="6"/>
        <v>13.522910273680758</v>
      </c>
      <c r="AA95" s="34"/>
      <c r="AD95" s="34">
        <f t="shared" si="7"/>
        <v>812.0384908936926</v>
      </c>
      <c r="AE95" s="34"/>
      <c r="AF95" s="34">
        <f t="shared" si="7"/>
        <v>755.9817657186752</v>
      </c>
      <c r="AG95" s="34"/>
      <c r="AH95" s="34">
        <f t="shared" si="7"/>
        <v>305.307333514856</v>
      </c>
      <c r="AI95" s="34"/>
      <c r="AL95" s="34">
        <f t="shared" si="8"/>
        <v>0</v>
      </c>
      <c r="AM95" s="34"/>
      <c r="AN95" s="34">
        <f t="shared" si="8"/>
        <v>0</v>
      </c>
      <c r="AO95" s="34"/>
      <c r="AP95" s="34">
        <f t="shared" si="8"/>
        <v>0</v>
      </c>
      <c r="AQ95" s="34"/>
      <c r="AR95" s="42">
        <f t="shared" si="4"/>
        <v>0</v>
      </c>
      <c r="AT95" s="31">
        <f t="shared" si="9"/>
        <v>828.9157936554418</v>
      </c>
      <c r="AU95" s="31"/>
      <c r="AV95" s="31">
        <f t="shared" si="10"/>
        <v>775.6073636352751</v>
      </c>
      <c r="AW95" s="31"/>
      <c r="AX95" s="31">
        <f t="shared" si="11"/>
        <v>362.2757303110746</v>
      </c>
      <c r="AY95" s="31"/>
      <c r="AZ95" s="31">
        <f t="shared" si="12"/>
        <v>0</v>
      </c>
      <c r="BB95" s="41">
        <f t="shared" si="1"/>
        <v>828.9157936554418</v>
      </c>
      <c r="BD95" s="41">
        <f t="shared" si="2"/>
        <v>775.6073636352751</v>
      </c>
      <c r="BF95" s="41">
        <f t="shared" si="3"/>
        <v>362.2757303110746</v>
      </c>
      <c r="BH95" s="41">
        <f t="shared" si="5"/>
        <v>655.5996292005972</v>
      </c>
    </row>
    <row r="96" spans="2:60" ht="12.75">
      <c r="B96" s="11" t="s">
        <v>170</v>
      </c>
      <c r="D96" s="11" t="s">
        <v>55</v>
      </c>
      <c r="E96" s="28" t="s">
        <v>15</v>
      </c>
      <c r="N96" s="34">
        <f t="shared" si="13"/>
        <v>1.3282498964223972</v>
      </c>
      <c r="O96" s="34"/>
      <c r="P96" s="34">
        <f t="shared" si="13"/>
        <v>2.313402934619429</v>
      </c>
      <c r="Q96" s="34"/>
      <c r="R96" s="34">
        <f t="shared" si="13"/>
        <v>6.3346785388087</v>
      </c>
      <c r="S96" s="34"/>
      <c r="V96" s="34">
        <f t="shared" si="6"/>
        <v>3.036597677940435</v>
      </c>
      <c r="W96" s="34"/>
      <c r="X96" s="34">
        <f t="shared" si="6"/>
        <v>3.0142938832915815</v>
      </c>
      <c r="Y96" s="34"/>
      <c r="Z96" s="34">
        <f t="shared" si="6"/>
        <v>3.6449067328833746</v>
      </c>
      <c r="AA96" s="34"/>
      <c r="AD96" s="34">
        <f t="shared" si="7"/>
        <v>9.864185514381715</v>
      </c>
      <c r="AE96" s="34"/>
      <c r="AF96" s="34">
        <f t="shared" si="7"/>
        <v>8.726769376081352</v>
      </c>
      <c r="AG96" s="34"/>
      <c r="AH96" s="34">
        <f t="shared" si="7"/>
        <v>7.180376177108651</v>
      </c>
      <c r="AI96" s="34"/>
      <c r="AL96" s="34">
        <f t="shared" si="8"/>
        <v>0</v>
      </c>
      <c r="AM96" s="34"/>
      <c r="AN96" s="34">
        <f t="shared" si="8"/>
        <v>0</v>
      </c>
      <c r="AO96" s="34"/>
      <c r="AP96" s="34">
        <f t="shared" si="8"/>
        <v>0</v>
      </c>
      <c r="AQ96" s="34"/>
      <c r="AR96" s="42">
        <f t="shared" si="4"/>
        <v>0</v>
      </c>
      <c r="AT96" s="31">
        <f t="shared" si="9"/>
        <v>14.229033088744547</v>
      </c>
      <c r="AU96" s="31"/>
      <c r="AV96" s="31">
        <f t="shared" si="10"/>
        <v>14.054466193992361</v>
      </c>
      <c r="AW96" s="31"/>
      <c r="AX96" s="31">
        <f t="shared" si="11"/>
        <v>17.159961448800725</v>
      </c>
      <c r="AY96" s="31"/>
      <c r="AZ96" s="31">
        <f t="shared" si="12"/>
        <v>0</v>
      </c>
      <c r="BB96" s="41">
        <f t="shared" si="1"/>
        <v>14.229033088744547</v>
      </c>
      <c r="BD96" s="41">
        <f t="shared" si="2"/>
        <v>14.054466193992361</v>
      </c>
      <c r="BF96" s="41">
        <f t="shared" si="3"/>
        <v>17.159961448800725</v>
      </c>
      <c r="BH96" s="41">
        <f t="shared" si="5"/>
        <v>15.147820243845878</v>
      </c>
    </row>
    <row r="97" spans="2:60" ht="12.75">
      <c r="B97" s="11" t="s">
        <v>171</v>
      </c>
      <c r="D97" s="11" t="s">
        <v>55</v>
      </c>
      <c r="E97" s="28" t="s">
        <v>15</v>
      </c>
      <c r="N97" s="34">
        <f t="shared" si="13"/>
        <v>2.189422906190764</v>
      </c>
      <c r="O97" s="34"/>
      <c r="P97" s="34">
        <f t="shared" si="13"/>
        <v>2.128898406091499</v>
      </c>
      <c r="Q97" s="34"/>
      <c r="R97" s="34">
        <f t="shared" si="13"/>
        <v>2.6917897473691363</v>
      </c>
      <c r="S97" s="34"/>
      <c r="V97" s="34">
        <f t="shared" si="6"/>
        <v>2.864714790509843</v>
      </c>
      <c r="W97" s="34"/>
      <c r="X97" s="34">
        <f t="shared" si="6"/>
        <v>2.843673474803379</v>
      </c>
      <c r="Y97" s="34"/>
      <c r="Z97" s="34">
        <f t="shared" si="6"/>
        <v>2.2972101257668336</v>
      </c>
      <c r="AA97" s="34"/>
      <c r="AD97" s="34">
        <f t="shared" si="7"/>
        <v>1.9520156031098381</v>
      </c>
      <c r="AE97" s="34"/>
      <c r="AF97" s="34">
        <f t="shared" si="7"/>
        <v>1.9026386721107598</v>
      </c>
      <c r="AG97" s="34"/>
      <c r="AH97" s="34">
        <f t="shared" si="7"/>
        <v>2.8269197547671863</v>
      </c>
      <c r="AI97" s="34"/>
      <c r="AL97" s="34">
        <f t="shared" si="8"/>
        <v>0</v>
      </c>
      <c r="AM97" s="34"/>
      <c r="AN97" s="34">
        <f t="shared" si="8"/>
        <v>0</v>
      </c>
      <c r="AO97" s="34"/>
      <c r="AP97" s="34">
        <f t="shared" si="8"/>
        <v>0</v>
      </c>
      <c r="AQ97" s="34"/>
      <c r="AR97" s="42">
        <f t="shared" si="4"/>
        <v>0</v>
      </c>
      <c r="AT97" s="31">
        <f t="shared" si="9"/>
        <v>7.006153299810446</v>
      </c>
      <c r="AU97" s="31"/>
      <c r="AV97" s="31">
        <f t="shared" si="10"/>
        <v>6.875210553005639</v>
      </c>
      <c r="AW97" s="31"/>
      <c r="AX97" s="31">
        <f t="shared" si="11"/>
        <v>7.815919627903156</v>
      </c>
      <c r="AY97" s="31"/>
      <c r="AZ97" s="31">
        <f t="shared" si="12"/>
        <v>0</v>
      </c>
      <c r="BB97" s="41">
        <f t="shared" si="1"/>
        <v>7.006153299810446</v>
      </c>
      <c r="BD97" s="41">
        <f t="shared" si="2"/>
        <v>6.875210553005639</v>
      </c>
      <c r="BF97" s="41">
        <f t="shared" si="3"/>
        <v>7.815919627903156</v>
      </c>
      <c r="BH97" s="41">
        <f t="shared" si="5"/>
        <v>7.232427826906414</v>
      </c>
    </row>
    <row r="98" spans="2:60" ht="12.75">
      <c r="B98" s="11" t="s">
        <v>172</v>
      </c>
      <c r="D98" s="11" t="s">
        <v>55</v>
      </c>
      <c r="E98" s="28" t="s">
        <v>15</v>
      </c>
      <c r="N98" s="34">
        <f t="shared" si="13"/>
        <v>0.7298076353969214</v>
      </c>
      <c r="O98" s="34"/>
      <c r="P98" s="34">
        <f t="shared" si="13"/>
        <v>0.7096328020304998</v>
      </c>
      <c r="Q98" s="34"/>
      <c r="R98" s="34">
        <f t="shared" si="13"/>
        <v>0.8972632491230456</v>
      </c>
      <c r="S98" s="34"/>
      <c r="V98" s="34">
        <f t="shared" si="6"/>
        <v>0.9549049301699482</v>
      </c>
      <c r="W98" s="34"/>
      <c r="X98" s="34">
        <f t="shared" si="6"/>
        <v>0.9478911582677929</v>
      </c>
      <c r="Y98" s="34"/>
      <c r="Z98" s="34">
        <f t="shared" si="6"/>
        <v>0.7657367085889445</v>
      </c>
      <c r="AA98" s="34"/>
      <c r="AD98" s="34">
        <f t="shared" si="7"/>
        <v>2.0300962272342318</v>
      </c>
      <c r="AE98" s="34"/>
      <c r="AF98" s="34">
        <f t="shared" si="7"/>
        <v>1.7377433205278274</v>
      </c>
      <c r="AG98" s="34"/>
      <c r="AH98" s="34">
        <f t="shared" si="7"/>
        <v>0.9423065849223952</v>
      </c>
      <c r="AI98" s="34"/>
      <c r="AL98" s="34">
        <f t="shared" si="8"/>
        <v>0</v>
      </c>
      <c r="AM98" s="34"/>
      <c r="AN98" s="34">
        <f t="shared" si="8"/>
        <v>0</v>
      </c>
      <c r="AO98" s="34"/>
      <c r="AP98" s="34">
        <f t="shared" si="8"/>
        <v>0</v>
      </c>
      <c r="AQ98" s="34"/>
      <c r="AR98" s="42">
        <f t="shared" si="4"/>
        <v>0</v>
      </c>
      <c r="AT98" s="31">
        <f t="shared" si="9"/>
        <v>3.7148087928011013</v>
      </c>
      <c r="AU98" s="31"/>
      <c r="AV98" s="31">
        <f t="shared" si="10"/>
        <v>3.39526728082612</v>
      </c>
      <c r="AW98" s="31"/>
      <c r="AX98" s="31">
        <f t="shared" si="11"/>
        <v>2.605306542634385</v>
      </c>
      <c r="AY98" s="31"/>
      <c r="AZ98" s="31">
        <f t="shared" si="12"/>
        <v>0</v>
      </c>
      <c r="BB98" s="41">
        <f t="shared" si="1"/>
        <v>3.7148087928011013</v>
      </c>
      <c r="BD98" s="41">
        <f t="shared" si="2"/>
        <v>3.39526728082612</v>
      </c>
      <c r="BF98" s="41">
        <f t="shared" si="3"/>
        <v>2.605306542634385</v>
      </c>
      <c r="BH98" s="41">
        <f t="shared" si="5"/>
        <v>3.2384608720872023</v>
      </c>
    </row>
    <row r="99" spans="54:60" ht="12.75">
      <c r="BB99" s="41"/>
      <c r="BD99" s="41"/>
      <c r="BF99" s="41"/>
      <c r="BH99" s="41"/>
    </row>
    <row r="100" spans="2:60" ht="12.75">
      <c r="B100" s="11" t="s">
        <v>56</v>
      </c>
      <c r="D100" s="11" t="s">
        <v>55</v>
      </c>
      <c r="E100" s="28" t="s">
        <v>15</v>
      </c>
      <c r="N100" s="31">
        <f>N88+N91</f>
        <v>24.9156326724509</v>
      </c>
      <c r="O100" s="31"/>
      <c r="P100" s="31">
        <f>P88+P91</f>
        <v>38.85949223919015</v>
      </c>
      <c r="Q100" s="31"/>
      <c r="R100" s="31">
        <f>R88+R91</f>
        <v>108.35350996409898</v>
      </c>
      <c r="S100" s="31"/>
      <c r="T100" s="31">
        <f>AVERAGE(N100:R100)</f>
        <v>57.376211625246675</v>
      </c>
      <c r="U100" s="31"/>
      <c r="V100" s="31">
        <f>V88+V91</f>
        <v>59.605165741208154</v>
      </c>
      <c r="W100" s="31"/>
      <c r="X100" s="31">
        <f>X88+X91</f>
        <v>59.0915348064142</v>
      </c>
      <c r="Y100" s="31"/>
      <c r="Z100" s="31">
        <f>Z88+Z91</f>
        <v>56.113186005397836</v>
      </c>
      <c r="AA100" s="31"/>
      <c r="AB100" s="31">
        <f>AVERAGE(V100:Z100)</f>
        <v>58.269962184340066</v>
      </c>
      <c r="AC100" s="31"/>
      <c r="AD100" s="31">
        <f>AD88+AD91</f>
        <v>171.58217151335478</v>
      </c>
      <c r="AE100" s="31"/>
      <c r="AF100" s="31">
        <f>AF88+AF91</f>
        <v>164.29919146567119</v>
      </c>
      <c r="AG100" s="31"/>
      <c r="AH100" s="31">
        <f>AH88+AH91</f>
        <v>91.29066194728165</v>
      </c>
      <c r="AI100" s="31"/>
      <c r="AJ100" s="31">
        <f>AVERAGE(AD100:AH100)</f>
        <v>142.39067497543587</v>
      </c>
      <c r="AK100" s="31"/>
      <c r="AL100" s="31">
        <f>AL88+AL91</f>
        <v>98585.58082012388</v>
      </c>
      <c r="AM100" s="31"/>
      <c r="AN100" s="31">
        <f>AN88+AN91</f>
        <v>96434.64116482102</v>
      </c>
      <c r="AO100" s="31"/>
      <c r="AP100" s="31">
        <f>AP88+AP91</f>
        <v>101689.83490061178</v>
      </c>
      <c r="AQ100" s="31"/>
      <c r="AR100" s="31">
        <f>AVERAGE(AL100:AP100)</f>
        <v>98903.35229518556</v>
      </c>
      <c r="AS100" s="31"/>
      <c r="AT100" s="31">
        <f>SUM(AL100,AD100,V100,N100,F100)</f>
        <v>98841.68379005088</v>
      </c>
      <c r="AU100" s="31"/>
      <c r="AV100" s="31">
        <f>SUM(AN100,AF100,X100,P100,H100)</f>
        <v>96696.8913833323</v>
      </c>
      <c r="AW100" s="31"/>
      <c r="AX100" s="31">
        <f>SUM(AP100,AH100,Z100,R100,J100)</f>
        <v>101945.59225852856</v>
      </c>
      <c r="AY100" s="31"/>
      <c r="AZ100" s="31">
        <f>SUM(AR100,AJ100,AB100,T100,L100)</f>
        <v>99161.38914397058</v>
      </c>
      <c r="BB100" s="41">
        <f>AT100-AL100</f>
        <v>256.10296992700023</v>
      </c>
      <c r="BD100" s="41">
        <f>AV100-AN100</f>
        <v>262.2502185112826</v>
      </c>
      <c r="BF100" s="41">
        <f>AX100-AP100</f>
        <v>255.75735791678017</v>
      </c>
      <c r="BH100" s="41">
        <f t="shared" si="5"/>
        <v>258.036848785021</v>
      </c>
    </row>
    <row r="101" spans="2:60" ht="12.75">
      <c r="B101" s="11" t="s">
        <v>57</v>
      </c>
      <c r="D101" s="11" t="s">
        <v>55</v>
      </c>
      <c r="E101" s="28" t="s">
        <v>15</v>
      </c>
      <c r="N101" s="31">
        <f>N85+N87+N89</f>
        <v>11.676922166350742</v>
      </c>
      <c r="O101" s="31"/>
      <c r="P101" s="31">
        <f>P85+P87+P89</f>
        <v>16.903453344366504</v>
      </c>
      <c r="Q101" s="31"/>
      <c r="R101" s="31">
        <f>R85+R87+R89</f>
        <v>50.55181145559238</v>
      </c>
      <c r="S101" s="31"/>
      <c r="T101" s="31">
        <f>AVERAGE(N101:R101)</f>
        <v>26.377395655436544</v>
      </c>
      <c r="U101" s="31"/>
      <c r="V101" s="31">
        <f>V85+V87+V89</f>
        <v>28.570755510684833</v>
      </c>
      <c r="W101" s="31"/>
      <c r="X101" s="31">
        <f>X85+X87+X89</f>
        <v>27.39405447393922</v>
      </c>
      <c r="Y101" s="31"/>
      <c r="Z101" s="31">
        <f>Z85+Z87+Z89</f>
        <v>19.2965650564414</v>
      </c>
      <c r="AA101" s="31"/>
      <c r="AB101" s="31">
        <f>AVERAGE(V101:Z101)</f>
        <v>25.087125013688482</v>
      </c>
      <c r="AC101" s="31"/>
      <c r="AD101" s="31">
        <f>AD85+AD87+AD89</f>
        <v>402.37548298770804</v>
      </c>
      <c r="AE101" s="31"/>
      <c r="AF101" s="31">
        <f>AF85+AF87+AF89</f>
        <v>357.09356811065436</v>
      </c>
      <c r="AG101" s="31"/>
      <c r="AH101" s="31">
        <f>AH85+AH87+AH89</f>
        <v>265.3177266639194</v>
      </c>
      <c r="AI101" s="31"/>
      <c r="AJ101" s="31">
        <f>AVERAGE(AD101:AH101)</f>
        <v>341.5955925874273</v>
      </c>
      <c r="AK101" s="31"/>
      <c r="AL101" s="31">
        <f>AL85+AL87+AL89</f>
        <v>19801.52764956466</v>
      </c>
      <c r="AM101" s="31"/>
      <c r="AN101" s="31">
        <f>AN85+AN87+AN89</f>
        <v>19300.640944114555</v>
      </c>
      <c r="AO101" s="31"/>
      <c r="AP101" s="31">
        <f>AP85+AP87+AP89</f>
        <v>22773.91058015119</v>
      </c>
      <c r="AQ101" s="31"/>
      <c r="AR101" s="31">
        <f>AVERAGE(AL101:AP101)</f>
        <v>20625.359724610138</v>
      </c>
      <c r="AS101" s="31"/>
      <c r="AT101" s="31">
        <f>SUM(AL101,AD101,V101,N101,F101)</f>
        <v>20244.150810229403</v>
      </c>
      <c r="AU101" s="31"/>
      <c r="AV101" s="31">
        <f>SUM(AN101,AF101,X101,P101,H101)</f>
        <v>19702.032020043513</v>
      </c>
      <c r="AW101" s="31"/>
      <c r="AX101" s="31">
        <f>SUM(AP101,AH101,Z101,R101,J101)</f>
        <v>23109.07668332714</v>
      </c>
      <c r="AY101" s="31"/>
      <c r="AZ101" s="31">
        <f>SUM(AR101,AJ101,AB101,T101,L101)</f>
        <v>21018.419837866688</v>
      </c>
      <c r="BB101" s="41">
        <f>AT101-AL101</f>
        <v>442.6231606647416</v>
      </c>
      <c r="BD101" s="41">
        <f>AV101-AN101</f>
        <v>401.39107592895743</v>
      </c>
      <c r="BF101" s="41">
        <f>AX101-AP101</f>
        <v>335.1661031759504</v>
      </c>
      <c r="BH101" s="41">
        <f t="shared" si="5"/>
        <v>393.0601132565498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X22"/>
  <sheetViews>
    <sheetView workbookViewId="0" topLeftCell="B1">
      <selection activeCell="B33" sqref="B33"/>
    </sheetView>
  </sheetViews>
  <sheetFormatPr defaultColWidth="9.140625" defaultRowHeight="12.75"/>
  <cols>
    <col min="1" max="1" width="7.140625" style="69" hidden="1" customWidth="1"/>
    <col min="2" max="2" width="24.8515625" style="69" customWidth="1"/>
    <col min="3" max="3" width="6.421875" style="69" customWidth="1"/>
    <col min="4" max="4" width="8.140625" style="69" customWidth="1"/>
    <col min="5" max="5" width="2.140625" style="69" customWidth="1"/>
    <col min="6" max="6" width="10.00390625" style="69" bestFit="1" customWidth="1"/>
    <col min="7" max="7" width="1.7109375" style="69" customWidth="1"/>
    <col min="8" max="8" width="10.00390625" style="69" bestFit="1" customWidth="1"/>
    <col min="9" max="9" width="1.7109375" style="69" customWidth="1"/>
    <col min="10" max="10" width="10.00390625" style="69" bestFit="1" customWidth="1"/>
    <col min="11" max="11" width="2.28125" style="69" customWidth="1"/>
    <col min="12" max="12" width="9.00390625" style="69" bestFit="1" customWidth="1"/>
    <col min="13" max="13" width="2.140625" style="69" customWidth="1"/>
    <col min="14" max="14" width="9.00390625" style="69" bestFit="1" customWidth="1"/>
    <col min="15" max="15" width="2.421875" style="69" customWidth="1"/>
    <col min="16" max="16" width="9.00390625" style="69" bestFit="1" customWidth="1"/>
    <col min="17" max="17" width="1.7109375" style="69" customWidth="1"/>
    <col min="18" max="18" width="10.00390625" style="69" bestFit="1" customWidth="1"/>
    <col min="19" max="19" width="1.421875" style="69" customWidth="1"/>
    <col min="20" max="20" width="10.00390625" style="69" bestFit="1" customWidth="1"/>
    <col min="21" max="21" width="1.8515625" style="69" customWidth="1"/>
    <col min="22" max="22" width="10.00390625" style="69" bestFit="1" customWidth="1"/>
    <col min="23" max="23" width="2.57421875" style="69" customWidth="1"/>
    <col min="24" max="24" width="9.00390625" style="69" bestFit="1" customWidth="1"/>
    <col min="25" max="25" width="2.421875" style="69" customWidth="1"/>
    <col min="26" max="26" width="9.00390625" style="69" bestFit="1" customWidth="1"/>
    <col min="27" max="27" width="2.421875" style="69" customWidth="1"/>
    <col min="28" max="28" width="9.00390625" style="69" bestFit="1" customWidth="1"/>
    <col min="29" max="29" width="3.00390625" style="69" customWidth="1"/>
    <col min="30" max="30" width="8.00390625" style="69" bestFit="1" customWidth="1"/>
    <col min="31" max="31" width="2.421875" style="69" customWidth="1"/>
    <col min="32" max="32" width="8.00390625" style="69" bestFit="1" customWidth="1"/>
    <col min="33" max="33" width="3.00390625" style="69" customWidth="1"/>
    <col min="34" max="34" width="8.00390625" style="69" bestFit="1" customWidth="1"/>
    <col min="35" max="35" width="2.28125" style="69" customWidth="1"/>
    <col min="36" max="36" width="9.140625" style="69" customWidth="1"/>
    <col min="37" max="37" width="2.7109375" style="69" customWidth="1"/>
    <col min="38" max="38" width="9.140625" style="69" customWidth="1"/>
    <col min="39" max="39" width="2.00390625" style="69" customWidth="1"/>
    <col min="40" max="40" width="9.140625" style="69" customWidth="1"/>
    <col min="41" max="41" width="2.00390625" style="69" customWidth="1"/>
    <col min="42" max="42" width="9.140625" style="69" customWidth="1"/>
    <col min="43" max="43" width="2.00390625" style="69" customWidth="1"/>
    <col min="44" max="44" width="9.140625" style="69" customWidth="1"/>
    <col min="45" max="45" width="1.28515625" style="69" customWidth="1"/>
    <col min="46" max="46" width="9.140625" style="69" customWidth="1"/>
    <col min="47" max="47" width="2.00390625" style="69" customWidth="1"/>
    <col min="48" max="48" width="9.140625" style="69" customWidth="1"/>
    <col min="49" max="49" width="2.421875" style="69" customWidth="1"/>
    <col min="50" max="16384" width="9.140625" style="69" customWidth="1"/>
  </cols>
  <sheetData>
    <row r="1" spans="2:3" ht="12.75">
      <c r="B1" s="73" t="s">
        <v>219</v>
      </c>
      <c r="C1" s="73"/>
    </row>
    <row r="4" spans="2:50" ht="12.75">
      <c r="B4" s="73" t="s">
        <v>196</v>
      </c>
      <c r="C4" s="73"/>
      <c r="F4" s="76" t="s">
        <v>197</v>
      </c>
      <c r="G4" s="76"/>
      <c r="H4" s="76" t="s">
        <v>198</v>
      </c>
      <c r="I4" s="76"/>
      <c r="J4" s="76" t="s">
        <v>199</v>
      </c>
      <c r="K4" s="76"/>
      <c r="L4" s="76" t="s">
        <v>197</v>
      </c>
      <c r="M4" s="76"/>
      <c r="N4" s="76" t="s">
        <v>198</v>
      </c>
      <c r="O4" s="76"/>
      <c r="P4" s="76" t="s">
        <v>199</v>
      </c>
      <c r="Q4" s="76"/>
      <c r="R4" s="76" t="s">
        <v>197</v>
      </c>
      <c r="S4" s="76"/>
      <c r="T4" s="76" t="s">
        <v>198</v>
      </c>
      <c r="U4" s="76"/>
      <c r="V4" s="76" t="s">
        <v>199</v>
      </c>
      <c r="W4" s="76"/>
      <c r="X4" s="76" t="s">
        <v>197</v>
      </c>
      <c r="Y4" s="76"/>
      <c r="Z4" s="76" t="s">
        <v>198</v>
      </c>
      <c r="AA4" s="76"/>
      <c r="AB4" s="76" t="s">
        <v>199</v>
      </c>
      <c r="AC4" s="76"/>
      <c r="AD4" s="76" t="s">
        <v>197</v>
      </c>
      <c r="AE4" s="76"/>
      <c r="AF4" s="76" t="s">
        <v>198</v>
      </c>
      <c r="AG4" s="76"/>
      <c r="AH4" s="76" t="s">
        <v>199</v>
      </c>
      <c r="AI4" s="76"/>
      <c r="AJ4" s="76" t="s">
        <v>197</v>
      </c>
      <c r="AK4" s="76"/>
      <c r="AL4" s="76" t="s">
        <v>198</v>
      </c>
      <c r="AM4" s="76"/>
      <c r="AN4" s="76" t="s">
        <v>199</v>
      </c>
      <c r="AO4" s="76"/>
      <c r="AP4" s="76" t="s">
        <v>47</v>
      </c>
      <c r="AR4" s="76" t="s">
        <v>197</v>
      </c>
      <c r="AS4" s="76"/>
      <c r="AT4" s="76" t="s">
        <v>198</v>
      </c>
      <c r="AU4" s="76"/>
      <c r="AV4" s="76" t="s">
        <v>199</v>
      </c>
      <c r="AW4" s="76"/>
      <c r="AX4" s="76" t="s">
        <v>47</v>
      </c>
    </row>
    <row r="6" spans="2:42" ht="12.75">
      <c r="B6" s="69" t="s">
        <v>260</v>
      </c>
      <c r="F6" s="69" t="s">
        <v>263</v>
      </c>
      <c r="H6" s="69" t="s">
        <v>263</v>
      </c>
      <c r="J6" s="69" t="s">
        <v>263</v>
      </c>
      <c r="L6" s="69" t="s">
        <v>265</v>
      </c>
      <c r="N6" s="69" t="s">
        <v>265</v>
      </c>
      <c r="P6" s="69" t="s">
        <v>265</v>
      </c>
      <c r="R6" s="69" t="s">
        <v>266</v>
      </c>
      <c r="T6" s="69" t="s">
        <v>266</v>
      </c>
      <c r="V6" s="69" t="s">
        <v>266</v>
      </c>
      <c r="X6" s="69" t="s">
        <v>267</v>
      </c>
      <c r="Z6" s="69" t="s">
        <v>267</v>
      </c>
      <c r="AB6" s="69" t="s">
        <v>267</v>
      </c>
      <c r="AD6" s="69" t="s">
        <v>268</v>
      </c>
      <c r="AF6" s="69" t="s">
        <v>268</v>
      </c>
      <c r="AH6" s="69" t="s">
        <v>268</v>
      </c>
      <c r="AJ6" s="69" t="s">
        <v>269</v>
      </c>
      <c r="AL6" s="69" t="s">
        <v>269</v>
      </c>
      <c r="AN6" s="69" t="s">
        <v>269</v>
      </c>
      <c r="AP6" s="69" t="s">
        <v>269</v>
      </c>
    </row>
    <row r="7" spans="2:42" ht="12.75">
      <c r="B7" s="69" t="s">
        <v>261</v>
      </c>
      <c r="F7" s="69" t="s">
        <v>264</v>
      </c>
      <c r="H7" s="69" t="s">
        <v>264</v>
      </c>
      <c r="J7" s="69" t="s">
        <v>264</v>
      </c>
      <c r="L7" s="69" t="s">
        <v>264</v>
      </c>
      <c r="N7" s="69" t="s">
        <v>264</v>
      </c>
      <c r="P7" s="69" t="s">
        <v>264</v>
      </c>
      <c r="R7" s="69" t="s">
        <v>264</v>
      </c>
      <c r="T7" s="69" t="s">
        <v>264</v>
      </c>
      <c r="V7" s="69" t="s">
        <v>264</v>
      </c>
      <c r="X7" s="69" t="s">
        <v>270</v>
      </c>
      <c r="Z7" s="69" t="s">
        <v>270</v>
      </c>
      <c r="AB7" s="69" t="s">
        <v>270</v>
      </c>
      <c r="AD7" s="69" t="s">
        <v>262</v>
      </c>
      <c r="AF7" s="69" t="s">
        <v>262</v>
      </c>
      <c r="AH7" s="69" t="s">
        <v>262</v>
      </c>
      <c r="AJ7" s="69" t="s">
        <v>25</v>
      </c>
      <c r="AL7" s="69" t="s">
        <v>25</v>
      </c>
      <c r="AN7" s="69" t="s">
        <v>25</v>
      </c>
      <c r="AP7" s="69" t="s">
        <v>25</v>
      </c>
    </row>
    <row r="8" spans="2:50" ht="12.75">
      <c r="B8" s="69" t="s">
        <v>271</v>
      </c>
      <c r="AJ8" s="69" t="s">
        <v>25</v>
      </c>
      <c r="AL8" s="69" t="s">
        <v>25</v>
      </c>
      <c r="AN8" s="69" t="s">
        <v>25</v>
      </c>
      <c r="AP8" s="69" t="s">
        <v>25</v>
      </c>
      <c r="AR8" s="69" t="s">
        <v>62</v>
      </c>
      <c r="AT8" s="69" t="s">
        <v>62</v>
      </c>
      <c r="AV8" s="69" t="s">
        <v>62</v>
      </c>
      <c r="AX8" s="69" t="s">
        <v>62</v>
      </c>
    </row>
    <row r="9" spans="2:42" ht="12.75">
      <c r="B9" s="69" t="s">
        <v>48</v>
      </c>
      <c r="F9" s="69" t="s">
        <v>204</v>
      </c>
      <c r="L9" s="69" t="s">
        <v>205</v>
      </c>
      <c r="R9" s="69" t="s">
        <v>206</v>
      </c>
      <c r="X9" s="69" t="s">
        <v>207</v>
      </c>
      <c r="AD9" s="69" t="s">
        <v>208</v>
      </c>
      <c r="AJ9" s="69" t="s">
        <v>25</v>
      </c>
      <c r="AL9" s="69" t="s">
        <v>25</v>
      </c>
      <c r="AN9" s="69" t="s">
        <v>25</v>
      </c>
      <c r="AP9" s="69" t="s">
        <v>25</v>
      </c>
    </row>
    <row r="10" spans="1:35" ht="12.75">
      <c r="A10" s="69" t="s">
        <v>196</v>
      </c>
      <c r="B10" s="69" t="s">
        <v>85</v>
      </c>
      <c r="D10" s="69" t="s">
        <v>52</v>
      </c>
      <c r="F10" s="70">
        <v>830</v>
      </c>
      <c r="G10" s="70"/>
      <c r="H10" s="70">
        <v>823</v>
      </c>
      <c r="I10" s="70"/>
      <c r="J10" s="70">
        <v>825</v>
      </c>
      <c r="K10" s="70"/>
      <c r="L10" s="70">
        <v>372</v>
      </c>
      <c r="M10" s="70"/>
      <c r="N10" s="70">
        <v>383</v>
      </c>
      <c r="O10" s="70"/>
      <c r="P10" s="70">
        <v>377</v>
      </c>
      <c r="Q10" s="70"/>
      <c r="R10" s="70">
        <v>619</v>
      </c>
      <c r="S10" s="70"/>
      <c r="T10" s="70">
        <v>617</v>
      </c>
      <c r="U10" s="70"/>
      <c r="V10" s="70">
        <v>659</v>
      </c>
      <c r="W10" s="70"/>
      <c r="X10" s="70">
        <v>160</v>
      </c>
      <c r="Y10" s="70"/>
      <c r="Z10" s="70">
        <v>173</v>
      </c>
      <c r="AA10" s="70"/>
      <c r="AB10" s="70">
        <v>166</v>
      </c>
      <c r="AC10" s="70"/>
      <c r="AD10" s="70">
        <v>967</v>
      </c>
      <c r="AE10" s="70"/>
      <c r="AF10" s="70">
        <v>942</v>
      </c>
      <c r="AG10" s="70"/>
      <c r="AH10" s="70">
        <v>984</v>
      </c>
      <c r="AI10" s="70"/>
    </row>
    <row r="11" spans="1:35" ht="12.75">
      <c r="A11" s="69" t="s">
        <v>196</v>
      </c>
      <c r="B11" s="69" t="s">
        <v>108</v>
      </c>
      <c r="D11" s="69" t="s">
        <v>109</v>
      </c>
      <c r="F11" s="70">
        <v>7722</v>
      </c>
      <c r="G11" s="70"/>
      <c r="H11" s="70">
        <v>7756</v>
      </c>
      <c r="I11" s="70"/>
      <c r="J11" s="70">
        <v>7890</v>
      </c>
      <c r="K11" s="70"/>
      <c r="L11" s="70">
        <v>0</v>
      </c>
      <c r="M11" s="70"/>
      <c r="N11" s="70">
        <v>0</v>
      </c>
      <c r="O11" s="70"/>
      <c r="P11" s="70">
        <v>0</v>
      </c>
      <c r="Q11" s="70"/>
      <c r="R11" s="70">
        <v>10399</v>
      </c>
      <c r="S11" s="70"/>
      <c r="T11" s="70">
        <v>10456</v>
      </c>
      <c r="U11" s="70"/>
      <c r="V11" s="70">
        <v>10682</v>
      </c>
      <c r="W11" s="70"/>
      <c r="X11" s="70">
        <v>0</v>
      </c>
      <c r="Y11" s="70"/>
      <c r="Z11" s="70">
        <v>274</v>
      </c>
      <c r="AA11" s="70"/>
      <c r="AB11" s="70">
        <v>220</v>
      </c>
      <c r="AC11" s="70"/>
      <c r="AD11" s="70">
        <v>0</v>
      </c>
      <c r="AE11" s="70"/>
      <c r="AF11" s="70">
        <v>0</v>
      </c>
      <c r="AG11" s="70"/>
      <c r="AH11" s="70">
        <v>0</v>
      </c>
      <c r="AI11" s="70"/>
    </row>
    <row r="12" spans="2:35" ht="12.75">
      <c r="B12" s="69" t="s">
        <v>110</v>
      </c>
      <c r="D12" s="69" t="s">
        <v>111</v>
      </c>
      <c r="F12" s="80">
        <f>F11*F10/1000000</f>
        <v>6.40926</v>
      </c>
      <c r="G12" s="80"/>
      <c r="H12" s="80">
        <f>H11*H10/1000000</f>
        <v>6.383188</v>
      </c>
      <c r="I12" s="80"/>
      <c r="J12" s="80">
        <f>J11*J10/1000000</f>
        <v>6.50925</v>
      </c>
      <c r="K12" s="80"/>
      <c r="L12" s="70"/>
      <c r="M12" s="70"/>
      <c r="N12" s="70"/>
      <c r="O12" s="70"/>
      <c r="P12" s="70"/>
      <c r="Q12" s="70"/>
      <c r="R12" s="80">
        <f aca="true" t="shared" si="0" ref="R12:AB12">R11*R10/1000000</f>
        <v>6.436981</v>
      </c>
      <c r="S12" s="80"/>
      <c r="T12" s="80">
        <f t="shared" si="0"/>
        <v>6.451352</v>
      </c>
      <c r="U12" s="80"/>
      <c r="V12" s="80">
        <f t="shared" si="0"/>
        <v>7.039438</v>
      </c>
      <c r="W12" s="80"/>
      <c r="X12" s="80">
        <f t="shared" si="0"/>
        <v>0</v>
      </c>
      <c r="Y12" s="80"/>
      <c r="Z12" s="80">
        <f t="shared" si="0"/>
        <v>0.047402</v>
      </c>
      <c r="AA12" s="80"/>
      <c r="AB12" s="80">
        <f t="shared" si="0"/>
        <v>0.03652</v>
      </c>
      <c r="AC12" s="70"/>
      <c r="AD12" s="80"/>
      <c r="AE12" s="70"/>
      <c r="AF12" s="80"/>
      <c r="AG12" s="80"/>
      <c r="AH12" s="80"/>
      <c r="AI12" s="80"/>
    </row>
    <row r="13" spans="1:35" ht="12.75">
      <c r="A13" s="69" t="s">
        <v>196</v>
      </c>
      <c r="B13" s="69" t="s">
        <v>49</v>
      </c>
      <c r="D13" s="69" t="s">
        <v>209</v>
      </c>
      <c r="F13" s="70">
        <v>2.8</v>
      </c>
      <c r="G13" s="70"/>
      <c r="H13" s="70">
        <v>2.82</v>
      </c>
      <c r="I13" s="70"/>
      <c r="J13" s="70">
        <v>2.87</v>
      </c>
      <c r="K13" s="70"/>
      <c r="L13" s="70">
        <v>1.3</v>
      </c>
      <c r="M13" s="70"/>
      <c r="N13" s="70">
        <v>1.26</v>
      </c>
      <c r="O13" s="70"/>
      <c r="P13" s="70">
        <v>1.28</v>
      </c>
      <c r="Q13" s="70"/>
      <c r="R13" s="70">
        <v>2.42</v>
      </c>
      <c r="S13" s="70"/>
      <c r="T13" s="70">
        <v>2.38</v>
      </c>
      <c r="U13" s="70"/>
      <c r="V13" s="70">
        <v>2.54</v>
      </c>
      <c r="W13" s="70"/>
      <c r="X13" s="70">
        <v>36.18</v>
      </c>
      <c r="Y13" s="70"/>
      <c r="Z13" s="70">
        <v>32.5</v>
      </c>
      <c r="AA13" s="70"/>
      <c r="AB13" s="70">
        <v>35.28</v>
      </c>
      <c r="AC13" s="70"/>
      <c r="AD13" s="70">
        <v>72.99</v>
      </c>
      <c r="AE13" s="70"/>
      <c r="AF13" s="70">
        <v>72.99</v>
      </c>
      <c r="AG13" s="70"/>
      <c r="AH13" s="70">
        <v>72.99</v>
      </c>
      <c r="AI13" s="70"/>
    </row>
    <row r="14" spans="1:35" ht="12.75">
      <c r="A14" s="69" t="s">
        <v>196</v>
      </c>
      <c r="B14" s="69" t="s">
        <v>107</v>
      </c>
      <c r="D14" s="69" t="s">
        <v>210</v>
      </c>
      <c r="F14" s="70">
        <v>143000</v>
      </c>
      <c r="G14" s="70"/>
      <c r="H14" s="70">
        <v>159000</v>
      </c>
      <c r="I14" s="70"/>
      <c r="J14" s="70">
        <v>150000</v>
      </c>
      <c r="K14" s="70"/>
      <c r="L14" s="70">
        <v>14400</v>
      </c>
      <c r="M14" s="70"/>
      <c r="N14" s="70">
        <v>14400</v>
      </c>
      <c r="O14" s="70"/>
      <c r="P14" s="70">
        <v>12800</v>
      </c>
      <c r="Q14" s="70"/>
      <c r="R14" s="70">
        <v>171000</v>
      </c>
      <c r="S14" s="70"/>
      <c r="T14" s="70">
        <v>172000</v>
      </c>
      <c r="U14" s="70"/>
      <c r="V14" s="70">
        <v>148000</v>
      </c>
      <c r="W14" s="70"/>
      <c r="X14" s="70">
        <v>4600</v>
      </c>
      <c r="Y14" s="70"/>
      <c r="Z14" s="70">
        <v>16800</v>
      </c>
      <c r="AA14" s="70"/>
      <c r="AB14" s="70">
        <v>19100</v>
      </c>
      <c r="AC14" s="70" t="s">
        <v>97</v>
      </c>
      <c r="AD14" s="70">
        <v>1000</v>
      </c>
      <c r="AE14" s="70" t="s">
        <v>97</v>
      </c>
      <c r="AF14" s="70">
        <v>1000</v>
      </c>
      <c r="AG14" s="70" t="s">
        <v>97</v>
      </c>
      <c r="AH14" s="70">
        <v>1000</v>
      </c>
      <c r="AI14" s="70"/>
    </row>
    <row r="17" spans="2:34" ht="12.75">
      <c r="B17" s="77" t="s">
        <v>103</v>
      </c>
      <c r="C17" s="77"/>
      <c r="D17" s="77" t="s">
        <v>17</v>
      </c>
      <c r="E17" s="77"/>
      <c r="F17" s="69">
        <f>'emiss 2'!G12</f>
        <v>9284</v>
      </c>
      <c r="H17" s="69">
        <f>'emiss 2'!I12</f>
        <v>9486</v>
      </c>
      <c r="J17" s="69">
        <f>'emiss 2'!K12</f>
        <v>9412</v>
      </c>
      <c r="L17" s="69">
        <f>F17</f>
        <v>9284</v>
      </c>
      <c r="N17" s="69">
        <f>H17</f>
        <v>9486</v>
      </c>
      <c r="P17" s="69">
        <f>J17</f>
        <v>9412</v>
      </c>
      <c r="R17" s="69">
        <f>F17</f>
        <v>9284</v>
      </c>
      <c r="T17" s="69">
        <f>H17</f>
        <v>9486</v>
      </c>
      <c r="V17" s="69">
        <f>J17</f>
        <v>9412</v>
      </c>
      <c r="X17" s="69">
        <f>F17</f>
        <v>9284</v>
      </c>
      <c r="Z17" s="69">
        <f>H17</f>
        <v>9486</v>
      </c>
      <c r="AB17" s="69">
        <f>J17</f>
        <v>9412</v>
      </c>
      <c r="AD17" s="69">
        <f>F17</f>
        <v>9284</v>
      </c>
      <c r="AF17" s="69">
        <f>F17</f>
        <v>9284</v>
      </c>
      <c r="AH17" s="69">
        <f>J17</f>
        <v>9412</v>
      </c>
    </row>
    <row r="18" spans="2:34" ht="12.75">
      <c r="B18" s="77" t="s">
        <v>104</v>
      </c>
      <c r="C18" s="77"/>
      <c r="D18" s="77" t="s">
        <v>18</v>
      </c>
      <c r="E18" s="77"/>
      <c r="F18" s="69">
        <f>'emiss 2'!G13</f>
        <v>12.1</v>
      </c>
      <c r="H18" s="69">
        <f>'emiss 2'!I13</f>
        <v>12.1</v>
      </c>
      <c r="J18" s="69">
        <f>'emiss 2'!K13</f>
        <v>11.8</v>
      </c>
      <c r="L18" s="69">
        <f>F18</f>
        <v>12.1</v>
      </c>
      <c r="N18" s="69">
        <f>H18</f>
        <v>12.1</v>
      </c>
      <c r="P18" s="69">
        <f>J18</f>
        <v>11.8</v>
      </c>
      <c r="R18" s="69">
        <f>F18</f>
        <v>12.1</v>
      </c>
      <c r="T18" s="69">
        <f>H18</f>
        <v>12.1</v>
      </c>
      <c r="V18" s="69">
        <f>J18</f>
        <v>11.8</v>
      </c>
      <c r="X18" s="69">
        <f>F18</f>
        <v>12.1</v>
      </c>
      <c r="Z18" s="69">
        <f>H18</f>
        <v>12.1</v>
      </c>
      <c r="AB18" s="69">
        <f>J18</f>
        <v>11.8</v>
      </c>
      <c r="AD18" s="69">
        <f>F18</f>
        <v>12.1</v>
      </c>
      <c r="AF18" s="69">
        <f>F18</f>
        <v>12.1</v>
      </c>
      <c r="AH18" s="69">
        <f>J18</f>
        <v>11.8</v>
      </c>
    </row>
    <row r="20" ht="12.75">
      <c r="B20" s="47" t="s">
        <v>105</v>
      </c>
    </row>
    <row r="21" spans="2:50" ht="12.75">
      <c r="B21" s="69" t="s">
        <v>49</v>
      </c>
      <c r="D21" s="69" t="s">
        <v>61</v>
      </c>
      <c r="F21" s="71">
        <f aca="true" t="shared" si="1" ref="F21:AB21">F10*F13/100/60*454*1000/(F17*0.0283)*(21-7)/(21-F18)</f>
        <v>1052.8274216173095</v>
      </c>
      <c r="G21" s="71"/>
      <c r="H21" s="71">
        <f t="shared" si="1"/>
        <v>1029.0157431813366</v>
      </c>
      <c r="I21" s="71"/>
      <c r="J21" s="71">
        <f t="shared" si="1"/>
        <v>1023.55763476861</v>
      </c>
      <c r="K21" s="71"/>
      <c r="L21" s="71">
        <f t="shared" si="1"/>
        <v>219.0823326566828</v>
      </c>
      <c r="M21" s="71"/>
      <c r="N21" s="71">
        <f t="shared" si="1"/>
        <v>213.96483085772064</v>
      </c>
      <c r="O21" s="71"/>
      <c r="P21" s="71">
        <f t="shared" si="1"/>
        <v>208.6064712211764</v>
      </c>
      <c r="Q21" s="71"/>
      <c r="R21" s="71">
        <f t="shared" si="1"/>
        <v>678.6206630956527</v>
      </c>
      <c r="S21" s="71"/>
      <c r="T21" s="71">
        <f t="shared" si="1"/>
        <v>651.0812622183438</v>
      </c>
      <c r="U21" s="71"/>
      <c r="V21" s="71">
        <f t="shared" si="1"/>
        <v>723.5950512232228</v>
      </c>
      <c r="W21" s="71"/>
      <c r="X21" s="71">
        <f t="shared" si="1"/>
        <v>2622.4644484760247</v>
      </c>
      <c r="Y21" s="71"/>
      <c r="Z21" s="71">
        <f t="shared" si="1"/>
        <v>2492.8866954650716</v>
      </c>
      <c r="AA21" s="71"/>
      <c r="AB21" s="71">
        <f t="shared" si="1"/>
        <v>2531.705128020133</v>
      </c>
      <c r="AC21" s="71"/>
      <c r="AD21" s="71">
        <f>AD10*AD13/100/60*454*1000/(AD17*0.0283)*(21-7)/(21-AD18)</f>
        <v>31975.02567909658</v>
      </c>
      <c r="AF21" s="71">
        <f>AF10*AF13/100/60*454*1000/(AF17*0.0283)*(21-7)/(21-AF18)</f>
        <v>31148.37041334951</v>
      </c>
      <c r="AH21" s="71">
        <f>AH10*AH13/100/60*454*1000/(AH17*0.0283)*(21-7)/(21-AH18)</f>
        <v>31048.092160731772</v>
      </c>
      <c r="AI21" s="71"/>
      <c r="AJ21" s="71">
        <f>F21+L21+R21+X21+AD21</f>
        <v>36548.02054494225</v>
      </c>
      <c r="AL21" s="71">
        <f>H21+N21+T21+Z21+AF21</f>
        <v>35535.31894507198</v>
      </c>
      <c r="AN21" s="71">
        <f>J21+P21+V21+AB21+AH21</f>
        <v>35535.55644596492</v>
      </c>
      <c r="AO21" s="71"/>
      <c r="AP21" s="71">
        <f>AVERAGE(AJ21,AL21,AN21)</f>
        <v>35872.96531199305</v>
      </c>
      <c r="AR21" s="71">
        <f>AJ21</f>
        <v>36548.02054494225</v>
      </c>
      <c r="AT21" s="71">
        <f>AL21</f>
        <v>35535.31894507198</v>
      </c>
      <c r="AV21" s="71">
        <f>AN21</f>
        <v>35535.55644596492</v>
      </c>
      <c r="AX21" s="71">
        <f>AP21</f>
        <v>35872.96531199305</v>
      </c>
    </row>
    <row r="22" spans="2:50" ht="12.75">
      <c r="B22" s="69" t="s">
        <v>107</v>
      </c>
      <c r="D22" s="69" t="s">
        <v>55</v>
      </c>
      <c r="F22" s="71">
        <f aca="true" t="shared" si="2" ref="F22:AB22">F10*F14/1000000/60*454*1000000/(F17*0.0283)*(21-7)/(21-F18)</f>
        <v>5376940.046116972</v>
      </c>
      <c r="G22" s="71"/>
      <c r="H22" s="71">
        <f t="shared" si="2"/>
        <v>5801897.275384134</v>
      </c>
      <c r="I22" s="71"/>
      <c r="J22" s="71">
        <f t="shared" si="2"/>
        <v>5349604.362902143</v>
      </c>
      <c r="K22" s="71"/>
      <c r="L22" s="71">
        <f t="shared" si="2"/>
        <v>242675.81463509478</v>
      </c>
      <c r="M22" s="71"/>
      <c r="N22" s="71">
        <f t="shared" si="2"/>
        <v>244531.23526596642</v>
      </c>
      <c r="O22" s="71"/>
      <c r="P22" s="71">
        <f t="shared" si="2"/>
        <v>208606.4712211764</v>
      </c>
      <c r="Q22" s="71"/>
      <c r="R22" s="71">
        <f t="shared" si="2"/>
        <v>4795212.123527134</v>
      </c>
      <c r="S22" s="71"/>
      <c r="T22" s="71">
        <f t="shared" si="2"/>
        <v>4705293.1555275265</v>
      </c>
      <c r="U22" s="71"/>
      <c r="V22" s="71">
        <f t="shared" si="2"/>
        <v>4216223.133111691</v>
      </c>
      <c r="W22" s="71"/>
      <c r="X22" s="71">
        <f t="shared" si="2"/>
        <v>33342.55517686488</v>
      </c>
      <c r="Y22" s="71"/>
      <c r="Z22" s="71">
        <f t="shared" si="2"/>
        <v>128863.06610404063</v>
      </c>
      <c r="AA22" s="71"/>
      <c r="AB22" s="71">
        <f t="shared" si="2"/>
        <v>137062.2674183235</v>
      </c>
      <c r="AC22" s="71" t="s">
        <v>97</v>
      </c>
      <c r="AD22" s="71">
        <f>AD10*AD14/1000000/60*454*1000000/(AD17*0.0283)*(21-7)/(21-AD18)</f>
        <v>43807.406054386316</v>
      </c>
      <c r="AE22" s="71" t="s">
        <v>97</v>
      </c>
      <c r="AF22" s="71">
        <f>AF10*AF14/1000000/60*454*1000000/(AF17*0.0283)*(21-7)/(21-AF18)</f>
        <v>42674.84643560694</v>
      </c>
      <c r="AG22" s="71" t="s">
        <v>97</v>
      </c>
      <c r="AH22" s="71">
        <f>AH10*AH14/1000000/60*454*1000000/(AH17*0.0283)*(21-7)/(21-AH18)</f>
        <v>42537.46014622795</v>
      </c>
      <c r="AI22" s="71"/>
      <c r="AJ22" s="71">
        <f>F22+L22+R22+X22+AD22/2</f>
        <v>10470074.242483258</v>
      </c>
      <c r="AK22" s="71"/>
      <c r="AL22" s="71">
        <f>H22+N22+T22+Z22+AF22/2</f>
        <v>10901922.155499471</v>
      </c>
      <c r="AM22" s="71"/>
      <c r="AN22" s="71">
        <f>J22+P22+V22+AB22+AH22/2</f>
        <v>9932764.964726448</v>
      </c>
      <c r="AO22" s="71"/>
      <c r="AP22" s="71">
        <f>AVERAGE(AJ22,AL22,AN22)</f>
        <v>10434920.454236394</v>
      </c>
      <c r="AR22" s="71">
        <f>AJ22</f>
        <v>10470074.242483258</v>
      </c>
      <c r="AT22" s="71">
        <f>AL22</f>
        <v>10901922.155499471</v>
      </c>
      <c r="AV22" s="71">
        <f>AN22</f>
        <v>9932764.964726448</v>
      </c>
      <c r="AX22" s="71">
        <f>AP22</f>
        <v>10434920.454236394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B1">
      <selection activeCell="B33" sqref="B33"/>
    </sheetView>
  </sheetViews>
  <sheetFormatPr defaultColWidth="9.140625" defaultRowHeight="12.75"/>
  <cols>
    <col min="1" max="1" width="3.8515625" style="0" hidden="1" customWidth="1"/>
    <col min="2" max="2" width="33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8" t="s">
        <v>65</v>
      </c>
      <c r="C1" s="13"/>
      <c r="D1" s="13"/>
      <c r="E1" s="13"/>
      <c r="F1" s="13"/>
    </row>
    <row r="2" spans="2:6" ht="12.75">
      <c r="B2" s="13"/>
      <c r="C2" s="13"/>
      <c r="D2" s="13"/>
      <c r="F2" s="13"/>
    </row>
    <row r="3" spans="1:6" ht="12.75">
      <c r="A3" t="s">
        <v>84</v>
      </c>
      <c r="B3" s="8" t="s">
        <v>187</v>
      </c>
      <c r="C3" s="13"/>
      <c r="D3" s="13"/>
      <c r="E3" s="48" t="s">
        <v>47</v>
      </c>
      <c r="F3" s="13"/>
    </row>
    <row r="4" spans="2:6" ht="12.75">
      <c r="B4" s="13"/>
      <c r="C4" s="13"/>
      <c r="D4" s="13"/>
      <c r="F4" s="13"/>
    </row>
    <row r="5" spans="2:5" ht="12.75">
      <c r="B5" t="s">
        <v>173</v>
      </c>
      <c r="C5" t="s">
        <v>174</v>
      </c>
      <c r="E5">
        <v>1580</v>
      </c>
    </row>
    <row r="6" spans="2:5" ht="12.75">
      <c r="B6" t="s">
        <v>186</v>
      </c>
      <c r="C6" t="s">
        <v>174</v>
      </c>
      <c r="E6">
        <v>2205</v>
      </c>
    </row>
    <row r="7" spans="2:5" ht="12.75">
      <c r="B7" t="s">
        <v>175</v>
      </c>
      <c r="C7" t="s">
        <v>176</v>
      </c>
      <c r="E7">
        <v>0.71</v>
      </c>
    </row>
    <row r="8" spans="2:5" ht="12.75">
      <c r="B8" t="s">
        <v>177</v>
      </c>
      <c r="C8" t="s">
        <v>178</v>
      </c>
      <c r="E8">
        <v>-0.71</v>
      </c>
    </row>
    <row r="9" spans="2:5" ht="12.75">
      <c r="B9" t="s">
        <v>179</v>
      </c>
      <c r="C9" t="s">
        <v>178</v>
      </c>
      <c r="E9">
        <v>8.55</v>
      </c>
    </row>
    <row r="10" spans="2:5" ht="12.75">
      <c r="B10" t="s">
        <v>180</v>
      </c>
      <c r="C10" t="s">
        <v>181</v>
      </c>
      <c r="E10">
        <v>122</v>
      </c>
    </row>
    <row r="11" spans="2:5" ht="12.75">
      <c r="B11" t="s">
        <v>182</v>
      </c>
      <c r="E11">
        <v>6.2</v>
      </c>
    </row>
    <row r="12" spans="2:5" ht="12.75">
      <c r="B12" t="s">
        <v>183</v>
      </c>
      <c r="C12" t="s">
        <v>139</v>
      </c>
      <c r="E12">
        <v>20936</v>
      </c>
    </row>
    <row r="13" spans="2:5" ht="12.75">
      <c r="B13" t="s">
        <v>184</v>
      </c>
      <c r="C13" t="s">
        <v>139</v>
      </c>
      <c r="E13">
        <v>18917</v>
      </c>
    </row>
    <row r="14" spans="2:5" ht="12.75">
      <c r="B14" t="s">
        <v>185</v>
      </c>
      <c r="C14" t="s">
        <v>181</v>
      </c>
      <c r="E14">
        <v>3.7</v>
      </c>
    </row>
    <row r="16" spans="1:6" ht="12.75">
      <c r="A16" t="s">
        <v>84</v>
      </c>
      <c r="B16" s="8" t="s">
        <v>188</v>
      </c>
      <c r="C16" s="13"/>
      <c r="D16" s="13"/>
      <c r="E16" s="13"/>
      <c r="F16" s="13"/>
    </row>
    <row r="17" spans="2:6" ht="12.75">
      <c r="B17" s="13"/>
      <c r="C17" s="13"/>
      <c r="D17" s="13"/>
      <c r="F17" s="13"/>
    </row>
    <row r="18" spans="2:5" ht="12.75">
      <c r="B18" t="s">
        <v>173</v>
      </c>
      <c r="C18" t="s">
        <v>174</v>
      </c>
      <c r="E18">
        <v>1590</v>
      </c>
    </row>
    <row r="19" spans="2:5" ht="12.75">
      <c r="B19" t="s">
        <v>186</v>
      </c>
      <c r="C19" t="s">
        <v>174</v>
      </c>
      <c r="E19">
        <v>2204</v>
      </c>
    </row>
    <row r="20" spans="2:5" ht="12.75">
      <c r="B20" t="s">
        <v>175</v>
      </c>
      <c r="C20" t="s">
        <v>176</v>
      </c>
      <c r="E20">
        <v>0.72</v>
      </c>
    </row>
    <row r="21" spans="2:5" ht="12.75">
      <c r="B21" t="s">
        <v>177</v>
      </c>
      <c r="C21" t="s">
        <v>178</v>
      </c>
      <c r="E21">
        <v>-0.8</v>
      </c>
    </row>
    <row r="22" spans="2:5" ht="12.75">
      <c r="B22" t="s">
        <v>179</v>
      </c>
      <c r="C22" t="s">
        <v>178</v>
      </c>
      <c r="E22">
        <v>8.59</v>
      </c>
    </row>
    <row r="23" spans="2:5" ht="12.75">
      <c r="B23" t="s">
        <v>180</v>
      </c>
      <c r="C23" t="s">
        <v>181</v>
      </c>
      <c r="E23">
        <v>186</v>
      </c>
    </row>
    <row r="24" spans="2:5" ht="12.75">
      <c r="B24" t="s">
        <v>182</v>
      </c>
      <c r="E24">
        <v>6.2</v>
      </c>
    </row>
    <row r="25" spans="2:5" ht="12.75">
      <c r="B25" t="s">
        <v>183</v>
      </c>
      <c r="C25" t="s">
        <v>139</v>
      </c>
      <c r="E25">
        <v>24390</v>
      </c>
    </row>
    <row r="26" spans="2:5" ht="12.75">
      <c r="B26" t="s">
        <v>184</v>
      </c>
      <c r="C26" t="s">
        <v>139</v>
      </c>
      <c r="E26">
        <v>21416</v>
      </c>
    </row>
    <row r="27" spans="2:5" ht="12.75">
      <c r="B27" t="s">
        <v>185</v>
      </c>
      <c r="C27" t="s">
        <v>181</v>
      </c>
      <c r="E27">
        <v>14.4</v>
      </c>
    </row>
    <row r="29" spans="1:6" ht="12.75">
      <c r="A29" t="s">
        <v>84</v>
      </c>
      <c r="B29" s="8" t="s">
        <v>189</v>
      </c>
      <c r="C29" s="13"/>
      <c r="D29" s="13"/>
      <c r="E29" s="13"/>
      <c r="F29" s="13"/>
    </row>
    <row r="30" spans="2:6" ht="12.75">
      <c r="B30" s="13"/>
      <c r="C30" s="13"/>
      <c r="D30" s="13"/>
      <c r="F30" s="13"/>
    </row>
    <row r="31" spans="2:5" ht="12.75">
      <c r="B31" t="s">
        <v>173</v>
      </c>
      <c r="C31" t="s">
        <v>174</v>
      </c>
      <c r="E31">
        <v>1921</v>
      </c>
    </row>
    <row r="32" spans="2:5" ht="12.75">
      <c r="B32" t="s">
        <v>186</v>
      </c>
      <c r="C32" t="s">
        <v>174</v>
      </c>
      <c r="E32">
        <v>2259</v>
      </c>
    </row>
    <row r="33" spans="2:5" ht="12.75">
      <c r="B33" t="s">
        <v>175</v>
      </c>
      <c r="C33" t="s">
        <v>176</v>
      </c>
      <c r="E33">
        <v>0.63</v>
      </c>
    </row>
    <row r="34" spans="2:5" ht="12.75">
      <c r="B34" t="s">
        <v>177</v>
      </c>
      <c r="C34" t="s">
        <v>178</v>
      </c>
      <c r="E34">
        <v>-0.81</v>
      </c>
    </row>
    <row r="35" spans="2:5" ht="12.75">
      <c r="B35" t="s">
        <v>179</v>
      </c>
      <c r="C35" t="s">
        <v>178</v>
      </c>
      <c r="E35">
        <v>8.57</v>
      </c>
    </row>
    <row r="36" spans="2:5" ht="12.75">
      <c r="B36" t="s">
        <v>180</v>
      </c>
      <c r="C36" t="s">
        <v>181</v>
      </c>
      <c r="E36">
        <v>159</v>
      </c>
    </row>
    <row r="37" spans="2:5" ht="12.75">
      <c r="B37" t="s">
        <v>182</v>
      </c>
      <c r="E37">
        <v>7.1</v>
      </c>
    </row>
    <row r="38" spans="2:5" ht="12.75">
      <c r="B38" t="s">
        <v>183</v>
      </c>
      <c r="C38" t="s">
        <v>139</v>
      </c>
      <c r="E38">
        <v>24628</v>
      </c>
    </row>
    <row r="39" spans="2:5" ht="12.75">
      <c r="B39" t="s">
        <v>184</v>
      </c>
      <c r="C39" t="s">
        <v>139</v>
      </c>
      <c r="E39">
        <v>22417</v>
      </c>
    </row>
    <row r="40" spans="2:5" ht="12.75">
      <c r="B40" t="s">
        <v>185</v>
      </c>
      <c r="C40" t="s">
        <v>181</v>
      </c>
      <c r="E40">
        <v>13.7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C1">
      <selection activeCell="B33" sqref="B33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7.140625" style="0" customWidth="1"/>
  </cols>
  <sheetData>
    <row r="1" ht="12.75">
      <c r="C1" s="8" t="s">
        <v>233</v>
      </c>
    </row>
    <row r="3" ht="12.75">
      <c r="C3" s="8" t="s">
        <v>196</v>
      </c>
    </row>
    <row r="5" spans="1:23" s="77" customFormat="1" ht="12.75">
      <c r="A5" s="77" t="s">
        <v>223</v>
      </c>
      <c r="B5" s="77" t="s">
        <v>224</v>
      </c>
      <c r="C5" s="77" t="s">
        <v>230</v>
      </c>
      <c r="D5" s="77" t="s">
        <v>225</v>
      </c>
      <c r="E5" s="78">
        <v>8.7</v>
      </c>
      <c r="F5" s="78">
        <v>8.5</v>
      </c>
      <c r="G5" s="78">
        <v>8.5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31" s="77" customFormat="1" ht="12.75">
      <c r="A6" s="77" t="s">
        <v>196</v>
      </c>
      <c r="B6" s="77" t="s">
        <v>226</v>
      </c>
      <c r="C6" s="77" t="s">
        <v>228</v>
      </c>
      <c r="D6" s="77" t="s">
        <v>174</v>
      </c>
      <c r="E6" s="78">
        <v>1571</v>
      </c>
      <c r="F6" s="78">
        <v>1575</v>
      </c>
      <c r="G6" s="78">
        <v>1571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</row>
    <row r="7" spans="1:31" s="77" customFormat="1" ht="12.75">
      <c r="A7" s="77" t="s">
        <v>196</v>
      </c>
      <c r="B7" s="77" t="s">
        <v>224</v>
      </c>
      <c r="C7" s="77" t="s">
        <v>229</v>
      </c>
      <c r="D7" s="77" t="s">
        <v>174</v>
      </c>
      <c r="E7" s="78">
        <v>1876</v>
      </c>
      <c r="F7" s="78">
        <v>1880</v>
      </c>
      <c r="G7" s="78">
        <v>1878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</row>
    <row r="8" spans="1:22" s="77" customFormat="1" ht="12.75">
      <c r="A8" s="77" t="s">
        <v>196</v>
      </c>
      <c r="B8" s="77" t="s">
        <v>226</v>
      </c>
      <c r="C8" s="77" t="s">
        <v>231</v>
      </c>
      <c r="D8" s="77" t="s">
        <v>174</v>
      </c>
      <c r="E8" s="78">
        <v>183</v>
      </c>
      <c r="F8" s="78">
        <v>180</v>
      </c>
      <c r="G8" s="78">
        <v>179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2" s="77" customFormat="1" ht="12.75">
      <c r="A9" s="77" t="s">
        <v>196</v>
      </c>
      <c r="B9" s="77" t="s">
        <v>227</v>
      </c>
      <c r="C9" s="77" t="s">
        <v>232</v>
      </c>
      <c r="E9" s="78">
        <v>6.1</v>
      </c>
      <c r="F9" s="78">
        <v>6</v>
      </c>
      <c r="G9" s="78">
        <v>6.2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2004-02-25T17:30:55Z</cp:lastPrinted>
  <dcterms:created xsi:type="dcterms:W3CDTF">2000-01-10T00:44:42Z</dcterms:created>
  <dcterms:modified xsi:type="dcterms:W3CDTF">2004-02-25T17:33:42Z</dcterms:modified>
  <cp:category/>
  <cp:version/>
  <cp:contentType/>
  <cp:contentStatus/>
</cp:coreProperties>
</file>