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1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  <sheet name="process 2" sheetId="6" r:id="rId6"/>
    <sheet name="df c2" sheetId="7" r:id="rId7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<sst xmlns="http://schemas.openxmlformats.org/spreadsheetml/2006/main" count="1435" uniqueCount="180">
  <si>
    <t>354C1</t>
  </si>
  <si>
    <t>R1</t>
  </si>
  <si>
    <t>Antimony</t>
  </si>
  <si>
    <t>Arsenic</t>
  </si>
  <si>
    <t>Barium</t>
  </si>
  <si>
    <t>Cadmium</t>
  </si>
  <si>
    <t>Chlorine</t>
  </si>
  <si>
    <t>Chromium</t>
  </si>
  <si>
    <t>Lead</t>
  </si>
  <si>
    <t>Mercury</t>
  </si>
  <si>
    <t>Silver</t>
  </si>
  <si>
    <t>Ash</t>
  </si>
  <si>
    <t>R2</t>
  </si>
  <si>
    <t>R3</t>
  </si>
  <si>
    <t>R4</t>
  </si>
  <si>
    <t>354C2</t>
  </si>
  <si>
    <t>354C3</t>
  </si>
  <si>
    <t>354C4</t>
  </si>
  <si>
    <t>R5</t>
  </si>
  <si>
    <t>354C5</t>
  </si>
  <si>
    <t>cond</t>
  </si>
  <si>
    <t>PM</t>
  </si>
  <si>
    <t>y</t>
  </si>
  <si>
    <t/>
  </si>
  <si>
    <t>HCl</t>
  </si>
  <si>
    <t>Cl2</t>
  </si>
  <si>
    <t>nd</t>
  </si>
  <si>
    <t>gr/dscf</t>
  </si>
  <si>
    <t>ppmv</t>
  </si>
  <si>
    <t>ug/dscm</t>
  </si>
  <si>
    <t>Oxygen</t>
  </si>
  <si>
    <t>Metals</t>
  </si>
  <si>
    <t>Sampling Train</t>
  </si>
  <si>
    <t>PM/HCl</t>
  </si>
  <si>
    <t>Cond Avg</t>
  </si>
  <si>
    <t>SVM</t>
  </si>
  <si>
    <t>LVM</t>
  </si>
  <si>
    <t>Burner 1 Diesel POHC</t>
  </si>
  <si>
    <t>Burner 4 Diesel POHC</t>
  </si>
  <si>
    <t>Burner 2 Diesel POHC</t>
  </si>
  <si>
    <t>All chamber waste</t>
  </si>
  <si>
    <t>lb/hr</t>
  </si>
  <si>
    <t>Btu/lb</t>
  </si>
  <si>
    <t>Total</t>
  </si>
  <si>
    <t>Feedrate MTEC Calculations</t>
  </si>
  <si>
    <t>mg/dscm</t>
  </si>
  <si>
    <t>Run 1</t>
  </si>
  <si>
    <t>Run 2</t>
  </si>
  <si>
    <t>Run 3</t>
  </si>
  <si>
    <t>Run 4</t>
  </si>
  <si>
    <t>I-TEF</t>
  </si>
  <si>
    <t>TEQ</t>
  </si>
  <si>
    <t>Wt Fact</t>
  </si>
  <si>
    <t>Full ND</t>
  </si>
  <si>
    <t>1/2 ND</t>
  </si>
  <si>
    <t>4D 2378</t>
  </si>
  <si>
    <t>5D 12378</t>
  </si>
  <si>
    <t>6D 123789</t>
  </si>
  <si>
    <t>7D 1234678</t>
  </si>
  <si>
    <t>8D</t>
  </si>
  <si>
    <t>4F 2378</t>
  </si>
  <si>
    <t>5F 12378</t>
  </si>
  <si>
    <t>5F 23478</t>
  </si>
  <si>
    <t>6F 123789</t>
  </si>
  <si>
    <t>6F 234678</t>
  </si>
  <si>
    <t>7F 1234678</t>
  </si>
  <si>
    <t>7F 1234789</t>
  </si>
  <si>
    <t>8F</t>
  </si>
  <si>
    <t>Total PCDD/PCDF</t>
  </si>
  <si>
    <t>Cond Descr</t>
  </si>
  <si>
    <t>Carbon Tetrachloride</t>
  </si>
  <si>
    <t>%</t>
  </si>
  <si>
    <t>Monochlorobenzene</t>
  </si>
  <si>
    <t>354</t>
  </si>
  <si>
    <t>MID000724724</t>
  </si>
  <si>
    <t>DOW CHEMICAL CO.</t>
  </si>
  <si>
    <t>MIDLAND</t>
  </si>
  <si>
    <t>MI</t>
  </si>
  <si>
    <t>UNIT 830</t>
  </si>
  <si>
    <t>QC/AS/VS/DM/IWS</t>
  </si>
  <si>
    <t>DIESEL OIL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</si>
  <si>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</si>
  <si>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</si>
  <si>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</si>
  <si>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</si>
  <si>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</si>
  <si>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</si>
  <si>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</si>
  <si>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</si>
  <si>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</si>
  <si>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</si>
  <si>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</si>
  <si>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</si>
  <si>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</si>
  <si>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</si>
  <si>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</si>
  <si>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</si>
  <si>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</si>
  <si>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</si>
  <si>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</si>
  <si>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</si>
  <si>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</si>
  <si>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</si>
  <si>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</si>
  <si>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Combustor Class</t>
  </si>
  <si>
    <t>Combustor Type</t>
  </si>
  <si>
    <t>Rotary kiln</t>
  </si>
  <si>
    <t>Rotary kiln, afterburner.  Kiln has 14' diameter, 60' long</t>
  </si>
  <si>
    <t>Report Name/Date</t>
  </si>
  <si>
    <t>Report Prepare</t>
  </si>
  <si>
    <t>Testing Firm</t>
  </si>
  <si>
    <t>830 Incinerator Trial Burn Report, ID # MID 000 724, Summary of Results and Program Description, Dow Chemical Company, March 1992</t>
  </si>
  <si>
    <t>Condition Description</t>
  </si>
  <si>
    <t>Stack Gas Emissions 2</t>
  </si>
  <si>
    <t>Feedstream 2</t>
  </si>
  <si>
    <t>ng/dscm</t>
  </si>
  <si>
    <t>Trial burn, LOW KILN TEMP, HIGH CL AND SOLIDS FEED</t>
  </si>
  <si>
    <t>Trial burn, LOW KILN TEMP,MAX ASH&amp;CONTAINER BTU FEED</t>
  </si>
  <si>
    <t>Trial burn, NORMAL KILN TEMP, MAX CHLOROSILANES FEED</t>
  </si>
  <si>
    <t>Trial burn, METALS RE-TEST; HIGH CHLORINE</t>
  </si>
  <si>
    <t>35410</t>
  </si>
  <si>
    <t>F</t>
  </si>
  <si>
    <t>35411</t>
  </si>
  <si>
    <t>35412</t>
  </si>
  <si>
    <t>in H2O</t>
  </si>
  <si>
    <t>Kiln Temperature</t>
  </si>
  <si>
    <t>Afterburner Temperature</t>
  </si>
  <si>
    <t>WS Pressure Drop</t>
  </si>
  <si>
    <t>Process Information 2</t>
  </si>
  <si>
    <t>Quench, Acid Scrubber, Venturi Scrubber, Demister, Ionizing Wet Scrubber (Ceilcote, 2 stages)</t>
  </si>
  <si>
    <t>Closing down Kiln Unit 703 (EPA ID No. 353), consolidating with ID 354.</t>
  </si>
  <si>
    <t>Total Chlorine</t>
  </si>
  <si>
    <t>E1</t>
  </si>
  <si>
    <t xml:space="preserve">   Stack Gas Flowrate</t>
  </si>
  <si>
    <t>dscfm</t>
  </si>
  <si>
    <t xml:space="preserve">   O2</t>
  </si>
  <si>
    <t xml:space="preserve">   Moisture</t>
  </si>
  <si>
    <t xml:space="preserve">   Temperature</t>
  </si>
  <si>
    <t>°F</t>
  </si>
  <si>
    <t>CO (RA)</t>
  </si>
  <si>
    <t>Testing Dates</t>
  </si>
  <si>
    <t>Cond Dates</t>
  </si>
  <si>
    <t>December 4-5, 1991</t>
  </si>
  <si>
    <t>December 12-13, 1991</t>
  </si>
  <si>
    <t>December 9-10, 1991</t>
  </si>
  <si>
    <t>December 17-18, 1991</t>
  </si>
  <si>
    <t>August 4-5, 1992</t>
  </si>
  <si>
    <t>Number of Sister Facilities</t>
  </si>
  <si>
    <t>APCS Detailed Acronym</t>
  </si>
  <si>
    <t>APCS General Class</t>
  </si>
  <si>
    <t>WQ, LEWS, HEWS, IWS</t>
  </si>
  <si>
    <t>Liq, sludge, solid</t>
  </si>
  <si>
    <t>Oil</t>
  </si>
  <si>
    <t>source</t>
  </si>
  <si>
    <t>emiss 2</t>
  </si>
  <si>
    <t>feed 2</t>
  </si>
  <si>
    <t>process 2</t>
  </si>
  <si>
    <t>df c2</t>
  </si>
  <si>
    <t>Onsite incinerator</t>
  </si>
  <si>
    <t>Feedstream Description</t>
  </si>
  <si>
    <t>Feedstream Number</t>
  </si>
  <si>
    <t>Feed Class</t>
  </si>
  <si>
    <t>F1</t>
  </si>
  <si>
    <t>Liq HW</t>
  </si>
  <si>
    <t>F2</t>
  </si>
  <si>
    <t>F3</t>
  </si>
  <si>
    <t>F4</t>
  </si>
  <si>
    <t>Solid HW?</t>
  </si>
  <si>
    <t>Solid HW</t>
  </si>
  <si>
    <t>F5</t>
  </si>
  <si>
    <t>Feed Class 2</t>
  </si>
  <si>
    <t>HW</t>
  </si>
  <si>
    <t>Stack Gas Flowrate</t>
  </si>
  <si>
    <t>Feed Rate</t>
  </si>
  <si>
    <t>Heating Value</t>
  </si>
  <si>
    <t>Trial burn, NORMAL KILN TEMP, HIGH CL AND METAL FEED, metals results considered invalid shice lab failed to analyze the EPA audit sample</t>
  </si>
  <si>
    <t>metals results not considered valid since lab failed to analyze the EPA audit sample</t>
  </si>
  <si>
    <t>6D 123478</t>
  </si>
  <si>
    <t>6F 123478</t>
  </si>
  <si>
    <t>Note: 6D 123478 and 6F 123478 also includes 123678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</si>
</sst>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mm/dd/yy"/>
    <numFmt numFmtId="169" formatCode="0.0000000"/>
    <numFmt numFmtId="170" formatCode="0.00000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165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153</v>
      </c>
    </row>
    <row r="2" ht="12.75">
      <c r="A2" t="s">
        <v>20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6" ht="12.75">
      <c r="A6" t="s">
        <v>157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tabSelected="1" workbookViewId="0" topLeftCell="B1">
      <selection activeCell="C1" sqref="C1"/>
    </sheetView>
  </sheetViews>
  <sheetFormatPr defaultColWidth="9.140625" defaultRowHeight="12.75"/>
  <cols>
    <col min="1" max="1" width="1.1484375" style="0" hidden="1" customWidth="1"/>
    <col min="2" max="2" width="26.28125" style="0" customWidth="1"/>
    <col min="3" max="3" width="60.421875" style="0" customWidth="1"/>
  </cols>
  <sheetData>
    <row r="1" ht="12.75">
      <c r="B1" s="6" t="s">
        <v>103</v>
      </c>
    </row>
    <row r="3" spans="2:3" ht="12.75">
      <c r="B3" t="s">
        <v>81</v>
      </c>
      <c r="C3" t="s">
        <v>73</v>
      </c>
    </row>
    <row r="4" spans="2:3" ht="12.75">
      <c r="B4" t="s">
        <v>82</v>
      </c>
      <c r="C4" t="s">
        <v>74</v>
      </c>
    </row>
    <row r="5" spans="2:3" ht="12.75">
      <c r="B5" t="s">
        <v>83</v>
      </c>
      <c r="C5" t="s">
        <v>75</v>
      </c>
    </row>
    <row r="6" ht="12.75">
      <c r="B6" t="s">
        <v>84</v>
      </c>
    </row>
    <row r="7" spans="2:3" ht="12.75">
      <c r="B7" t="s">
        <v>85</v>
      </c>
      <c r="C7" t="s">
        <v>76</v>
      </c>
    </row>
    <row r="8" spans="2:3" ht="12.75">
      <c r="B8" t="s">
        <v>86</v>
      </c>
      <c r="C8" t="s">
        <v>77</v>
      </c>
    </row>
    <row r="9" spans="2:3" ht="12.75">
      <c r="B9" t="s">
        <v>87</v>
      </c>
      <c r="C9" t="s">
        <v>78</v>
      </c>
    </row>
    <row r="10" ht="12.75">
      <c r="B10" t="s">
        <v>88</v>
      </c>
    </row>
    <row r="11" spans="2:3" ht="12.75">
      <c r="B11" s="22" t="s">
        <v>147</v>
      </c>
      <c r="C11" s="30">
        <v>0</v>
      </c>
    </row>
    <row r="12" spans="2:3" ht="12.75">
      <c r="B12" t="s">
        <v>104</v>
      </c>
      <c r="C12" t="s">
        <v>158</v>
      </c>
    </row>
    <row r="13" spans="2:3" ht="12.75">
      <c r="B13" t="s">
        <v>105</v>
      </c>
      <c r="C13" t="s">
        <v>106</v>
      </c>
    </row>
    <row r="14" spans="2:3" ht="12.75">
      <c r="B14" t="s">
        <v>89</v>
      </c>
      <c r="C14" t="s">
        <v>107</v>
      </c>
    </row>
    <row r="15" ht="12.75">
      <c r="B15" t="s">
        <v>90</v>
      </c>
    </row>
    <row r="16" ht="12.75">
      <c r="B16" t="s">
        <v>91</v>
      </c>
    </row>
    <row r="17" spans="2:3" ht="12.75">
      <c r="B17" s="22" t="s">
        <v>148</v>
      </c>
      <c r="C17" t="s">
        <v>79</v>
      </c>
    </row>
    <row r="18" spans="2:3" ht="12.75">
      <c r="B18" s="22" t="s">
        <v>149</v>
      </c>
      <c r="C18" t="s">
        <v>150</v>
      </c>
    </row>
    <row r="19" spans="2:3" ht="25.5">
      <c r="B19" s="21" t="s">
        <v>92</v>
      </c>
      <c r="C19" s="20" t="s">
        <v>129</v>
      </c>
    </row>
    <row r="20" spans="2:3" ht="12.75">
      <c r="B20" t="s">
        <v>93</v>
      </c>
      <c r="C20" t="s">
        <v>151</v>
      </c>
    </row>
    <row r="21" ht="12.75">
      <c r="B21" t="s">
        <v>94</v>
      </c>
    </row>
    <row r="22" spans="2:3" ht="12.75">
      <c r="B22" t="s">
        <v>95</v>
      </c>
      <c r="C22" t="s">
        <v>152</v>
      </c>
    </row>
    <row r="23" ht="12.75">
      <c r="C23" t="s">
        <v>80</v>
      </c>
    </row>
    <row r="25" ht="12.75">
      <c r="B25" t="s">
        <v>96</v>
      </c>
    </row>
    <row r="26" spans="2:3" ht="12.75">
      <c r="B26" t="s">
        <v>97</v>
      </c>
      <c r="C26" s="26">
        <v>2.9998536071423882</v>
      </c>
    </row>
    <row r="27" spans="2:3" ht="12.75">
      <c r="B27" t="s">
        <v>98</v>
      </c>
      <c r="C27" s="26">
        <v>199.99024047637795</v>
      </c>
    </row>
    <row r="28" spans="2:3" ht="12.75">
      <c r="B28" t="s">
        <v>99</v>
      </c>
      <c r="C28" s="26">
        <v>25.315987889008763</v>
      </c>
    </row>
    <row r="29" spans="2:3" ht="12.75">
      <c r="B29" t="s">
        <v>100</v>
      </c>
      <c r="C29" s="26">
        <v>140</v>
      </c>
    </row>
    <row r="31" ht="12.75">
      <c r="B31" t="s">
        <v>101</v>
      </c>
    </row>
    <row r="32" spans="2:3" ht="16.5" customHeight="1">
      <c r="B32" s="21" t="s">
        <v>102</v>
      </c>
      <c r="C32" s="20" t="s">
        <v>130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B1">
      <selection activeCell="C9" sqref="C9"/>
    </sheetView>
  </sheetViews>
  <sheetFormatPr defaultColWidth="9.140625" defaultRowHeight="12.75"/>
  <cols>
    <col min="1" max="1" width="1.28515625" style="0" hidden="1" customWidth="1"/>
    <col min="2" max="2" width="20.421875" style="0" customWidth="1"/>
    <col min="3" max="3" width="63.28125" style="19" customWidth="1"/>
  </cols>
  <sheetData>
    <row r="1" ht="12.75">
      <c r="B1" s="6" t="s">
        <v>112</v>
      </c>
    </row>
    <row r="3" ht="12.75">
      <c r="B3" s="6" t="s">
        <v>0</v>
      </c>
    </row>
    <row r="4" ht="12.75">
      <c r="B4" s="6"/>
    </row>
    <row r="5" spans="2:3" s="21" customFormat="1" ht="25.5">
      <c r="B5" s="23" t="s">
        <v>108</v>
      </c>
      <c r="C5" s="24" t="s">
        <v>111</v>
      </c>
    </row>
    <row r="6" spans="2:3" ht="12.75">
      <c r="B6" s="22" t="s">
        <v>109</v>
      </c>
      <c r="C6" s="22"/>
    </row>
    <row r="7" spans="2:3" ht="12.75">
      <c r="B7" s="22" t="s">
        <v>110</v>
      </c>
      <c r="C7" s="22"/>
    </row>
    <row r="8" spans="1:3" ht="38.25">
      <c r="A8" t="s">
        <v>0</v>
      </c>
      <c r="B8" s="20" t="s">
        <v>69</v>
      </c>
      <c r="C8" s="33" t="s">
        <v>175</v>
      </c>
    </row>
    <row r="9" spans="1:3" ht="12.75">
      <c r="A9" t="s">
        <v>0</v>
      </c>
      <c r="B9" t="s">
        <v>140</v>
      </c>
      <c r="C9" s="19" t="s">
        <v>142</v>
      </c>
    </row>
    <row r="10" spans="2:3" ht="12.75">
      <c r="B10" t="s">
        <v>141</v>
      </c>
      <c r="C10" s="29">
        <v>33573</v>
      </c>
    </row>
    <row r="12" ht="12.75">
      <c r="B12" s="6" t="s">
        <v>15</v>
      </c>
    </row>
    <row r="13" ht="12.75">
      <c r="B13" s="6"/>
    </row>
    <row r="14" spans="2:3" s="21" customFormat="1" ht="25.5">
      <c r="B14" s="23" t="s">
        <v>108</v>
      </c>
      <c r="C14" s="24" t="s">
        <v>111</v>
      </c>
    </row>
    <row r="15" spans="2:3" ht="12.75">
      <c r="B15" s="22" t="s">
        <v>109</v>
      </c>
      <c r="C15" s="22"/>
    </row>
    <row r="16" spans="2:3" ht="12.75">
      <c r="B16" s="22" t="s">
        <v>110</v>
      </c>
      <c r="C16" s="22"/>
    </row>
    <row r="17" spans="1:3" ht="12.75">
      <c r="A17" t="s">
        <v>15</v>
      </c>
      <c r="B17" t="s">
        <v>69</v>
      </c>
      <c r="C17" s="19" t="s">
        <v>116</v>
      </c>
    </row>
    <row r="18" spans="1:3" ht="12.75">
      <c r="A18" t="s">
        <v>15</v>
      </c>
      <c r="B18" t="s">
        <v>140</v>
      </c>
      <c r="C18" s="19" t="s">
        <v>143</v>
      </c>
    </row>
    <row r="19" spans="2:3" ht="12.75">
      <c r="B19" t="s">
        <v>141</v>
      </c>
      <c r="C19" s="29">
        <v>33573</v>
      </c>
    </row>
    <row r="21" ht="12.75">
      <c r="B21" s="6" t="s">
        <v>16</v>
      </c>
    </row>
    <row r="22" ht="12.75">
      <c r="B22" s="6"/>
    </row>
    <row r="23" spans="2:3" s="21" customFormat="1" ht="25.5">
      <c r="B23" s="23" t="s">
        <v>108</v>
      </c>
      <c r="C23" s="24" t="s">
        <v>111</v>
      </c>
    </row>
    <row r="24" spans="2:3" ht="12.75">
      <c r="B24" s="22" t="s">
        <v>109</v>
      </c>
      <c r="C24" s="22"/>
    </row>
    <row r="25" spans="2:3" ht="12.75">
      <c r="B25" s="22" t="s">
        <v>110</v>
      </c>
      <c r="C25" s="22"/>
    </row>
    <row r="26" spans="1:3" ht="12.75">
      <c r="A26" t="s">
        <v>16</v>
      </c>
      <c r="B26" t="s">
        <v>69</v>
      </c>
      <c r="C26" s="19" t="s">
        <v>117</v>
      </c>
    </row>
    <row r="27" spans="1:3" ht="12.75">
      <c r="A27" t="s">
        <v>16</v>
      </c>
      <c r="B27" t="s">
        <v>140</v>
      </c>
      <c r="C27" s="19" t="s">
        <v>144</v>
      </c>
    </row>
    <row r="28" spans="2:3" ht="12.75">
      <c r="B28" t="s">
        <v>141</v>
      </c>
      <c r="C28" s="29">
        <v>33573</v>
      </c>
    </row>
    <row r="30" ht="12.75">
      <c r="B30" s="6" t="s">
        <v>17</v>
      </c>
    </row>
    <row r="31" ht="12.75">
      <c r="B31" s="6"/>
    </row>
    <row r="32" spans="2:3" s="21" customFormat="1" ht="25.5">
      <c r="B32" s="23" t="s">
        <v>108</v>
      </c>
      <c r="C32" s="24" t="s">
        <v>111</v>
      </c>
    </row>
    <row r="33" spans="2:3" ht="12.75">
      <c r="B33" s="22" t="s">
        <v>109</v>
      </c>
      <c r="C33" s="22"/>
    </row>
    <row r="34" spans="2:3" ht="12.75">
      <c r="B34" s="22" t="s">
        <v>110</v>
      </c>
      <c r="C34" s="22"/>
    </row>
    <row r="35" spans="1:3" ht="12.75">
      <c r="A35" t="s">
        <v>17</v>
      </c>
      <c r="B35" t="s">
        <v>69</v>
      </c>
      <c r="C35" s="19" t="s">
        <v>118</v>
      </c>
    </row>
    <row r="36" spans="1:3" ht="12.75">
      <c r="A36" t="s">
        <v>17</v>
      </c>
      <c r="B36" t="s">
        <v>140</v>
      </c>
      <c r="C36" s="19" t="s">
        <v>145</v>
      </c>
    </row>
    <row r="37" spans="1:3" ht="12.75">
      <c r="A37" t="s">
        <v>17</v>
      </c>
      <c r="B37" t="s">
        <v>141</v>
      </c>
      <c r="C37" s="29">
        <v>33573</v>
      </c>
    </row>
    <row r="39" ht="12.75">
      <c r="B39" s="6" t="s">
        <v>19</v>
      </c>
    </row>
    <row r="40" ht="12.75">
      <c r="B40" s="6"/>
    </row>
    <row r="41" spans="2:3" s="21" customFormat="1" ht="25.5">
      <c r="B41" s="23" t="s">
        <v>108</v>
      </c>
      <c r="C41" s="24" t="s">
        <v>111</v>
      </c>
    </row>
    <row r="42" spans="2:3" ht="12.75">
      <c r="B42" s="22" t="s">
        <v>109</v>
      </c>
      <c r="C42" s="22"/>
    </row>
    <row r="43" spans="2:3" ht="12.75">
      <c r="B43" s="22" t="s">
        <v>110</v>
      </c>
      <c r="C43" s="22"/>
    </row>
    <row r="44" spans="1:3" ht="12.75">
      <c r="A44" t="s">
        <v>19</v>
      </c>
      <c r="B44" t="s">
        <v>69</v>
      </c>
      <c r="C44" s="19" t="s">
        <v>119</v>
      </c>
    </row>
    <row r="45" spans="1:3" ht="12.75">
      <c r="A45" t="s">
        <v>19</v>
      </c>
      <c r="B45" t="s">
        <v>140</v>
      </c>
      <c r="C45" s="19" t="s">
        <v>146</v>
      </c>
    </row>
    <row r="46" spans="2:3" ht="12.75">
      <c r="B46" t="s">
        <v>141</v>
      </c>
      <c r="C46" s="29">
        <v>33817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95"/>
  <sheetViews>
    <sheetView workbookViewId="0" topLeftCell="B1">
      <selection activeCell="C9" sqref="C9"/>
    </sheetView>
  </sheetViews>
  <sheetFormatPr defaultColWidth="9.140625" defaultRowHeight="12.75"/>
  <cols>
    <col min="1" max="1" width="1.421875" style="0" hidden="1" customWidth="1"/>
    <col min="2" max="2" width="17.7109375" style="0" customWidth="1"/>
    <col min="3" max="3" width="9.140625" style="0" customWidth="1"/>
    <col min="5" max="5" width="3.00390625" style="0" customWidth="1"/>
    <col min="6" max="6" width="3.00390625" style="0" bestFit="1" customWidth="1"/>
    <col min="7" max="7" width="9.00390625" style="0" bestFit="1" customWidth="1"/>
    <col min="8" max="8" width="3.00390625" style="0" bestFit="1" customWidth="1"/>
    <col min="9" max="9" width="9.00390625" style="0" bestFit="1" customWidth="1"/>
    <col min="10" max="10" width="2.8515625" style="0" customWidth="1"/>
    <col min="11" max="11" width="9.00390625" style="0" bestFit="1" customWidth="1"/>
    <col min="12" max="12" width="3.00390625" style="0" bestFit="1" customWidth="1"/>
    <col min="13" max="13" width="9.00390625" style="0" bestFit="1" customWidth="1"/>
    <col min="14" max="14" width="2.57421875" style="0" customWidth="1"/>
    <col min="15" max="15" width="7.57421875" style="0" bestFit="1" customWidth="1"/>
    <col min="16" max="16" width="2.421875" style="0" customWidth="1"/>
    <col min="17" max="17" width="8.8515625" style="0" customWidth="1"/>
    <col min="18" max="18" width="9.140625" style="0" hidden="1" customWidth="1"/>
    <col min="19" max="24" width="0" style="0" hidden="1" customWidth="1"/>
  </cols>
  <sheetData>
    <row r="1" ht="12.75">
      <c r="B1" s="6" t="s">
        <v>113</v>
      </c>
    </row>
    <row r="2" ht="12.75">
      <c r="B2" s="6"/>
    </row>
    <row r="3" ht="12.75">
      <c r="B3" s="6"/>
    </row>
    <row r="4" spans="2:17" ht="12.75">
      <c r="B4" s="6" t="s">
        <v>0</v>
      </c>
      <c r="G4" s="25" t="s">
        <v>1</v>
      </c>
      <c r="H4" s="25"/>
      <c r="I4" s="25" t="s">
        <v>12</v>
      </c>
      <c r="J4" s="25"/>
      <c r="K4" s="25" t="s">
        <v>13</v>
      </c>
      <c r="L4" s="25"/>
      <c r="M4" s="25" t="s">
        <v>14</v>
      </c>
      <c r="N4" s="25"/>
      <c r="O4" s="25" t="s">
        <v>18</v>
      </c>
      <c r="P4" s="25"/>
      <c r="Q4" s="25" t="s">
        <v>34</v>
      </c>
    </row>
    <row r="6" spans="1:24" s="1" customFormat="1" ht="12.75">
      <c r="A6" s="1" t="s">
        <v>0</v>
      </c>
      <c r="B6" s="1" t="s">
        <v>21</v>
      </c>
      <c r="C6" s="1" t="s">
        <v>132</v>
      </c>
      <c r="D6" s="1" t="s">
        <v>27</v>
      </c>
      <c r="E6" s="1" t="s">
        <v>22</v>
      </c>
      <c r="F6" s="2" t="s">
        <v>23</v>
      </c>
      <c r="G6" s="3">
        <v>0.000200001984</v>
      </c>
      <c r="H6" s="3" t="s">
        <v>23</v>
      </c>
      <c r="I6" s="3">
        <v>0.001200011904</v>
      </c>
      <c r="J6" s="3" t="s">
        <v>23</v>
      </c>
      <c r="K6" s="3">
        <v>0.000100000992</v>
      </c>
      <c r="L6" s="3" t="s">
        <v>23</v>
      </c>
      <c r="M6" s="3"/>
      <c r="N6" s="3" t="s">
        <v>23</v>
      </c>
      <c r="O6" s="3"/>
      <c r="P6" s="3" t="s">
        <v>23</v>
      </c>
      <c r="Q6" s="3">
        <f>AVERAGE(G6,I6,K6)</f>
        <v>0.00050000496</v>
      </c>
      <c r="R6" s="3" t="s">
        <v>23</v>
      </c>
      <c r="S6" s="3"/>
      <c r="T6" s="3" t="s">
        <v>23</v>
      </c>
      <c r="U6" s="3"/>
      <c r="V6" s="2" t="s">
        <v>23</v>
      </c>
      <c r="W6" s="2"/>
      <c r="X6" s="1">
        <v>0.00050000496</v>
      </c>
    </row>
    <row r="7" spans="1:24" s="1" customFormat="1" ht="12.75">
      <c r="A7" s="1" t="s">
        <v>0</v>
      </c>
      <c r="B7" s="1" t="s">
        <v>139</v>
      </c>
      <c r="C7" s="1" t="s">
        <v>132</v>
      </c>
      <c r="D7" s="1" t="s">
        <v>28</v>
      </c>
      <c r="E7" s="1" t="s">
        <v>22</v>
      </c>
      <c r="F7" s="2" t="s">
        <v>23</v>
      </c>
      <c r="G7" s="4">
        <v>3.0434782608695654</v>
      </c>
      <c r="H7" s="4" t="s">
        <v>23</v>
      </c>
      <c r="I7" s="4">
        <v>2.9473684210526314</v>
      </c>
      <c r="J7" s="4" t="s">
        <v>23</v>
      </c>
      <c r="K7" s="4">
        <v>3.1460674157303368</v>
      </c>
      <c r="L7" s="2" t="s">
        <v>23</v>
      </c>
      <c r="M7" s="4">
        <v>3.010752688172043</v>
      </c>
      <c r="N7" s="2" t="s">
        <v>23</v>
      </c>
      <c r="O7" s="2"/>
      <c r="P7" s="2" t="s">
        <v>23</v>
      </c>
      <c r="Q7" s="4">
        <f>AVERAGE(G7,I7,K7,M7)</f>
        <v>3.036916696456144</v>
      </c>
      <c r="R7" s="2" t="s">
        <v>23</v>
      </c>
      <c r="S7" s="2"/>
      <c r="T7" s="2" t="s">
        <v>23</v>
      </c>
      <c r="U7" s="2"/>
      <c r="V7" s="2" t="s">
        <v>23</v>
      </c>
      <c r="W7" s="2"/>
      <c r="X7" s="1">
        <v>3.036916696456144</v>
      </c>
    </row>
    <row r="8" spans="1:24" s="1" customFormat="1" ht="12.75">
      <c r="A8" s="1" t="s">
        <v>0</v>
      </c>
      <c r="B8" s="1" t="s">
        <v>24</v>
      </c>
      <c r="C8" s="1" t="s">
        <v>132</v>
      </c>
      <c r="D8" s="1" t="s">
        <v>28</v>
      </c>
      <c r="E8" s="1" t="s">
        <v>22</v>
      </c>
      <c r="F8" s="2" t="s">
        <v>23</v>
      </c>
      <c r="G8" s="4">
        <v>1.4889387170203112</v>
      </c>
      <c r="H8" s="4" t="s">
        <v>23</v>
      </c>
      <c r="I8" s="4">
        <v>1.667227533533119</v>
      </c>
      <c r="J8" s="4" t="s">
        <v>23</v>
      </c>
      <c r="K8" s="4">
        <v>0.6547685195702729</v>
      </c>
      <c r="L8" s="2" t="s">
        <v>23</v>
      </c>
      <c r="M8" s="4">
        <v>0.6858517572677674</v>
      </c>
      <c r="N8" s="2" t="s">
        <v>23</v>
      </c>
      <c r="O8" s="2"/>
      <c r="P8" s="2" t="s">
        <v>23</v>
      </c>
      <c r="Q8" s="4">
        <f>AVERAGE(G8,I8,K8,M8)</f>
        <v>1.1241966318478676</v>
      </c>
      <c r="R8" s="2" t="s">
        <v>23</v>
      </c>
      <c r="S8" s="2"/>
      <c r="T8" s="2" t="s">
        <v>23</v>
      </c>
      <c r="U8" s="2"/>
      <c r="V8" s="2" t="s">
        <v>23</v>
      </c>
      <c r="W8" s="2"/>
      <c r="X8" s="1">
        <v>1.1241966318478678</v>
      </c>
    </row>
    <row r="9" spans="1:24" s="1" customFormat="1" ht="12.75">
      <c r="A9" s="1" t="s">
        <v>0</v>
      </c>
      <c r="B9" s="1" t="s">
        <v>25</v>
      </c>
      <c r="C9" s="1" t="s">
        <v>132</v>
      </c>
      <c r="D9" s="1" t="s">
        <v>28</v>
      </c>
      <c r="E9" s="1" t="s">
        <v>22</v>
      </c>
      <c r="F9" s="2" t="s">
        <v>23</v>
      </c>
      <c r="G9" s="4">
        <v>1.8138308608749456</v>
      </c>
      <c r="H9" s="4" t="s">
        <v>23</v>
      </c>
      <c r="I9" s="4">
        <v>1.3102608377590872</v>
      </c>
      <c r="J9" s="4" t="s">
        <v>23</v>
      </c>
      <c r="K9" s="4">
        <v>5.3859097406683105</v>
      </c>
      <c r="L9" s="2" t="s">
        <v>23</v>
      </c>
      <c r="M9" s="4">
        <v>4.649904418687</v>
      </c>
      <c r="N9" s="2" t="s">
        <v>23</v>
      </c>
      <c r="O9" s="2"/>
      <c r="P9" s="2" t="s">
        <v>23</v>
      </c>
      <c r="Q9" s="4">
        <f>AVERAGE(G9,I9,K9,M9)</f>
        <v>3.289976464497336</v>
      </c>
      <c r="R9" s="2" t="s">
        <v>23</v>
      </c>
      <c r="S9" s="2"/>
      <c r="T9" s="2" t="s">
        <v>23</v>
      </c>
      <c r="U9" s="2"/>
      <c r="V9" s="2" t="s">
        <v>23</v>
      </c>
      <c r="W9" s="2"/>
      <c r="X9" s="1">
        <v>3.289976464497336</v>
      </c>
    </row>
    <row r="10" spans="2:23" s="1" customFormat="1" ht="12.75">
      <c r="B10" s="1" t="s">
        <v>131</v>
      </c>
      <c r="C10" s="1" t="s">
        <v>132</v>
      </c>
      <c r="D10" s="1" t="s">
        <v>28</v>
      </c>
      <c r="E10" s="1" t="s">
        <v>22</v>
      </c>
      <c r="F10" s="2"/>
      <c r="G10" s="4">
        <f>G8+2*G9</f>
        <v>5.116600438770202</v>
      </c>
      <c r="H10" s="4"/>
      <c r="I10" s="4">
        <f>I8+2*I9</f>
        <v>4.287749209051293</v>
      </c>
      <c r="J10" s="4"/>
      <c r="K10" s="4">
        <f>K8+2*K9</f>
        <v>11.426588000906895</v>
      </c>
      <c r="L10" s="2"/>
      <c r="M10" s="4">
        <f>M8+2*M9</f>
        <v>9.985660594641768</v>
      </c>
      <c r="N10" s="2"/>
      <c r="O10" s="2"/>
      <c r="P10" s="2"/>
      <c r="Q10" s="4">
        <f>AVERAGE(G10,I10,K10,M10)</f>
        <v>7.70414956084254</v>
      </c>
      <c r="R10" s="2"/>
      <c r="S10" s="2"/>
      <c r="T10" s="2"/>
      <c r="U10" s="2"/>
      <c r="V10" s="2"/>
      <c r="W10" s="2"/>
    </row>
    <row r="11" spans="1:24" s="1" customFormat="1" ht="12.75">
      <c r="A11" s="1" t="s">
        <v>0</v>
      </c>
      <c r="B11" s="1" t="s">
        <v>2</v>
      </c>
      <c r="C11" s="1" t="s">
        <v>132</v>
      </c>
      <c r="D11" s="1" t="s">
        <v>29</v>
      </c>
      <c r="E11" s="1" t="s">
        <v>22</v>
      </c>
      <c r="F11" s="2" t="s">
        <v>26</v>
      </c>
      <c r="G11" s="4">
        <v>4.793199984284966</v>
      </c>
      <c r="H11" s="4" t="s">
        <v>26</v>
      </c>
      <c r="I11" s="4">
        <v>4.7176208481203</v>
      </c>
      <c r="J11" s="4" t="s">
        <v>26</v>
      </c>
      <c r="K11" s="4">
        <v>4.7441010413812</v>
      </c>
      <c r="L11" s="2" t="s">
        <v>26</v>
      </c>
      <c r="M11" s="4">
        <v>4.503440348595213</v>
      </c>
      <c r="N11" s="2" t="s">
        <v>23</v>
      </c>
      <c r="O11" s="2"/>
      <c r="P11" s="2" t="s">
        <v>23</v>
      </c>
      <c r="Q11" s="4">
        <f aca="true" t="shared" si="0" ref="Q11:Q16">AVERAGE(G11,I11,K11,M11)</f>
        <v>4.689590555595419</v>
      </c>
      <c r="R11" s="2" t="s">
        <v>23</v>
      </c>
      <c r="S11" s="2"/>
      <c r="T11" s="2" t="s">
        <v>23</v>
      </c>
      <c r="U11" s="2"/>
      <c r="V11" s="2" t="s">
        <v>23</v>
      </c>
      <c r="W11" s="2"/>
      <c r="X11" s="1">
        <v>4.689590555595419</v>
      </c>
    </row>
    <row r="12" spans="1:24" s="1" customFormat="1" ht="12.75">
      <c r="A12" s="1" t="s">
        <v>0</v>
      </c>
      <c r="B12" s="1" t="s">
        <v>3</v>
      </c>
      <c r="C12" s="1" t="s">
        <v>132</v>
      </c>
      <c r="D12" s="1" t="s">
        <v>29</v>
      </c>
      <c r="E12" s="1" t="s">
        <v>22</v>
      </c>
      <c r="F12" s="2" t="s">
        <v>26</v>
      </c>
      <c r="G12" s="4">
        <v>4.793199984284966</v>
      </c>
      <c r="H12" s="4" t="s">
        <v>26</v>
      </c>
      <c r="I12" s="4">
        <v>4.7176208481203</v>
      </c>
      <c r="J12" s="4" t="s">
        <v>26</v>
      </c>
      <c r="K12" s="4">
        <v>4.7441010413812</v>
      </c>
      <c r="L12" s="2" t="s">
        <v>26</v>
      </c>
      <c r="M12" s="4">
        <v>4.503440348595213</v>
      </c>
      <c r="N12" s="2" t="s">
        <v>23</v>
      </c>
      <c r="O12" s="2"/>
      <c r="P12" s="2" t="s">
        <v>23</v>
      </c>
      <c r="Q12" s="4">
        <f t="shared" si="0"/>
        <v>4.689590555595419</v>
      </c>
      <c r="R12" s="2" t="s">
        <v>23</v>
      </c>
      <c r="S12" s="2"/>
      <c r="T12" s="2" t="s">
        <v>23</v>
      </c>
      <c r="U12" s="2"/>
      <c r="V12" s="2" t="s">
        <v>23</v>
      </c>
      <c r="W12" s="2"/>
      <c r="X12" s="1">
        <v>4.689590555595419</v>
      </c>
    </row>
    <row r="13" spans="1:24" s="1" customFormat="1" ht="12.75">
      <c r="A13" s="1" t="s">
        <v>0</v>
      </c>
      <c r="B13" s="1" t="s">
        <v>4</v>
      </c>
      <c r="C13" s="1" t="s">
        <v>132</v>
      </c>
      <c r="D13" s="1" t="s">
        <v>29</v>
      </c>
      <c r="E13" s="1" t="s">
        <v>22</v>
      </c>
      <c r="F13" s="2" t="s">
        <v>26</v>
      </c>
      <c r="G13" s="4">
        <v>0.27204648559455213</v>
      </c>
      <c r="H13" s="4" t="s">
        <v>26</v>
      </c>
      <c r="I13" s="4">
        <v>0.2677568589473684</v>
      </c>
      <c r="J13" s="4" t="s">
        <v>26</v>
      </c>
      <c r="K13" s="4">
        <v>0.27109148807892575</v>
      </c>
      <c r="L13" s="2" t="s">
        <v>23</v>
      </c>
      <c r="M13" s="4">
        <v>0.308807338189386</v>
      </c>
      <c r="N13" s="2" t="s">
        <v>23</v>
      </c>
      <c r="O13" s="2"/>
      <c r="P13" s="2" t="s">
        <v>23</v>
      </c>
      <c r="Q13" s="4">
        <f t="shared" si="0"/>
        <v>0.2799255427025581</v>
      </c>
      <c r="R13" s="2" t="s">
        <v>23</v>
      </c>
      <c r="S13" s="2"/>
      <c r="T13" s="2" t="s">
        <v>23</v>
      </c>
      <c r="U13" s="2"/>
      <c r="V13" s="2" t="s">
        <v>23</v>
      </c>
      <c r="W13" s="2"/>
      <c r="X13" s="1">
        <v>0.2799255427025581</v>
      </c>
    </row>
    <row r="14" spans="1:24" s="1" customFormat="1" ht="12.75">
      <c r="A14" s="1" t="s">
        <v>0</v>
      </c>
      <c r="B14" s="1" t="s">
        <v>5</v>
      </c>
      <c r="C14" s="1" t="s">
        <v>132</v>
      </c>
      <c r="D14" s="1" t="s">
        <v>29</v>
      </c>
      <c r="E14" s="1" t="s">
        <v>22</v>
      </c>
      <c r="F14" s="2" t="s">
        <v>26</v>
      </c>
      <c r="G14" s="4">
        <v>0.33681945835516</v>
      </c>
      <c r="H14" s="4" t="s">
        <v>26</v>
      </c>
      <c r="I14" s="4">
        <v>0.3315084920300752</v>
      </c>
      <c r="J14" s="4" t="s">
        <v>26</v>
      </c>
      <c r="K14" s="4">
        <v>0.33886436009865717</v>
      </c>
      <c r="L14" s="2" t="s">
        <v>26</v>
      </c>
      <c r="M14" s="4">
        <v>0.3216743106139438</v>
      </c>
      <c r="N14" s="2" t="s">
        <v>23</v>
      </c>
      <c r="O14" s="2"/>
      <c r="P14" s="2" t="s">
        <v>23</v>
      </c>
      <c r="Q14" s="4">
        <f t="shared" si="0"/>
        <v>0.332216655274459</v>
      </c>
      <c r="R14" s="2" t="s">
        <v>23</v>
      </c>
      <c r="S14" s="2"/>
      <c r="T14" s="2" t="s">
        <v>23</v>
      </c>
      <c r="U14" s="2"/>
      <c r="V14" s="2" t="s">
        <v>23</v>
      </c>
      <c r="W14" s="2"/>
      <c r="X14" s="1">
        <v>0.33221665527445904</v>
      </c>
    </row>
    <row r="15" spans="1:24" s="1" customFormat="1" ht="12.75">
      <c r="A15" s="1" t="s">
        <v>0</v>
      </c>
      <c r="B15" s="1" t="s">
        <v>7</v>
      </c>
      <c r="C15" s="1" t="s">
        <v>132</v>
      </c>
      <c r="D15" s="1" t="s">
        <v>29</v>
      </c>
      <c r="E15" s="1" t="s">
        <v>22</v>
      </c>
      <c r="F15" s="2" t="s">
        <v>26</v>
      </c>
      <c r="G15" s="4">
        <v>0.5440929711891043</v>
      </c>
      <c r="H15" s="4" t="s">
        <v>26</v>
      </c>
      <c r="I15" s="4">
        <v>0.5355137178947368</v>
      </c>
      <c r="J15" s="4" t="s">
        <v>26</v>
      </c>
      <c r="K15" s="4">
        <v>0.5421829761578515</v>
      </c>
      <c r="L15" s="2" t="s">
        <v>26</v>
      </c>
      <c r="M15" s="4">
        <v>0.51467889698231</v>
      </c>
      <c r="N15" s="2" t="s">
        <v>23</v>
      </c>
      <c r="O15" s="2"/>
      <c r="P15" s="2" t="s">
        <v>23</v>
      </c>
      <c r="Q15" s="4">
        <f t="shared" si="0"/>
        <v>0.5341171405560006</v>
      </c>
      <c r="R15" s="2" t="s">
        <v>23</v>
      </c>
      <c r="S15" s="2"/>
      <c r="T15" s="2" t="s">
        <v>23</v>
      </c>
      <c r="U15" s="2"/>
      <c r="V15" s="2" t="s">
        <v>23</v>
      </c>
      <c r="W15" s="2"/>
      <c r="X15" s="1">
        <v>0.5341171405560007</v>
      </c>
    </row>
    <row r="16" spans="1:24" s="1" customFormat="1" ht="12.75">
      <c r="A16" s="1" t="s">
        <v>0</v>
      </c>
      <c r="B16" s="1" t="s">
        <v>8</v>
      </c>
      <c r="C16" s="1" t="s">
        <v>132</v>
      </c>
      <c r="D16" s="1" t="s">
        <v>29</v>
      </c>
      <c r="E16" s="1" t="s">
        <v>22</v>
      </c>
      <c r="F16" s="2" t="s">
        <v>23</v>
      </c>
      <c r="G16" s="4">
        <v>2.7204648559455213</v>
      </c>
      <c r="H16" s="4" t="s">
        <v>26</v>
      </c>
      <c r="I16" s="4">
        <v>2.0400522586466168</v>
      </c>
      <c r="J16" s="4" t="s">
        <v>26</v>
      </c>
      <c r="K16" s="4">
        <v>2.0331861605919426</v>
      </c>
      <c r="L16" s="2" t="s">
        <v>23</v>
      </c>
      <c r="M16" s="4">
        <v>1.9300458636836628</v>
      </c>
      <c r="N16" s="2" t="s">
        <v>23</v>
      </c>
      <c r="O16" s="2"/>
      <c r="P16" s="2" t="s">
        <v>23</v>
      </c>
      <c r="Q16" s="4">
        <f t="shared" si="0"/>
        <v>2.180937284716936</v>
      </c>
      <c r="R16" s="2" t="s">
        <v>23</v>
      </c>
      <c r="S16" s="2"/>
      <c r="T16" s="2" t="s">
        <v>23</v>
      </c>
      <c r="U16" s="2"/>
      <c r="V16" s="2" t="s">
        <v>23</v>
      </c>
      <c r="W16" s="2"/>
      <c r="X16" s="1">
        <v>2.1809372847169355</v>
      </c>
    </row>
    <row r="17" spans="1:24" s="1" customFormat="1" ht="12.75">
      <c r="A17" s="1" t="s">
        <v>0</v>
      </c>
      <c r="B17" s="1" t="s">
        <v>9</v>
      </c>
      <c r="C17" s="1" t="s">
        <v>132</v>
      </c>
      <c r="D17" s="1" t="s">
        <v>29</v>
      </c>
      <c r="E17" s="1" t="s">
        <v>22</v>
      </c>
      <c r="F17" s="2" t="s">
        <v>23</v>
      </c>
      <c r="G17" s="4">
        <v>1.0881859423782</v>
      </c>
      <c r="H17" s="4" t="s">
        <v>23</v>
      </c>
      <c r="I17" s="4">
        <v>3.442588186466165</v>
      </c>
      <c r="J17" s="4" t="s">
        <v>26</v>
      </c>
      <c r="K17" s="4">
        <v>0.58284669936969</v>
      </c>
      <c r="L17" s="2" t="s">
        <v>26</v>
      </c>
      <c r="M17" s="4">
        <v>0.5532798142559835</v>
      </c>
      <c r="N17" s="2" t="s">
        <v>23</v>
      </c>
      <c r="O17" s="2"/>
      <c r="P17" s="2" t="s">
        <v>23</v>
      </c>
      <c r="Q17" s="4">
        <f>AVERAGE(G17,I17,K17,M17)</f>
        <v>1.4167251606175097</v>
      </c>
      <c r="R17" s="2" t="s">
        <v>23</v>
      </c>
      <c r="S17" s="2"/>
      <c r="T17" s="2" t="s">
        <v>23</v>
      </c>
      <c r="U17" s="2"/>
      <c r="V17" s="2" t="s">
        <v>23</v>
      </c>
      <c r="W17" s="2"/>
      <c r="X17" s="1">
        <v>1.4167251606175095</v>
      </c>
    </row>
    <row r="18" spans="1:24" s="1" customFormat="1" ht="12.75">
      <c r="A18" s="1" t="s">
        <v>0</v>
      </c>
      <c r="B18" s="1" t="s">
        <v>10</v>
      </c>
      <c r="C18" s="1" t="s">
        <v>132</v>
      </c>
      <c r="D18" s="1" t="s">
        <v>29</v>
      </c>
      <c r="E18" s="1" t="s">
        <v>22</v>
      </c>
      <c r="F18" s="2" t="s">
        <v>26</v>
      </c>
      <c r="G18" s="4">
        <v>1.2954594552121532</v>
      </c>
      <c r="H18" s="4" t="s">
        <v>26</v>
      </c>
      <c r="I18" s="4">
        <v>1.2750326616541354</v>
      </c>
      <c r="J18" s="4" t="s">
        <v>26</v>
      </c>
      <c r="K18" s="4">
        <v>1.3554574403946287</v>
      </c>
      <c r="L18" s="2" t="s">
        <v>26</v>
      </c>
      <c r="M18" s="4">
        <v>1.2866972424557752</v>
      </c>
      <c r="N18" s="2" t="s">
        <v>23</v>
      </c>
      <c r="O18" s="2"/>
      <c r="P18" s="2" t="s">
        <v>23</v>
      </c>
      <c r="Q18" s="4">
        <f>AVERAGE(G18,I18,K18,M18)</f>
        <v>1.303161699929173</v>
      </c>
      <c r="R18" s="2" t="s">
        <v>23</v>
      </c>
      <c r="S18" s="2"/>
      <c r="T18" s="2" t="s">
        <v>23</v>
      </c>
      <c r="U18" s="2"/>
      <c r="V18" s="2" t="s">
        <v>23</v>
      </c>
      <c r="W18" s="2"/>
      <c r="X18" s="1">
        <v>1.303161699929173</v>
      </c>
    </row>
    <row r="19" spans="2:23" s="1" customFormat="1" ht="12.75">
      <c r="B19" s="1" t="s">
        <v>35</v>
      </c>
      <c r="C19" s="1" t="s">
        <v>132</v>
      </c>
      <c r="D19" s="1" t="s">
        <v>29</v>
      </c>
      <c r="E19" s="1" t="s">
        <v>22</v>
      </c>
      <c r="F19" s="2"/>
      <c r="G19" s="4">
        <f>G16+G14</f>
        <v>3.057284314300681</v>
      </c>
      <c r="H19" s="4"/>
      <c r="I19" s="4">
        <f>I16+I14</f>
        <v>2.371560750676692</v>
      </c>
      <c r="J19" s="4"/>
      <c r="K19" s="4">
        <f>K16+K14</f>
        <v>2.3720505206905997</v>
      </c>
      <c r="L19" s="2"/>
      <c r="M19" s="4">
        <f>M16+M14</f>
        <v>2.2517201742976067</v>
      </c>
      <c r="N19" s="2"/>
      <c r="O19" s="2"/>
      <c r="P19" s="2"/>
      <c r="Q19" s="4">
        <f>AVERAGE(G19,I19,K19,M19)</f>
        <v>2.513153939991395</v>
      </c>
      <c r="R19" s="2"/>
      <c r="S19" s="2"/>
      <c r="T19" s="2"/>
      <c r="U19" s="2"/>
      <c r="V19" s="2"/>
      <c r="W19" s="2"/>
    </row>
    <row r="20" spans="2:23" s="1" customFormat="1" ht="12.75">
      <c r="B20" s="1" t="s">
        <v>36</v>
      </c>
      <c r="C20" s="1" t="s">
        <v>132</v>
      </c>
      <c r="D20" s="1" t="s">
        <v>29</v>
      </c>
      <c r="E20" s="1" t="s">
        <v>22</v>
      </c>
      <c r="F20" s="2"/>
      <c r="G20" s="4">
        <f>G15+G12</f>
        <v>5.33729295547407</v>
      </c>
      <c r="H20" s="4"/>
      <c r="I20" s="4">
        <f>I15+I12</f>
        <v>5.253134566015037</v>
      </c>
      <c r="J20" s="4"/>
      <c r="K20" s="4">
        <f>K15+K12</f>
        <v>5.286284017539052</v>
      </c>
      <c r="L20" s="2"/>
      <c r="M20" s="4">
        <f>M15+M12</f>
        <v>5.018119245577522</v>
      </c>
      <c r="N20" s="2"/>
      <c r="O20" s="2"/>
      <c r="P20" s="2"/>
      <c r="Q20" s="4">
        <f>AVERAGE(G20,I20,K20,M20)</f>
        <v>5.223707696151421</v>
      </c>
      <c r="R20" s="2"/>
      <c r="S20" s="2"/>
      <c r="T20" s="2"/>
      <c r="U20" s="2"/>
      <c r="V20" s="2"/>
      <c r="W20" s="2"/>
    </row>
    <row r="21" spans="2:23" s="1" customFormat="1" ht="12.75">
      <c r="B21" s="1" t="s">
        <v>176</v>
      </c>
      <c r="F21" s="2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s="1" customFormat="1" ht="12.75">
      <c r="B22" s="1" t="s">
        <v>32</v>
      </c>
      <c r="C22" s="1" t="s">
        <v>33</v>
      </c>
      <c r="D22" s="1" t="s">
        <v>132</v>
      </c>
      <c r="F22" s="2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63" s="1" customFormat="1" ht="12.75">
      <c r="B23" s="28" t="s">
        <v>133</v>
      </c>
      <c r="C23" s="28"/>
      <c r="D23" s="28" t="s">
        <v>134</v>
      </c>
      <c r="G23" s="4">
        <v>24900</v>
      </c>
      <c r="H23" s="4"/>
      <c r="I23" s="4">
        <v>24500</v>
      </c>
      <c r="J23" s="4"/>
      <c r="K23" s="4">
        <v>24600</v>
      </c>
      <c r="L23" s="4"/>
      <c r="M23" s="4">
        <v>24800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2:63" s="1" customFormat="1" ht="12.75">
      <c r="B24" s="28" t="s">
        <v>135</v>
      </c>
      <c r="C24" s="28"/>
      <c r="D24" s="28" t="s">
        <v>71</v>
      </c>
      <c r="G24" s="4">
        <v>11.8</v>
      </c>
      <c r="H24" s="4"/>
      <c r="I24" s="4">
        <v>11.5</v>
      </c>
      <c r="J24" s="4"/>
      <c r="K24" s="4">
        <v>12.1</v>
      </c>
      <c r="L24" s="4"/>
      <c r="M24" s="4">
        <v>11.7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s="1" customFormat="1" ht="12.75">
      <c r="A25" s="1" t="s">
        <v>0</v>
      </c>
      <c r="B25" s="28" t="s">
        <v>136</v>
      </c>
      <c r="C25" s="28"/>
      <c r="D25" s="28" t="s">
        <v>71</v>
      </c>
      <c r="G25" s="4">
        <v>2.4</v>
      </c>
      <c r="H25" s="4"/>
      <c r="I25" s="4">
        <v>2.3</v>
      </c>
      <c r="J25" s="4"/>
      <c r="K25" s="4">
        <v>1.7</v>
      </c>
      <c r="L25" s="4"/>
      <c r="M25" s="4">
        <v>1.9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2:63" s="1" customFormat="1" ht="12.75">
      <c r="B26" s="28" t="s">
        <v>137</v>
      </c>
      <c r="C26" s="28"/>
      <c r="D26" s="28" t="s">
        <v>138</v>
      </c>
      <c r="G26" s="4">
        <v>75</v>
      </c>
      <c r="H26" s="4"/>
      <c r="I26" s="4">
        <v>74</v>
      </c>
      <c r="J26" s="4"/>
      <c r="K26" s="4">
        <v>67</v>
      </c>
      <c r="L26" s="4"/>
      <c r="M26" s="4">
        <v>69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7:63" s="1" customFormat="1" ht="12.7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57" s="8" customFormat="1" ht="12.75">
      <c r="A28" s="8" t="s">
        <v>0</v>
      </c>
      <c r="B28" s="8" t="s">
        <v>70</v>
      </c>
      <c r="C28" s="1" t="s">
        <v>132</v>
      </c>
      <c r="D28" s="8" t="s">
        <v>71</v>
      </c>
      <c r="G28" s="9">
        <v>99.99978</v>
      </c>
      <c r="H28" s="9"/>
      <c r="I28" s="9">
        <v>99.99967</v>
      </c>
      <c r="J28" s="9"/>
      <c r="K28" s="9">
        <v>99.99968</v>
      </c>
      <c r="L28" s="9"/>
      <c r="M28" s="9">
        <v>99.99961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s="8" customFormat="1" ht="12.75">
      <c r="A29" s="8" t="s">
        <v>0</v>
      </c>
      <c r="B29" s="8" t="s">
        <v>72</v>
      </c>
      <c r="C29" s="1" t="s">
        <v>132</v>
      </c>
      <c r="D29" s="8" t="s">
        <v>71</v>
      </c>
      <c r="G29" s="9">
        <v>99.99983</v>
      </c>
      <c r="H29" s="9"/>
      <c r="I29" s="9">
        <v>99.99983</v>
      </c>
      <c r="J29" s="9"/>
      <c r="K29" s="9">
        <v>99.99984</v>
      </c>
      <c r="L29" s="9"/>
      <c r="M29" s="9">
        <v>99.99984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6:23" s="1" customFormat="1" ht="12.75">
      <c r="F30" s="2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s="1" customFormat="1" ht="12.75">
      <c r="B31" s="7" t="s">
        <v>15</v>
      </c>
      <c r="F31" s="2"/>
      <c r="G31" s="25" t="s">
        <v>1</v>
      </c>
      <c r="H31" s="25"/>
      <c r="I31" s="25" t="s">
        <v>12</v>
      </c>
      <c r="J31" s="25"/>
      <c r="K31" s="25" t="s">
        <v>13</v>
      </c>
      <c r="L31" s="25"/>
      <c r="M31" s="25" t="s">
        <v>14</v>
      </c>
      <c r="N31" s="25"/>
      <c r="O31" s="25" t="s">
        <v>18</v>
      </c>
      <c r="P31" s="25"/>
      <c r="Q31" s="25" t="s">
        <v>34</v>
      </c>
      <c r="R31" s="2"/>
      <c r="S31" s="2"/>
      <c r="T31" s="2"/>
      <c r="U31" s="2"/>
      <c r="V31" s="2"/>
      <c r="W31" s="2"/>
    </row>
    <row r="32" spans="6:23" s="1" customFormat="1" ht="12.75">
      <c r="F32" s="2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s="1" customFormat="1" ht="12.75">
      <c r="A33" s="1" t="s">
        <v>15</v>
      </c>
      <c r="B33" s="1" t="s">
        <v>21</v>
      </c>
      <c r="C33" s="1" t="s">
        <v>132</v>
      </c>
      <c r="D33" s="1" t="s">
        <v>27</v>
      </c>
      <c r="E33" s="1" t="s">
        <v>22</v>
      </c>
      <c r="F33" s="2" t="s">
        <v>23</v>
      </c>
      <c r="G33" s="3">
        <v>0.001800017856</v>
      </c>
      <c r="H33" s="3" t="s">
        <v>23</v>
      </c>
      <c r="I33" s="3">
        <v>0.000700006944</v>
      </c>
      <c r="J33" s="3" t="s">
        <v>23</v>
      </c>
      <c r="K33" s="3">
        <v>0.0005800057536</v>
      </c>
      <c r="L33" s="3" t="s">
        <v>23</v>
      </c>
      <c r="M33" s="3">
        <v>0.0003800037696</v>
      </c>
      <c r="N33" s="3" t="s">
        <v>23</v>
      </c>
      <c r="O33" s="3"/>
      <c r="P33" s="3" t="s">
        <v>23</v>
      </c>
      <c r="Q33" s="3">
        <f>AVERAGE(G33,I33,K33,M33)</f>
        <v>0.0008650085807999999</v>
      </c>
      <c r="R33" s="3" t="s">
        <v>23</v>
      </c>
      <c r="S33" s="3"/>
      <c r="T33" s="3" t="s">
        <v>23</v>
      </c>
      <c r="U33" s="3"/>
      <c r="V33" s="2" t="s">
        <v>23</v>
      </c>
      <c r="W33" s="2"/>
      <c r="X33" s="1">
        <v>0.0008650085807999999</v>
      </c>
    </row>
    <row r="34" spans="1:24" s="1" customFormat="1" ht="12.75">
      <c r="A34" s="1" t="s">
        <v>15</v>
      </c>
      <c r="B34" s="1" t="s">
        <v>139</v>
      </c>
      <c r="C34" s="1" t="s">
        <v>132</v>
      </c>
      <c r="D34" s="1" t="s">
        <v>28</v>
      </c>
      <c r="E34" s="1" t="s">
        <v>22</v>
      </c>
      <c r="F34" s="2" t="s">
        <v>23</v>
      </c>
      <c r="G34" s="4">
        <v>2.8282828282828283</v>
      </c>
      <c r="H34" s="4" t="s">
        <v>23</v>
      </c>
      <c r="I34" s="4">
        <v>1.3725490196078431</v>
      </c>
      <c r="J34" s="4" t="s">
        <v>23</v>
      </c>
      <c r="K34" s="4">
        <v>2.8282828282828283</v>
      </c>
      <c r="L34" s="2" t="s">
        <v>23</v>
      </c>
      <c r="M34" s="4">
        <v>4.117647058823529</v>
      </c>
      <c r="N34" s="2" t="s">
        <v>23</v>
      </c>
      <c r="O34" s="2"/>
      <c r="P34" s="2" t="s">
        <v>23</v>
      </c>
      <c r="Q34" s="4">
        <f>AVERAGE(G34,I34,K34,M34)</f>
        <v>2.786690433749257</v>
      </c>
      <c r="R34" s="2" t="s">
        <v>23</v>
      </c>
      <c r="S34" s="2"/>
      <c r="T34" s="2" t="s">
        <v>23</v>
      </c>
      <c r="U34" s="2"/>
      <c r="V34" s="2" t="s">
        <v>23</v>
      </c>
      <c r="W34" s="2"/>
      <c r="X34" s="1">
        <v>2.7866904337492575</v>
      </c>
    </row>
    <row r="35" spans="1:24" s="1" customFormat="1" ht="12.75">
      <c r="A35" s="1" t="s">
        <v>15</v>
      </c>
      <c r="B35" s="1" t="s">
        <v>24</v>
      </c>
      <c r="C35" s="1" t="s">
        <v>132</v>
      </c>
      <c r="D35" s="1" t="s">
        <v>28</v>
      </c>
      <c r="E35" s="1" t="s">
        <v>22</v>
      </c>
      <c r="F35" s="2" t="s">
        <v>23</v>
      </c>
      <c r="G35" s="4">
        <v>0.34538004335401473</v>
      </c>
      <c r="H35" s="4" t="s">
        <v>23</v>
      </c>
      <c r="I35" s="4">
        <v>0.3256440408766425</v>
      </c>
      <c r="J35" s="4" t="s">
        <v>23</v>
      </c>
      <c r="K35" s="4">
        <v>0.35665775905537</v>
      </c>
      <c r="L35" s="2" t="s">
        <v>23</v>
      </c>
      <c r="M35" s="4">
        <v>0.32772445724193444</v>
      </c>
      <c r="N35" s="2" t="s">
        <v>23</v>
      </c>
      <c r="O35" s="2"/>
      <c r="P35" s="2" t="s">
        <v>23</v>
      </c>
      <c r="Q35" s="4">
        <f>AVERAGE(G35,I35,K35,M35)</f>
        <v>0.3388515751319904</v>
      </c>
      <c r="R35" s="2" t="s">
        <v>23</v>
      </c>
      <c r="S35" s="2"/>
      <c r="T35" s="2" t="s">
        <v>23</v>
      </c>
      <c r="U35" s="2"/>
      <c r="V35" s="2" t="s">
        <v>23</v>
      </c>
      <c r="W35" s="2"/>
      <c r="X35" s="1">
        <v>0.3388515751319904</v>
      </c>
    </row>
    <row r="36" spans="1:24" s="1" customFormat="1" ht="12.75">
      <c r="A36" s="1" t="s">
        <v>15</v>
      </c>
      <c r="B36" s="1" t="s">
        <v>25</v>
      </c>
      <c r="C36" s="1" t="s">
        <v>132</v>
      </c>
      <c r="D36" s="1" t="s">
        <v>28</v>
      </c>
      <c r="E36" s="1" t="s">
        <v>22</v>
      </c>
      <c r="F36" s="2" t="s">
        <v>23</v>
      </c>
      <c r="G36" s="4">
        <v>1.095807437974946</v>
      </c>
      <c r="H36" s="4" t="s">
        <v>23</v>
      </c>
      <c r="I36" s="4">
        <v>0.9060107248616386</v>
      </c>
      <c r="J36" s="4" t="s">
        <v>23</v>
      </c>
      <c r="K36" s="4">
        <v>1.0425286674173209</v>
      </c>
      <c r="L36" s="2" t="s">
        <v>23</v>
      </c>
      <c r="M36" s="4">
        <v>1.0313298312718</v>
      </c>
      <c r="N36" s="2" t="s">
        <v>23</v>
      </c>
      <c r="O36" s="2"/>
      <c r="P36" s="2" t="s">
        <v>23</v>
      </c>
      <c r="Q36" s="4">
        <f>AVERAGE(G36,I36,K36,M36)</f>
        <v>1.0189191653814265</v>
      </c>
      <c r="R36" s="2" t="s">
        <v>23</v>
      </c>
      <c r="S36" s="2"/>
      <c r="T36" s="2" t="s">
        <v>23</v>
      </c>
      <c r="U36" s="2"/>
      <c r="V36" s="2" t="s">
        <v>23</v>
      </c>
      <c r="W36" s="2"/>
      <c r="X36" s="1">
        <v>1.0189191653814262</v>
      </c>
    </row>
    <row r="37" spans="2:23" s="1" customFormat="1" ht="12.75">
      <c r="B37" s="1" t="s">
        <v>131</v>
      </c>
      <c r="C37" s="1" t="s">
        <v>132</v>
      </c>
      <c r="D37" s="1" t="s">
        <v>28</v>
      </c>
      <c r="E37" s="1" t="s">
        <v>22</v>
      </c>
      <c r="F37" s="2"/>
      <c r="G37" s="4">
        <f>G35+2*G36</f>
        <v>2.5369949193039067</v>
      </c>
      <c r="H37" s="4"/>
      <c r="I37" s="4">
        <f>I35+2*I36</f>
        <v>2.1376654905999195</v>
      </c>
      <c r="J37" s="4"/>
      <c r="K37" s="4">
        <f>K35+2*K36</f>
        <v>2.4417150938900116</v>
      </c>
      <c r="L37" s="2"/>
      <c r="M37" s="4">
        <f>M35+2*M36</f>
        <v>2.3903841197855344</v>
      </c>
      <c r="N37" s="2"/>
      <c r="O37" s="2"/>
      <c r="P37" s="2"/>
      <c r="Q37" s="4">
        <f>AVERAGE(G37,I37,K37,M37)</f>
        <v>2.376689905894843</v>
      </c>
      <c r="R37" s="2"/>
      <c r="S37" s="2"/>
      <c r="T37" s="2"/>
      <c r="U37" s="2"/>
      <c r="V37" s="2"/>
      <c r="W37" s="2"/>
    </row>
    <row r="38" spans="6:23" s="1" customFormat="1" ht="12.75">
      <c r="F38" s="2"/>
      <c r="G38" s="4"/>
      <c r="H38" s="4"/>
      <c r="I38" s="4"/>
      <c r="J38" s="4"/>
      <c r="K38" s="4"/>
      <c r="L38" s="2"/>
      <c r="M38" s="4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s="1" customFormat="1" ht="12.75">
      <c r="B39" s="1" t="s">
        <v>32</v>
      </c>
      <c r="C39" s="1" t="s">
        <v>33</v>
      </c>
      <c r="D39" s="1" t="s">
        <v>132</v>
      </c>
      <c r="F39" s="2"/>
      <c r="G39" s="4"/>
      <c r="H39" s="4"/>
      <c r="I39" s="4"/>
      <c r="J39" s="4"/>
      <c r="K39" s="4"/>
      <c r="L39" s="2"/>
      <c r="M39" s="4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63" s="1" customFormat="1" ht="12.75">
      <c r="B40" s="28" t="s">
        <v>133</v>
      </c>
      <c r="C40" s="28"/>
      <c r="D40" s="28" t="s">
        <v>134</v>
      </c>
      <c r="G40" s="4">
        <v>25300</v>
      </c>
      <c r="H40" s="4"/>
      <c r="I40" s="4">
        <v>25300</v>
      </c>
      <c r="J40" s="4"/>
      <c r="K40" s="4">
        <v>24500</v>
      </c>
      <c r="L40" s="4"/>
      <c r="M40" s="4">
        <v>24400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2:63" s="1" customFormat="1" ht="12.75">
      <c r="B41" s="28" t="s">
        <v>135</v>
      </c>
      <c r="C41" s="28"/>
      <c r="D41" s="28" t="s">
        <v>71</v>
      </c>
      <c r="G41" s="4">
        <v>11.1</v>
      </c>
      <c r="H41" s="4"/>
      <c r="I41" s="4">
        <v>10.8</v>
      </c>
      <c r="J41" s="4"/>
      <c r="K41" s="4">
        <v>11.1</v>
      </c>
      <c r="L41" s="4"/>
      <c r="M41" s="4">
        <v>10.8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s="28" t="s">
        <v>136</v>
      </c>
      <c r="C42" s="28"/>
      <c r="D42" s="28" t="s">
        <v>71</v>
      </c>
      <c r="G42" s="4">
        <v>4</v>
      </c>
      <c r="H42" s="4"/>
      <c r="I42" s="4">
        <v>4.4</v>
      </c>
      <c r="J42" s="4"/>
      <c r="K42" s="4">
        <v>4.1</v>
      </c>
      <c r="L42" s="4"/>
      <c r="M42" s="4">
        <v>3.7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2:63" s="1" customFormat="1" ht="12.75">
      <c r="B43" s="28" t="s">
        <v>137</v>
      </c>
      <c r="C43" s="28"/>
      <c r="D43" s="28" t="s">
        <v>138</v>
      </c>
      <c r="G43" s="4">
        <v>86</v>
      </c>
      <c r="H43" s="4"/>
      <c r="I43" s="4">
        <v>92</v>
      </c>
      <c r="J43" s="4"/>
      <c r="K43" s="4">
        <v>91</v>
      </c>
      <c r="L43" s="4"/>
      <c r="M43" s="4">
        <v>88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7:63" s="1" customFormat="1" ht="12.7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57" s="8" customFormat="1" ht="12.75">
      <c r="A45" s="8" t="s">
        <v>15</v>
      </c>
      <c r="B45" s="8" t="s">
        <v>70</v>
      </c>
      <c r="C45" s="1" t="s">
        <v>132</v>
      </c>
      <c r="D45" s="8" t="s">
        <v>71</v>
      </c>
      <c r="G45" s="9">
        <v>99.99998</v>
      </c>
      <c r="H45" s="9"/>
      <c r="I45" s="9">
        <v>99.99998</v>
      </c>
      <c r="J45" s="9"/>
      <c r="K45" s="9">
        <v>99.99997</v>
      </c>
      <c r="L45" s="9"/>
      <c r="M45" s="9">
        <v>99.99998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6:23" s="1" customFormat="1" ht="12.75">
      <c r="F46" s="2"/>
      <c r="G46" s="4"/>
      <c r="H46" s="4"/>
      <c r="I46" s="4"/>
      <c r="J46" s="4"/>
      <c r="K46" s="4"/>
      <c r="L46" s="2"/>
      <c r="M46" s="4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s="1" customFormat="1" ht="12.75">
      <c r="B47" s="7" t="s">
        <v>16</v>
      </c>
      <c r="F47" s="2"/>
      <c r="G47" s="25" t="s">
        <v>1</v>
      </c>
      <c r="H47" s="25"/>
      <c r="I47" s="25" t="s">
        <v>12</v>
      </c>
      <c r="J47" s="25"/>
      <c r="K47" s="25" t="s">
        <v>13</v>
      </c>
      <c r="L47" s="25"/>
      <c r="M47" s="25" t="s">
        <v>14</v>
      </c>
      <c r="N47" s="25"/>
      <c r="O47" s="25" t="s">
        <v>18</v>
      </c>
      <c r="P47" s="25"/>
      <c r="Q47" s="25" t="s">
        <v>34</v>
      </c>
      <c r="R47" s="2"/>
      <c r="S47" s="2"/>
      <c r="T47" s="2"/>
      <c r="U47" s="2"/>
      <c r="V47" s="2"/>
      <c r="W47" s="2"/>
    </row>
    <row r="48" spans="6:23" s="1" customFormat="1" ht="12.75">
      <c r="F48" s="2"/>
      <c r="G48" s="4"/>
      <c r="H48" s="4"/>
      <c r="I48" s="4"/>
      <c r="J48" s="4"/>
      <c r="K48" s="4"/>
      <c r="L48" s="2"/>
      <c r="M48" s="4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4" s="1" customFormat="1" ht="12.75">
      <c r="A49" s="1" t="s">
        <v>16</v>
      </c>
      <c r="B49" s="1" t="s">
        <v>21</v>
      </c>
      <c r="C49" s="1" t="s">
        <v>132</v>
      </c>
      <c r="D49" s="1" t="s">
        <v>27</v>
      </c>
      <c r="E49" s="1" t="s">
        <v>22</v>
      </c>
      <c r="F49" s="2" t="s">
        <v>23</v>
      </c>
      <c r="G49" s="3">
        <v>0.001100010912</v>
      </c>
      <c r="H49" s="3" t="s">
        <v>23</v>
      </c>
      <c r="I49" s="3">
        <v>0.001700016864</v>
      </c>
      <c r="J49" s="3" t="s">
        <v>23</v>
      </c>
      <c r="K49" s="3">
        <v>0.001700016864</v>
      </c>
      <c r="L49" s="3" t="s">
        <v>23</v>
      </c>
      <c r="M49" s="3">
        <v>0.001100010912</v>
      </c>
      <c r="N49" s="3" t="s">
        <v>23</v>
      </c>
      <c r="O49" s="3"/>
      <c r="P49" s="3" t="s">
        <v>23</v>
      </c>
      <c r="Q49" s="3">
        <f>AVERAGE(G49,I49,K49,M49)</f>
        <v>0.001400013888</v>
      </c>
      <c r="R49" s="3" t="s">
        <v>23</v>
      </c>
      <c r="S49" s="3"/>
      <c r="T49" s="3" t="s">
        <v>23</v>
      </c>
      <c r="U49" s="3"/>
      <c r="V49" s="2" t="s">
        <v>23</v>
      </c>
      <c r="W49" s="2"/>
      <c r="X49" s="1">
        <v>0.001400013888</v>
      </c>
    </row>
    <row r="50" spans="1:24" s="1" customFormat="1" ht="12.75">
      <c r="A50" s="1" t="s">
        <v>16</v>
      </c>
      <c r="B50" s="1" t="s">
        <v>139</v>
      </c>
      <c r="C50" s="1" t="s">
        <v>132</v>
      </c>
      <c r="D50" s="1" t="s">
        <v>28</v>
      </c>
      <c r="E50" s="1" t="s">
        <v>22</v>
      </c>
      <c r="F50" s="2" t="s">
        <v>23</v>
      </c>
      <c r="G50" s="4">
        <v>4.516129032258064</v>
      </c>
      <c r="H50" s="4" t="s">
        <v>23</v>
      </c>
      <c r="I50" s="4">
        <v>4.375</v>
      </c>
      <c r="J50" s="4" t="s">
        <v>23</v>
      </c>
      <c r="K50" s="4">
        <v>15.217391304347828</v>
      </c>
      <c r="L50" s="2" t="s">
        <v>23</v>
      </c>
      <c r="M50" s="4">
        <v>1.5053763440860215</v>
      </c>
      <c r="N50" s="2" t="s">
        <v>23</v>
      </c>
      <c r="O50" s="2"/>
      <c r="P50" s="2" t="s">
        <v>23</v>
      </c>
      <c r="Q50" s="4">
        <f>AVERAGE(G50,I50,K50,M50)</f>
        <v>6.403474170172978</v>
      </c>
      <c r="R50" s="2" t="s">
        <v>23</v>
      </c>
      <c r="S50" s="2"/>
      <c r="T50" s="2" t="s">
        <v>23</v>
      </c>
      <c r="U50" s="2"/>
      <c r="V50" s="2" t="s">
        <v>23</v>
      </c>
      <c r="W50" s="2"/>
      <c r="X50" s="1">
        <v>6.403474170172978</v>
      </c>
    </row>
    <row r="51" spans="1:24" s="1" customFormat="1" ht="12.75">
      <c r="A51" s="1" t="s">
        <v>16</v>
      </c>
      <c r="B51" s="1" t="s">
        <v>24</v>
      </c>
      <c r="C51" s="1" t="s">
        <v>132</v>
      </c>
      <c r="D51" s="1" t="s">
        <v>28</v>
      </c>
      <c r="E51" s="1" t="s">
        <v>22</v>
      </c>
      <c r="F51" s="2" t="s">
        <v>23</v>
      </c>
      <c r="G51" s="4">
        <v>0.23110222255761725</v>
      </c>
      <c r="H51" s="4" t="s">
        <v>23</v>
      </c>
      <c r="I51" s="4">
        <v>0.1867093158986189</v>
      </c>
      <c r="J51" s="4" t="s">
        <v>23</v>
      </c>
      <c r="K51" s="4">
        <v>0.20826072381645744</v>
      </c>
      <c r="L51" s="2" t="s">
        <v>23</v>
      </c>
      <c r="M51" s="4">
        <v>0.20926579207973217</v>
      </c>
      <c r="N51" s="2" t="s">
        <v>23</v>
      </c>
      <c r="O51" s="2"/>
      <c r="P51" s="2" t="s">
        <v>23</v>
      </c>
      <c r="Q51" s="4">
        <f>AVERAGE(G51,I51,K51,M51)</f>
        <v>0.20883451358810642</v>
      </c>
      <c r="R51" s="2" t="s">
        <v>23</v>
      </c>
      <c r="S51" s="2"/>
      <c r="T51" s="2" t="s">
        <v>23</v>
      </c>
      <c r="U51" s="2"/>
      <c r="V51" s="2" t="s">
        <v>23</v>
      </c>
      <c r="W51" s="2"/>
      <c r="X51" s="1">
        <v>0.20883451358810642</v>
      </c>
    </row>
    <row r="52" spans="1:24" s="1" customFormat="1" ht="12.75">
      <c r="A52" s="1" t="s">
        <v>16</v>
      </c>
      <c r="B52" s="1" t="s">
        <v>25</v>
      </c>
      <c r="C52" s="1" t="s">
        <v>132</v>
      </c>
      <c r="D52" s="1" t="s">
        <v>28</v>
      </c>
      <c r="E52" s="1" t="s">
        <v>22</v>
      </c>
      <c r="F52" s="2" t="s">
        <v>23</v>
      </c>
      <c r="G52" s="4">
        <v>0.056165040727748146</v>
      </c>
      <c r="H52" s="4" t="s">
        <v>23</v>
      </c>
      <c r="I52" s="4">
        <v>0.06719165296407985</v>
      </c>
      <c r="J52" s="4" t="s">
        <v>23</v>
      </c>
      <c r="K52" s="4">
        <v>0.09261360262891455</v>
      </c>
      <c r="L52" s="2" t="s">
        <v>23</v>
      </c>
      <c r="M52" s="4">
        <v>0.08176418860638562</v>
      </c>
      <c r="N52" s="2" t="s">
        <v>23</v>
      </c>
      <c r="O52" s="2"/>
      <c r="P52" s="2" t="s">
        <v>23</v>
      </c>
      <c r="Q52" s="4">
        <f>AVERAGE(G52,I52,K52,M52)</f>
        <v>0.07443362123178204</v>
      </c>
      <c r="R52" s="2" t="s">
        <v>23</v>
      </c>
      <c r="S52" s="2"/>
      <c r="T52" s="2" t="s">
        <v>23</v>
      </c>
      <c r="U52" s="2"/>
      <c r="V52" s="2" t="s">
        <v>23</v>
      </c>
      <c r="W52" s="2"/>
      <c r="X52" s="1">
        <v>0.07443362123178204</v>
      </c>
    </row>
    <row r="53" spans="2:23" s="1" customFormat="1" ht="12.75">
      <c r="B53" s="1" t="s">
        <v>131</v>
      </c>
      <c r="C53" s="1" t="s">
        <v>132</v>
      </c>
      <c r="D53" s="1" t="s">
        <v>28</v>
      </c>
      <c r="E53" s="1" t="s">
        <v>22</v>
      </c>
      <c r="F53" s="2"/>
      <c r="G53" s="4">
        <f>G51+2*G52</f>
        <v>0.34343230401311353</v>
      </c>
      <c r="H53" s="4"/>
      <c r="I53" s="4">
        <f>I51+2*I52</f>
        <v>0.32109262182677856</v>
      </c>
      <c r="J53" s="4"/>
      <c r="K53" s="4">
        <f>K51+2*K52</f>
        <v>0.39348792907428654</v>
      </c>
      <c r="L53" s="2"/>
      <c r="M53" s="4">
        <f>M51+2*M52</f>
        <v>0.3727941692925034</v>
      </c>
      <c r="N53" s="2"/>
      <c r="O53" s="2"/>
      <c r="P53" s="2"/>
      <c r="Q53" s="4">
        <f>AVERAGE(G53,I53,K53,M53)</f>
        <v>0.35770175605167054</v>
      </c>
      <c r="R53" s="2"/>
      <c r="S53" s="2"/>
      <c r="T53" s="2"/>
      <c r="U53" s="2"/>
      <c r="V53" s="2"/>
      <c r="W53" s="2"/>
    </row>
    <row r="54" spans="6:23" s="1" customFormat="1" ht="12.75">
      <c r="F54" s="2"/>
      <c r="G54" s="4"/>
      <c r="H54" s="4"/>
      <c r="I54" s="4"/>
      <c r="J54" s="4"/>
      <c r="K54" s="4"/>
      <c r="L54" s="2"/>
      <c r="M54" s="4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57" s="8" customFormat="1" ht="12.75">
      <c r="A55" s="8" t="s">
        <v>16</v>
      </c>
      <c r="B55" s="8" t="s">
        <v>70</v>
      </c>
      <c r="C55" s="1" t="s">
        <v>132</v>
      </c>
      <c r="D55" s="8" t="s">
        <v>71</v>
      </c>
      <c r="G55" s="9">
        <v>99.9999</v>
      </c>
      <c r="H55" s="9"/>
      <c r="I55" s="9">
        <v>99.99995</v>
      </c>
      <c r="J55" s="9"/>
      <c r="K55" s="9">
        <v>99.99994</v>
      </c>
      <c r="L55" s="9"/>
      <c r="M55" s="9">
        <v>99.99994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s="8" customFormat="1" ht="12.75">
      <c r="A56" s="8" t="s">
        <v>16</v>
      </c>
      <c r="B56" s="8" t="s">
        <v>72</v>
      </c>
      <c r="C56" s="1" t="s">
        <v>132</v>
      </c>
      <c r="D56" s="8" t="s">
        <v>71</v>
      </c>
      <c r="G56" s="9">
        <v>99.99986</v>
      </c>
      <c r="H56" s="9"/>
      <c r="I56" s="9">
        <v>99.99987</v>
      </c>
      <c r="J56" s="9"/>
      <c r="K56" s="9">
        <v>99.99986</v>
      </c>
      <c r="L56" s="9"/>
      <c r="M56" s="9">
        <v>99.99986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7:57" s="8" customFormat="1" ht="12.75"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2:23" s="1" customFormat="1" ht="12.75">
      <c r="B58" s="1" t="s">
        <v>32</v>
      </c>
      <c r="C58" s="1" t="s">
        <v>33</v>
      </c>
      <c r="D58" s="1" t="s">
        <v>132</v>
      </c>
      <c r="F58" s="2"/>
      <c r="G58" s="4"/>
      <c r="H58" s="4"/>
      <c r="I58" s="4"/>
      <c r="J58" s="4"/>
      <c r="K58" s="4"/>
      <c r="L58" s="2"/>
      <c r="M58" s="4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63" s="1" customFormat="1" ht="12.75">
      <c r="B59" s="28" t="s">
        <v>133</v>
      </c>
      <c r="C59" s="28"/>
      <c r="D59" s="28" t="s">
        <v>134</v>
      </c>
      <c r="G59" s="4">
        <v>25300</v>
      </c>
      <c r="H59" s="4"/>
      <c r="I59" s="4">
        <v>26200</v>
      </c>
      <c r="J59" s="4"/>
      <c r="K59" s="4">
        <v>25800</v>
      </c>
      <c r="L59" s="4"/>
      <c r="M59" s="4">
        <v>25400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2:63" s="1" customFormat="1" ht="12.75">
      <c r="B60" s="28" t="s">
        <v>135</v>
      </c>
      <c r="C60" s="28"/>
      <c r="D60" s="28" t="s">
        <v>71</v>
      </c>
      <c r="G60" s="4">
        <v>11.7</v>
      </c>
      <c r="H60" s="4"/>
      <c r="I60" s="4">
        <v>11.4</v>
      </c>
      <c r="J60" s="4"/>
      <c r="K60" s="4">
        <v>11.8</v>
      </c>
      <c r="L60" s="4"/>
      <c r="M60" s="4">
        <v>11.7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s="1" customFormat="1" ht="12.75">
      <c r="A61" s="1" t="s">
        <v>16</v>
      </c>
      <c r="B61" s="28" t="s">
        <v>136</v>
      </c>
      <c r="C61" s="28"/>
      <c r="D61" s="28" t="s">
        <v>71</v>
      </c>
      <c r="G61" s="4">
        <v>4.7</v>
      </c>
      <c r="H61" s="4"/>
      <c r="I61" s="4">
        <v>4.7</v>
      </c>
      <c r="J61" s="4"/>
      <c r="K61" s="4">
        <v>4.2</v>
      </c>
      <c r="L61" s="4"/>
      <c r="M61" s="4">
        <v>4.2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2:63" s="1" customFormat="1" ht="12.75">
      <c r="B62" s="28" t="s">
        <v>137</v>
      </c>
      <c r="C62" s="28"/>
      <c r="D62" s="28" t="s">
        <v>138</v>
      </c>
      <c r="G62" s="4">
        <v>95</v>
      </c>
      <c r="H62" s="4"/>
      <c r="I62" s="4">
        <v>96</v>
      </c>
      <c r="J62" s="4"/>
      <c r="K62" s="4">
        <v>92</v>
      </c>
      <c r="L62" s="4"/>
      <c r="M62" s="4">
        <v>90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6:23" s="1" customFormat="1" ht="12.75">
      <c r="F63" s="2"/>
      <c r="G63" s="4"/>
      <c r="H63" s="4"/>
      <c r="I63" s="4"/>
      <c r="J63" s="4"/>
      <c r="K63" s="4"/>
      <c r="L63" s="2"/>
      <c r="M63" s="4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s="1" customFormat="1" ht="12.75">
      <c r="B64" s="7" t="s">
        <v>17</v>
      </c>
      <c r="F64" s="2"/>
      <c r="G64" s="25" t="s">
        <v>1</v>
      </c>
      <c r="H64" s="25"/>
      <c r="I64" s="25" t="s">
        <v>12</v>
      </c>
      <c r="J64" s="25"/>
      <c r="K64" s="25" t="s">
        <v>13</v>
      </c>
      <c r="L64" s="25"/>
      <c r="M64" s="25" t="s">
        <v>14</v>
      </c>
      <c r="N64" s="25"/>
      <c r="O64" s="25" t="s">
        <v>18</v>
      </c>
      <c r="P64" s="25"/>
      <c r="Q64" s="25" t="s">
        <v>34</v>
      </c>
      <c r="R64" s="2"/>
      <c r="S64" s="2"/>
      <c r="T64" s="2"/>
      <c r="U64" s="2"/>
      <c r="V64" s="2"/>
      <c r="W64" s="2"/>
    </row>
    <row r="65" spans="6:23" s="1" customFormat="1" ht="12.75">
      <c r="F65" s="2"/>
      <c r="G65" s="4"/>
      <c r="H65" s="4"/>
      <c r="I65" s="4"/>
      <c r="J65" s="4"/>
      <c r="K65" s="4"/>
      <c r="L65" s="2"/>
      <c r="M65" s="4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4" s="1" customFormat="1" ht="12.75">
      <c r="A66" s="1" t="s">
        <v>17</v>
      </c>
      <c r="B66" s="1" t="s">
        <v>21</v>
      </c>
      <c r="C66" s="1" t="s">
        <v>132</v>
      </c>
      <c r="D66" s="1" t="s">
        <v>27</v>
      </c>
      <c r="E66" s="1" t="s">
        <v>22</v>
      </c>
      <c r="F66" s="2" t="s">
        <v>23</v>
      </c>
      <c r="G66" s="3">
        <v>0.036600363072</v>
      </c>
      <c r="H66" s="3" t="s">
        <v>23</v>
      </c>
      <c r="I66" s="3">
        <v>0.03300032736</v>
      </c>
      <c r="J66" s="3" t="s">
        <v>23</v>
      </c>
      <c r="K66" s="3">
        <v>0.022600224192</v>
      </c>
      <c r="L66" s="3" t="s">
        <v>23</v>
      </c>
      <c r="M66" s="3">
        <v>0.018800186496</v>
      </c>
      <c r="N66" s="3" t="s">
        <v>23</v>
      </c>
      <c r="O66" s="3">
        <v>0.016700165664</v>
      </c>
      <c r="P66" s="3" t="s">
        <v>23</v>
      </c>
      <c r="Q66" s="3">
        <f>AVERAGE(O66,M66,K66,I66,G66)</f>
        <v>0.0255402533568</v>
      </c>
      <c r="R66" s="3" t="s">
        <v>23</v>
      </c>
      <c r="S66" s="3"/>
      <c r="T66" s="3" t="s">
        <v>23</v>
      </c>
      <c r="U66" s="3"/>
      <c r="V66" s="2" t="s">
        <v>23</v>
      </c>
      <c r="W66" s="2"/>
      <c r="X66" s="1">
        <v>0.0255402533568</v>
      </c>
    </row>
    <row r="67" spans="1:24" s="1" customFormat="1" ht="12.75">
      <c r="A67" s="1" t="s">
        <v>17</v>
      </c>
      <c r="B67" s="1" t="s">
        <v>139</v>
      </c>
      <c r="C67" s="1" t="s">
        <v>132</v>
      </c>
      <c r="D67" s="1" t="s">
        <v>28</v>
      </c>
      <c r="E67" s="1" t="s">
        <v>22</v>
      </c>
      <c r="F67" s="2" t="s">
        <v>23</v>
      </c>
      <c r="G67" s="4">
        <v>1.5217391304347827</v>
      </c>
      <c r="H67" s="4" t="s">
        <v>23</v>
      </c>
      <c r="I67" s="4">
        <v>1.5384615384615385</v>
      </c>
      <c r="J67" s="4" t="s">
        <v>23</v>
      </c>
      <c r="K67" s="4">
        <v>2.8282828282828283</v>
      </c>
      <c r="L67" s="2" t="s">
        <v>23</v>
      </c>
      <c r="M67" s="4">
        <v>1.4141414141414141</v>
      </c>
      <c r="N67" s="2" t="s">
        <v>23</v>
      </c>
      <c r="O67" s="5">
        <v>1.3861386138613863</v>
      </c>
      <c r="P67" s="2" t="s">
        <v>23</v>
      </c>
      <c r="Q67" s="4">
        <f>AVERAGE(O67,M67,K67,I67,G67)</f>
        <v>1.73775270503639</v>
      </c>
      <c r="R67" s="2" t="s">
        <v>23</v>
      </c>
      <c r="S67" s="2"/>
      <c r="T67" s="2" t="s">
        <v>23</v>
      </c>
      <c r="U67" s="2"/>
      <c r="V67" s="2" t="s">
        <v>23</v>
      </c>
      <c r="W67" s="2"/>
      <c r="X67" s="1">
        <v>1.73775270503639</v>
      </c>
    </row>
    <row r="68" spans="1:24" s="1" customFormat="1" ht="12.75">
      <c r="A68" s="1" t="s">
        <v>17</v>
      </c>
      <c r="B68" s="1" t="s">
        <v>24</v>
      </c>
      <c r="C68" s="1" t="s">
        <v>132</v>
      </c>
      <c r="D68" s="1" t="s">
        <v>28</v>
      </c>
      <c r="E68" s="1" t="s">
        <v>22</v>
      </c>
      <c r="F68" s="2" t="s">
        <v>23</v>
      </c>
      <c r="G68" s="4">
        <v>0.7883351877592851</v>
      </c>
      <c r="H68" s="4" t="s">
        <v>23</v>
      </c>
      <c r="I68" s="4">
        <v>0.7673700254883061</v>
      </c>
      <c r="J68" s="4" t="s">
        <v>23</v>
      </c>
      <c r="K68" s="4">
        <v>0.71752801132793</v>
      </c>
      <c r="L68" s="2" t="s">
        <v>23</v>
      </c>
      <c r="M68" s="4">
        <v>0.49550925303875887</v>
      </c>
      <c r="N68" s="2" t="s">
        <v>23</v>
      </c>
      <c r="O68" s="5">
        <v>0.5126475494988728</v>
      </c>
      <c r="P68" s="2" t="s">
        <v>23</v>
      </c>
      <c r="Q68" s="4">
        <f>AVERAGE(O68,M68,K68,I68,G68)</f>
        <v>0.6562780054226306</v>
      </c>
      <c r="R68" s="2" t="s">
        <v>23</v>
      </c>
      <c r="S68" s="2"/>
      <c r="T68" s="2" t="s">
        <v>23</v>
      </c>
      <c r="U68" s="2"/>
      <c r="V68" s="2" t="s">
        <v>23</v>
      </c>
      <c r="W68" s="2"/>
      <c r="X68" s="1">
        <v>0.6562780054226306</v>
      </c>
    </row>
    <row r="69" spans="1:24" s="1" customFormat="1" ht="12.75">
      <c r="A69" s="1" t="s">
        <v>17</v>
      </c>
      <c r="B69" s="1" t="s">
        <v>25</v>
      </c>
      <c r="C69" s="1" t="s">
        <v>132</v>
      </c>
      <c r="D69" s="1" t="s">
        <v>28</v>
      </c>
      <c r="E69" s="1" t="s">
        <v>22</v>
      </c>
      <c r="F69" s="2" t="s">
        <v>23</v>
      </c>
      <c r="G69" s="4">
        <v>0.47194554172919534</v>
      </c>
      <c r="H69" s="4" t="s">
        <v>23</v>
      </c>
      <c r="I69" s="4">
        <v>0.32339297599097</v>
      </c>
      <c r="J69" s="4" t="s">
        <v>23</v>
      </c>
      <c r="K69" s="4">
        <v>0.7630346229395756</v>
      </c>
      <c r="L69" s="2" t="s">
        <v>23</v>
      </c>
      <c r="M69" s="4">
        <v>0.044825053515339656</v>
      </c>
      <c r="N69" s="2" t="s">
        <v>23</v>
      </c>
      <c r="O69" s="5">
        <v>0.10243810455656885</v>
      </c>
      <c r="P69" s="2" t="s">
        <v>23</v>
      </c>
      <c r="Q69" s="4">
        <f>AVERAGE(O69,M69,K69,I69,G69)</f>
        <v>0.34112725974632985</v>
      </c>
      <c r="R69" s="2" t="s">
        <v>23</v>
      </c>
      <c r="S69" s="2"/>
      <c r="T69" s="2" t="s">
        <v>23</v>
      </c>
      <c r="U69" s="2"/>
      <c r="V69" s="2" t="s">
        <v>23</v>
      </c>
      <c r="W69" s="2"/>
      <c r="X69" s="1">
        <v>0.34112725974632985</v>
      </c>
    </row>
    <row r="70" spans="2:23" s="1" customFormat="1" ht="12.75">
      <c r="B70" s="1" t="s">
        <v>131</v>
      </c>
      <c r="C70" s="1" t="s">
        <v>132</v>
      </c>
      <c r="D70" s="1" t="s">
        <v>28</v>
      </c>
      <c r="E70" s="1" t="s">
        <v>22</v>
      </c>
      <c r="F70" s="2"/>
      <c r="G70" s="4">
        <f>G68+2*G69</f>
        <v>1.7322262712176757</v>
      </c>
      <c r="H70" s="4"/>
      <c r="I70" s="4">
        <f>I68+2*I69</f>
        <v>1.4141559774702461</v>
      </c>
      <c r="J70" s="4"/>
      <c r="K70" s="4">
        <f>K68+2*K69</f>
        <v>2.2435972572070813</v>
      </c>
      <c r="L70" s="2"/>
      <c r="M70" s="4">
        <f>M68+2*M69</f>
        <v>0.5851593600694381</v>
      </c>
      <c r="N70" s="2"/>
      <c r="O70" s="4">
        <f>O68+2*O69</f>
        <v>0.7175237586120105</v>
      </c>
      <c r="P70" s="2"/>
      <c r="Q70" s="4">
        <f>AVERAGE(O70,M70,K70,I70,G70)</f>
        <v>1.3385325249152904</v>
      </c>
      <c r="R70" s="2"/>
      <c r="S70" s="2"/>
      <c r="T70" s="2"/>
      <c r="U70" s="2"/>
      <c r="V70" s="2"/>
      <c r="W70" s="2"/>
    </row>
    <row r="71" spans="6:23" s="1" customFormat="1" ht="12.75">
      <c r="F71" s="2"/>
      <c r="G71" s="4"/>
      <c r="H71" s="4"/>
      <c r="I71" s="4"/>
      <c r="J71" s="4"/>
      <c r="K71" s="4"/>
      <c r="L71" s="2"/>
      <c r="M71" s="4"/>
      <c r="N71" s="2"/>
      <c r="O71" s="5"/>
      <c r="P71" s="2"/>
      <c r="Q71" s="2"/>
      <c r="R71" s="2"/>
      <c r="S71" s="2"/>
      <c r="T71" s="2"/>
      <c r="U71" s="2"/>
      <c r="V71" s="2"/>
      <c r="W71" s="2"/>
    </row>
    <row r="72" spans="2:23" s="1" customFormat="1" ht="12.75">
      <c r="B72" s="1" t="s">
        <v>32</v>
      </c>
      <c r="C72" s="1" t="s">
        <v>33</v>
      </c>
      <c r="D72" s="1" t="s">
        <v>132</v>
      </c>
      <c r="F72" s="2"/>
      <c r="G72" s="4"/>
      <c r="H72" s="4"/>
      <c r="I72" s="4"/>
      <c r="J72" s="4"/>
      <c r="K72" s="4"/>
      <c r="L72" s="2"/>
      <c r="M72" s="4"/>
      <c r="N72" s="2"/>
      <c r="O72" s="5"/>
      <c r="P72" s="2"/>
      <c r="Q72" s="2"/>
      <c r="R72" s="2"/>
      <c r="S72" s="2"/>
      <c r="T72" s="2"/>
      <c r="U72" s="2"/>
      <c r="V72" s="2"/>
      <c r="W72" s="2"/>
    </row>
    <row r="73" spans="2:63" s="1" customFormat="1" ht="12.75">
      <c r="B73" s="28" t="s">
        <v>133</v>
      </c>
      <c r="C73" s="28"/>
      <c r="D73" s="28" t="s">
        <v>134</v>
      </c>
      <c r="G73" s="4">
        <v>25900</v>
      </c>
      <c r="H73" s="4"/>
      <c r="I73" s="4">
        <v>26900</v>
      </c>
      <c r="J73" s="4"/>
      <c r="K73" s="4">
        <v>25400</v>
      </c>
      <c r="L73" s="4"/>
      <c r="M73" s="4">
        <v>26200</v>
      </c>
      <c r="N73" s="4"/>
      <c r="O73" s="4">
        <v>25300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2:63" s="1" customFormat="1" ht="12.75">
      <c r="B74" s="28" t="s">
        <v>135</v>
      </c>
      <c r="C74" s="28"/>
      <c r="D74" s="28" t="s">
        <v>71</v>
      </c>
      <c r="G74" s="4">
        <v>11.8</v>
      </c>
      <c r="H74" s="4"/>
      <c r="I74" s="4">
        <v>11.9</v>
      </c>
      <c r="J74" s="4"/>
      <c r="K74" s="4">
        <v>11.1</v>
      </c>
      <c r="L74" s="4"/>
      <c r="M74" s="4">
        <v>11.1</v>
      </c>
      <c r="N74" s="4"/>
      <c r="O74" s="4">
        <v>10.9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s="1" customFormat="1" ht="12.75">
      <c r="A75" s="1" t="s">
        <v>17</v>
      </c>
      <c r="B75" s="28" t="s">
        <v>136</v>
      </c>
      <c r="C75" s="28"/>
      <c r="D75" s="28" t="s">
        <v>71</v>
      </c>
      <c r="G75" s="4">
        <v>5.5</v>
      </c>
      <c r="H75" s="4"/>
      <c r="I75" s="4">
        <v>6.3</v>
      </c>
      <c r="J75" s="4"/>
      <c r="K75" s="4">
        <v>5.5</v>
      </c>
      <c r="L75" s="4"/>
      <c r="M75" s="4">
        <v>5.8</v>
      </c>
      <c r="N75" s="4"/>
      <c r="O75" s="4">
        <v>5.1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2:63" s="1" customFormat="1" ht="12.75">
      <c r="B76" s="28" t="s">
        <v>137</v>
      </c>
      <c r="C76" s="28"/>
      <c r="D76" s="28" t="s">
        <v>138</v>
      </c>
      <c r="G76" s="4">
        <v>92</v>
      </c>
      <c r="H76" s="4"/>
      <c r="I76" s="4">
        <v>96</v>
      </c>
      <c r="J76" s="4"/>
      <c r="K76" s="4">
        <v>90</v>
      </c>
      <c r="L76" s="4"/>
      <c r="M76" s="4">
        <v>93</v>
      </c>
      <c r="N76" s="4"/>
      <c r="O76" s="4">
        <v>92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6:23" s="1" customFormat="1" ht="12.75">
      <c r="F77" s="2"/>
      <c r="G77" s="4"/>
      <c r="H77" s="4"/>
      <c r="I77" s="4"/>
      <c r="J77" s="4"/>
      <c r="K77" s="4"/>
      <c r="L77" s="2"/>
      <c r="M77" s="4"/>
      <c r="N77" s="2"/>
      <c r="O77" s="5"/>
      <c r="P77" s="2"/>
      <c r="Q77" s="2"/>
      <c r="R77" s="2"/>
      <c r="S77" s="2"/>
      <c r="T77" s="2"/>
      <c r="U77" s="2"/>
      <c r="V77" s="2"/>
      <c r="W77" s="2"/>
    </row>
    <row r="78" spans="2:23" s="1" customFormat="1" ht="12.75">
      <c r="B78" s="7" t="s">
        <v>19</v>
      </c>
      <c r="F78" s="2"/>
      <c r="G78" s="25" t="s">
        <v>1</v>
      </c>
      <c r="H78" s="25"/>
      <c r="I78" s="25" t="s">
        <v>12</v>
      </c>
      <c r="J78" s="25"/>
      <c r="K78" s="25" t="s">
        <v>13</v>
      </c>
      <c r="L78" s="25"/>
      <c r="M78" s="25" t="s">
        <v>14</v>
      </c>
      <c r="N78" s="25"/>
      <c r="O78" s="25" t="s">
        <v>18</v>
      </c>
      <c r="P78" s="25"/>
      <c r="Q78" s="25" t="s">
        <v>34</v>
      </c>
      <c r="R78" s="2"/>
      <c r="S78" s="2"/>
      <c r="T78" s="2"/>
      <c r="U78" s="2"/>
      <c r="V78" s="2"/>
      <c r="W78" s="2"/>
    </row>
    <row r="79" spans="6:23" s="1" customFormat="1" ht="12.75">
      <c r="F79" s="2"/>
      <c r="G79" s="4"/>
      <c r="H79" s="4"/>
      <c r="I79" s="4"/>
      <c r="J79" s="4"/>
      <c r="K79" s="4"/>
      <c r="L79" s="2"/>
      <c r="M79" s="4"/>
      <c r="N79" s="2"/>
      <c r="O79" s="5"/>
      <c r="P79" s="2"/>
      <c r="Q79" s="2"/>
      <c r="R79" s="2"/>
      <c r="S79" s="2"/>
      <c r="T79" s="2"/>
      <c r="U79" s="2"/>
      <c r="V79" s="2"/>
      <c r="W79" s="2"/>
    </row>
    <row r="80" spans="1:24" s="1" customFormat="1" ht="12.75">
      <c r="A80" s="1" t="s">
        <v>19</v>
      </c>
      <c r="B80" s="1" t="s">
        <v>2</v>
      </c>
      <c r="C80" s="1" t="s">
        <v>132</v>
      </c>
      <c r="D80" s="1" t="s">
        <v>29</v>
      </c>
      <c r="E80" s="1" t="s">
        <v>22</v>
      </c>
      <c r="F80" s="2" t="s">
        <v>26</v>
      </c>
      <c r="G80" s="4">
        <v>2.4974928491453228</v>
      </c>
      <c r="H80" s="4" t="s">
        <v>23</v>
      </c>
      <c r="I80" s="4">
        <v>1.9083514804157775</v>
      </c>
      <c r="J80" s="4" t="s">
        <v>23</v>
      </c>
      <c r="K80" s="4">
        <v>3.2720892508359</v>
      </c>
      <c r="L80" s="2" t="s">
        <v>23</v>
      </c>
      <c r="M80" s="4">
        <v>2.8477892105841294</v>
      </c>
      <c r="N80" s="2" t="s">
        <v>23</v>
      </c>
      <c r="O80" s="2"/>
      <c r="P80" s="2" t="s">
        <v>23</v>
      </c>
      <c r="Q80" s="4">
        <f aca="true" t="shared" si="1" ref="Q80:Q85">AVERAGE(O80,M80,K80,I80,G80)</f>
        <v>2.6314306977452824</v>
      </c>
      <c r="R80" s="2" t="s">
        <v>23</v>
      </c>
      <c r="S80" s="2"/>
      <c r="T80" s="2" t="s">
        <v>23</v>
      </c>
      <c r="U80" s="2"/>
      <c r="V80" s="2" t="s">
        <v>23</v>
      </c>
      <c r="W80" s="2"/>
      <c r="X80" s="1">
        <v>2.6314306977452824</v>
      </c>
    </row>
    <row r="81" spans="1:24" s="1" customFormat="1" ht="12.75">
      <c r="A81" s="1" t="s">
        <v>19</v>
      </c>
      <c r="B81" s="1" t="s">
        <v>3</v>
      </c>
      <c r="C81" s="1" t="s">
        <v>132</v>
      </c>
      <c r="D81" s="1" t="s">
        <v>29</v>
      </c>
      <c r="E81" s="1" t="s">
        <v>22</v>
      </c>
      <c r="F81" s="2" t="s">
        <v>23</v>
      </c>
      <c r="G81" s="4">
        <v>0.63824817255936</v>
      </c>
      <c r="H81" s="4" t="s">
        <v>23</v>
      </c>
      <c r="I81" s="4">
        <v>0.57828832739872</v>
      </c>
      <c r="J81" s="4" t="s">
        <v>23</v>
      </c>
      <c r="K81" s="4">
        <v>0.64273181712848</v>
      </c>
      <c r="L81" s="2" t="s">
        <v>23</v>
      </c>
      <c r="M81" s="4">
        <v>0.5458262653619581</v>
      </c>
      <c r="N81" s="2" t="s">
        <v>23</v>
      </c>
      <c r="O81" s="2"/>
      <c r="P81" s="2" t="s">
        <v>23</v>
      </c>
      <c r="Q81" s="4">
        <f t="shared" si="1"/>
        <v>0.6012736456121295</v>
      </c>
      <c r="R81" s="2" t="s">
        <v>23</v>
      </c>
      <c r="S81" s="2"/>
      <c r="T81" s="2" t="s">
        <v>23</v>
      </c>
      <c r="U81" s="2"/>
      <c r="V81" s="2" t="s">
        <v>23</v>
      </c>
      <c r="W81" s="2"/>
      <c r="X81" s="1">
        <v>0.6012736456121295</v>
      </c>
    </row>
    <row r="82" spans="1:24" s="1" customFormat="1" ht="12.75">
      <c r="A82" s="1" t="s">
        <v>19</v>
      </c>
      <c r="B82" s="1" t="s">
        <v>4</v>
      </c>
      <c r="C82" s="1" t="s">
        <v>132</v>
      </c>
      <c r="D82" s="1" t="s">
        <v>29</v>
      </c>
      <c r="E82" s="1" t="s">
        <v>22</v>
      </c>
      <c r="F82" s="2" t="s">
        <v>23</v>
      </c>
      <c r="G82" s="4">
        <v>5.655433807286853</v>
      </c>
      <c r="H82" s="4" t="s">
        <v>23</v>
      </c>
      <c r="I82" s="4">
        <v>4.8344904170533</v>
      </c>
      <c r="J82" s="4" t="s">
        <v>23</v>
      </c>
      <c r="K82" s="4">
        <v>5.358046148243783</v>
      </c>
      <c r="L82" s="2" t="s">
        <v>23</v>
      </c>
      <c r="M82" s="4">
        <v>5.505725807129315</v>
      </c>
      <c r="N82" s="2" t="s">
        <v>23</v>
      </c>
      <c r="O82" s="2"/>
      <c r="P82" s="2" t="s">
        <v>23</v>
      </c>
      <c r="Q82" s="4">
        <f t="shared" si="1"/>
        <v>5.338424044928313</v>
      </c>
      <c r="R82" s="2" t="s">
        <v>23</v>
      </c>
      <c r="S82" s="2"/>
      <c r="T82" s="2" t="s">
        <v>23</v>
      </c>
      <c r="U82" s="2"/>
      <c r="V82" s="2" t="s">
        <v>23</v>
      </c>
      <c r="W82" s="2"/>
      <c r="X82" s="1">
        <v>5.338424044928313</v>
      </c>
    </row>
    <row r="83" spans="1:24" s="1" customFormat="1" ht="12.75">
      <c r="A83" s="1" t="s">
        <v>19</v>
      </c>
      <c r="B83" s="1" t="s">
        <v>5</v>
      </c>
      <c r="C83" s="1" t="s">
        <v>132</v>
      </c>
      <c r="D83" s="1" t="s">
        <v>29</v>
      </c>
      <c r="E83" s="1" t="s">
        <v>22</v>
      </c>
      <c r="F83" s="2" t="s">
        <v>23</v>
      </c>
      <c r="G83" s="4">
        <v>10.489469966410356</v>
      </c>
      <c r="H83" s="4" t="s">
        <v>23</v>
      </c>
      <c r="I83" s="4">
        <v>9.940776347984</v>
      </c>
      <c r="J83" s="4" t="s">
        <v>23</v>
      </c>
      <c r="K83" s="4">
        <v>8.799582878140827</v>
      </c>
      <c r="L83" s="2" t="s">
        <v>23</v>
      </c>
      <c r="M83" s="4">
        <v>6.5499151843435</v>
      </c>
      <c r="N83" s="2" t="s">
        <v>23</v>
      </c>
      <c r="O83" s="2"/>
      <c r="P83" s="2" t="s">
        <v>23</v>
      </c>
      <c r="Q83" s="4">
        <f t="shared" si="1"/>
        <v>8.94493609421967</v>
      </c>
      <c r="R83" s="2" t="s">
        <v>23</v>
      </c>
      <c r="S83" s="2"/>
      <c r="T83" s="2" t="s">
        <v>23</v>
      </c>
      <c r="U83" s="2"/>
      <c r="V83" s="2" t="s">
        <v>23</v>
      </c>
      <c r="W83" s="2"/>
      <c r="X83" s="1">
        <v>8.94493609421967</v>
      </c>
    </row>
    <row r="84" spans="1:24" s="1" customFormat="1" ht="12.75">
      <c r="A84" s="1" t="s">
        <v>19</v>
      </c>
      <c r="B84" s="1" t="s">
        <v>7</v>
      </c>
      <c r="C84" s="1" t="s">
        <v>132</v>
      </c>
      <c r="D84" s="1" t="s">
        <v>29</v>
      </c>
      <c r="E84" s="1" t="s">
        <v>22</v>
      </c>
      <c r="F84" s="2" t="s">
        <v>23</v>
      </c>
      <c r="G84" s="4">
        <v>4.1957879865641425</v>
      </c>
      <c r="H84" s="4" t="s">
        <v>23</v>
      </c>
      <c r="I84" s="4">
        <v>3.7010452953518107</v>
      </c>
      <c r="J84" s="4" t="s">
        <v>23</v>
      </c>
      <c r="K84" s="4">
        <v>6.894759492832787</v>
      </c>
      <c r="L84" s="2" t="s">
        <v>23</v>
      </c>
      <c r="M84" s="4">
        <v>3.3105549573040505</v>
      </c>
      <c r="N84" s="2" t="s">
        <v>23</v>
      </c>
      <c r="O84" s="2"/>
      <c r="P84" s="2" t="s">
        <v>23</v>
      </c>
      <c r="Q84" s="4">
        <f t="shared" si="1"/>
        <v>4.525536933013198</v>
      </c>
      <c r="R84" s="2" t="s">
        <v>23</v>
      </c>
      <c r="S84" s="2"/>
      <c r="T84" s="2" t="s">
        <v>23</v>
      </c>
      <c r="U84" s="2"/>
      <c r="V84" s="2" t="s">
        <v>23</v>
      </c>
      <c r="W84" s="2"/>
      <c r="X84" s="1">
        <v>4.525536933013198</v>
      </c>
    </row>
    <row r="85" spans="1:24" s="1" customFormat="1" ht="12.75">
      <c r="A85" s="1" t="s">
        <v>19</v>
      </c>
      <c r="B85" s="1" t="s">
        <v>8</v>
      </c>
      <c r="C85" s="1" t="s">
        <v>132</v>
      </c>
      <c r="D85" s="1" t="s">
        <v>29</v>
      </c>
      <c r="E85" s="1" t="s">
        <v>22</v>
      </c>
      <c r="F85" s="2" t="s">
        <v>23</v>
      </c>
      <c r="G85" s="4">
        <v>213.11938979373423</v>
      </c>
      <c r="H85" s="4" t="s">
        <v>23</v>
      </c>
      <c r="I85" s="4">
        <v>158.39317287451</v>
      </c>
      <c r="J85" s="4" t="s">
        <v>23</v>
      </c>
      <c r="K85" s="4">
        <v>180.2570596219419</v>
      </c>
      <c r="L85" s="2" t="s">
        <v>23</v>
      </c>
      <c r="M85" s="4">
        <v>144.10406694974563</v>
      </c>
      <c r="N85" s="2" t="s">
        <v>23</v>
      </c>
      <c r="O85" s="2"/>
      <c r="P85" s="2" t="s">
        <v>23</v>
      </c>
      <c r="Q85" s="4">
        <f t="shared" si="1"/>
        <v>173.96842230998294</v>
      </c>
      <c r="R85" s="2" t="s">
        <v>23</v>
      </c>
      <c r="S85" s="2"/>
      <c r="T85" s="2" t="s">
        <v>23</v>
      </c>
      <c r="U85" s="2"/>
      <c r="V85" s="2" t="s">
        <v>23</v>
      </c>
      <c r="W85" s="2"/>
      <c r="X85" s="1">
        <v>173.96842230998294</v>
      </c>
    </row>
    <row r="86" spans="1:24" s="1" customFormat="1" ht="12.75">
      <c r="A86" s="1" t="s">
        <v>19</v>
      </c>
      <c r="B86" s="1" t="s">
        <v>9</v>
      </c>
      <c r="C86" s="1" t="s">
        <v>132</v>
      </c>
      <c r="D86" s="1" t="s">
        <v>29</v>
      </c>
      <c r="E86" s="1" t="s">
        <v>22</v>
      </c>
      <c r="F86" s="2" t="s">
        <v>23</v>
      </c>
      <c r="G86" s="4">
        <v>44.34437303260252</v>
      </c>
      <c r="H86" s="4" t="s">
        <v>23</v>
      </c>
      <c r="I86" s="4">
        <v>35.217759138582</v>
      </c>
      <c r="J86" s="4" t="s">
        <v>23</v>
      </c>
      <c r="K86" s="4">
        <v>49.840930910054</v>
      </c>
      <c r="L86" s="2" t="s">
        <v>23</v>
      </c>
      <c r="M86" s="4">
        <v>41.55992379196213</v>
      </c>
      <c r="N86" s="2" t="s">
        <v>23</v>
      </c>
      <c r="O86" s="2"/>
      <c r="P86" s="2" t="s">
        <v>23</v>
      </c>
      <c r="Q86" s="4">
        <f>AVERAGE(G86,I86,K86,M86)</f>
        <v>42.74074671830016</v>
      </c>
      <c r="R86" s="2" t="s">
        <v>23</v>
      </c>
      <c r="S86" s="2"/>
      <c r="T86" s="2" t="s">
        <v>23</v>
      </c>
      <c r="U86" s="2"/>
      <c r="V86" s="2" t="s">
        <v>23</v>
      </c>
      <c r="W86" s="2"/>
      <c r="X86" s="1">
        <v>42.74074671830016</v>
      </c>
    </row>
    <row r="87" spans="1:24" s="1" customFormat="1" ht="12.75">
      <c r="A87" s="1" t="s">
        <v>19</v>
      </c>
      <c r="B87" s="1" t="s">
        <v>10</v>
      </c>
      <c r="C87" s="1" t="s">
        <v>132</v>
      </c>
      <c r="D87" s="1" t="s">
        <v>29</v>
      </c>
      <c r="E87" s="1" t="s">
        <v>22</v>
      </c>
      <c r="F87" s="2" t="s">
        <v>23</v>
      </c>
      <c r="G87" s="4">
        <v>5.483384299901288</v>
      </c>
      <c r="H87" s="4" t="s">
        <v>23</v>
      </c>
      <c r="I87" s="4">
        <v>5.447476044095946</v>
      </c>
      <c r="J87" s="4" t="s">
        <v>23</v>
      </c>
      <c r="K87" s="4">
        <v>4.282931108683417</v>
      </c>
      <c r="L87" s="2" t="s">
        <v>23</v>
      </c>
      <c r="M87" s="4">
        <v>1.0738538481577655</v>
      </c>
      <c r="N87" s="2" t="s">
        <v>23</v>
      </c>
      <c r="O87" s="2"/>
      <c r="P87" s="2" t="s">
        <v>23</v>
      </c>
      <c r="Q87" s="4">
        <f>AVERAGE(O87,M87,K87,I87,G87)</f>
        <v>4.071911325209604</v>
      </c>
      <c r="R87" s="2" t="s">
        <v>23</v>
      </c>
      <c r="S87" s="2"/>
      <c r="T87" s="2" t="s">
        <v>23</v>
      </c>
      <c r="U87" s="2"/>
      <c r="V87" s="2" t="s">
        <v>23</v>
      </c>
      <c r="W87" s="2"/>
      <c r="X87" s="1">
        <v>4.071911325209604</v>
      </c>
    </row>
    <row r="88" spans="2:23" s="1" customFormat="1" ht="12.75">
      <c r="B88" s="1" t="s">
        <v>35</v>
      </c>
      <c r="C88" s="1" t="s">
        <v>132</v>
      </c>
      <c r="D88" s="1" t="s">
        <v>29</v>
      </c>
      <c r="E88" s="1" t="s">
        <v>22</v>
      </c>
      <c r="F88" s="2"/>
      <c r="G88" s="4">
        <f>G83+G85</f>
        <v>223.60885976014458</v>
      </c>
      <c r="H88" s="4"/>
      <c r="I88" s="4">
        <f>I83+I85</f>
        <v>168.333949222494</v>
      </c>
      <c r="J88" s="4"/>
      <c r="K88" s="4">
        <f>K83+K85</f>
        <v>189.05664250008272</v>
      </c>
      <c r="L88" s="2"/>
      <c r="M88" s="4">
        <f>M83+M85</f>
        <v>150.65398213408912</v>
      </c>
      <c r="N88" s="2"/>
      <c r="O88" s="2"/>
      <c r="P88" s="2"/>
      <c r="Q88" s="4">
        <f>AVERAGE(G88,I88,K88,M88)</f>
        <v>182.9133584042026</v>
      </c>
      <c r="R88" s="2"/>
      <c r="S88" s="2"/>
      <c r="T88" s="2"/>
      <c r="U88" s="2"/>
      <c r="V88" s="2"/>
      <c r="W88" s="2"/>
    </row>
    <row r="89" spans="2:23" s="1" customFormat="1" ht="12.75">
      <c r="B89" s="1" t="s">
        <v>36</v>
      </c>
      <c r="C89" s="1" t="s">
        <v>132</v>
      </c>
      <c r="D89" s="1" t="s">
        <v>29</v>
      </c>
      <c r="E89" s="1" t="s">
        <v>22</v>
      </c>
      <c r="F89" s="2"/>
      <c r="G89" s="4">
        <f>G81+G84</f>
        <v>4.834036159123502</v>
      </c>
      <c r="H89" s="4"/>
      <c r="I89" s="4">
        <f>I81+I84</f>
        <v>4.2793336227505305</v>
      </c>
      <c r="J89" s="4"/>
      <c r="K89" s="4">
        <f>K81+K84</f>
        <v>7.537491309961267</v>
      </c>
      <c r="L89" s="2"/>
      <c r="M89" s="4">
        <f>M81+M84</f>
        <v>3.8563812226660086</v>
      </c>
      <c r="N89" s="2"/>
      <c r="O89" s="2"/>
      <c r="P89" s="2"/>
      <c r="Q89" s="4">
        <f>AVERAGE(G89,I89,K89,M89)</f>
        <v>5.126810578625327</v>
      </c>
      <c r="R89" s="2"/>
      <c r="S89" s="2"/>
      <c r="T89" s="2"/>
      <c r="U89" s="2"/>
      <c r="V89" s="2"/>
      <c r="W89" s="2"/>
    </row>
    <row r="91" spans="2:4" ht="12.75">
      <c r="B91" t="s">
        <v>32</v>
      </c>
      <c r="C91" s="1" t="s">
        <v>31</v>
      </c>
      <c r="D91" s="1" t="s">
        <v>132</v>
      </c>
    </row>
    <row r="92" spans="2:63" s="1" customFormat="1" ht="12.75">
      <c r="B92" s="28" t="s">
        <v>133</v>
      </c>
      <c r="C92" s="28"/>
      <c r="D92" s="28" t="s">
        <v>134</v>
      </c>
      <c r="G92" s="4">
        <v>25800</v>
      </c>
      <c r="H92" s="4"/>
      <c r="I92" s="4">
        <v>25100</v>
      </c>
      <c r="J92" s="4"/>
      <c r="K92" s="4">
        <v>25200</v>
      </c>
      <c r="L92" s="4"/>
      <c r="M92" s="4">
        <v>25300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2:63" s="1" customFormat="1" ht="12.75">
      <c r="B93" s="28" t="s">
        <v>135</v>
      </c>
      <c r="C93" s="28"/>
      <c r="D93" s="28" t="s">
        <v>71</v>
      </c>
      <c r="G93" s="4">
        <v>10.4</v>
      </c>
      <c r="H93" s="4"/>
      <c r="I93" s="4">
        <v>10.7</v>
      </c>
      <c r="J93" s="4"/>
      <c r="K93" s="4">
        <v>10.5</v>
      </c>
      <c r="L93" s="4"/>
      <c r="M93" s="4">
        <v>10.8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s="1" customFormat="1" ht="12.75">
      <c r="A94" s="1" t="s">
        <v>19</v>
      </c>
      <c r="B94" s="28" t="s">
        <v>136</v>
      </c>
      <c r="C94" s="28"/>
      <c r="D94" s="28" t="s">
        <v>71</v>
      </c>
      <c r="G94" s="4">
        <v>18.1</v>
      </c>
      <c r="H94" s="4"/>
      <c r="I94" s="4">
        <v>18.1</v>
      </c>
      <c r="J94" s="4"/>
      <c r="K94" s="4">
        <v>17.7</v>
      </c>
      <c r="L94" s="4"/>
      <c r="M94" s="4">
        <v>19.1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2:63" s="1" customFormat="1" ht="12.75">
      <c r="B95" s="28" t="s">
        <v>137</v>
      </c>
      <c r="C95" s="28"/>
      <c r="D95" s="28" t="s">
        <v>138</v>
      </c>
      <c r="G95" s="4">
        <v>140</v>
      </c>
      <c r="H95" s="4"/>
      <c r="I95" s="4">
        <v>140</v>
      </c>
      <c r="J95" s="4"/>
      <c r="K95" s="4">
        <v>137</v>
      </c>
      <c r="L95" s="4"/>
      <c r="M95" s="4">
        <v>143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131"/>
  <sheetViews>
    <sheetView workbookViewId="0" topLeftCell="B1">
      <selection activeCell="C9" sqref="C9"/>
    </sheetView>
  </sheetViews>
  <sheetFormatPr defaultColWidth="9.140625" defaultRowHeight="12.75"/>
  <cols>
    <col min="1" max="1" width="9.140625" style="8" hidden="1" customWidth="1"/>
    <col min="2" max="2" width="21.421875" style="8" customWidth="1"/>
    <col min="3" max="3" width="2.140625" style="8" customWidth="1"/>
    <col min="4" max="4" width="7.28125" style="8" customWidth="1"/>
    <col min="5" max="5" width="2.00390625" style="8" customWidth="1"/>
    <col min="6" max="6" width="10.00390625" style="8" customWidth="1"/>
    <col min="7" max="7" width="3.7109375" style="8" customWidth="1"/>
    <col min="8" max="8" width="8.8515625" style="8" customWidth="1"/>
    <col min="9" max="9" width="2.421875" style="8" customWidth="1"/>
    <col min="10" max="10" width="9.7109375" style="8" customWidth="1"/>
    <col min="11" max="11" width="2.57421875" style="8" customWidth="1"/>
    <col min="12" max="12" width="9.8515625" style="8" customWidth="1"/>
    <col min="13" max="13" width="3.421875" style="8" customWidth="1"/>
    <col min="14" max="14" width="8.8515625" style="8" customWidth="1"/>
    <col min="15" max="15" width="3.00390625" style="8" customWidth="1"/>
    <col min="16" max="16" width="9.140625" style="8" customWidth="1"/>
    <col min="17" max="17" width="3.140625" style="8" customWidth="1"/>
    <col min="18" max="18" width="8.7109375" style="8" customWidth="1"/>
    <col min="19" max="19" width="3.28125" style="8" customWidth="1"/>
    <col min="20" max="20" width="9.7109375" style="8" customWidth="1"/>
    <col min="21" max="21" width="3.140625" style="8" customWidth="1"/>
    <col min="22" max="22" width="8.8515625" style="8" customWidth="1"/>
    <col min="23" max="23" width="3.7109375" style="8" customWidth="1"/>
    <col min="24" max="24" width="10.421875" style="8" customWidth="1"/>
    <col min="25" max="25" width="3.140625" style="8" customWidth="1"/>
    <col min="26" max="26" width="9.140625" style="8" customWidth="1"/>
    <col min="27" max="27" width="3.140625" style="8" customWidth="1"/>
    <col min="28" max="28" width="12.00390625" style="8" bestFit="1" customWidth="1"/>
    <col min="29" max="29" width="3.7109375" style="8" customWidth="1"/>
    <col min="30" max="30" width="11.00390625" style="8" bestFit="1" customWidth="1"/>
    <col min="31" max="31" width="5.421875" style="8" customWidth="1"/>
    <col min="32" max="32" width="11.00390625" style="8" bestFit="1" customWidth="1"/>
    <col min="33" max="33" width="2.00390625" style="8" customWidth="1"/>
    <col min="34" max="34" width="11.00390625" style="8" bestFit="1" customWidth="1"/>
    <col min="35" max="35" width="1.8515625" style="8" customWidth="1"/>
    <col min="36" max="36" width="11.00390625" style="8" bestFit="1" customWidth="1"/>
    <col min="37" max="37" width="2.8515625" style="8" customWidth="1"/>
    <col min="38" max="38" width="9.140625" style="8" customWidth="1"/>
    <col min="39" max="39" width="2.7109375" style="8" customWidth="1"/>
    <col min="40" max="40" width="9.140625" style="8" customWidth="1"/>
    <col min="41" max="41" width="2.28125" style="8" customWidth="1"/>
    <col min="42" max="42" width="9.140625" style="8" customWidth="1"/>
    <col min="43" max="43" width="2.7109375" style="8" customWidth="1"/>
    <col min="44" max="44" width="9.140625" style="8" customWidth="1"/>
    <col min="45" max="45" width="2.421875" style="8" customWidth="1"/>
    <col min="46" max="46" width="9.140625" style="8" customWidth="1"/>
    <col min="47" max="47" width="2.140625" style="8" customWidth="1"/>
    <col min="48" max="48" width="9.140625" style="8" customWidth="1"/>
    <col min="49" max="49" width="1.421875" style="8" customWidth="1"/>
    <col min="50" max="50" width="9.140625" style="8" customWidth="1"/>
    <col min="51" max="51" width="1.7109375" style="8" customWidth="1"/>
    <col min="52" max="52" width="9.140625" style="8" customWidth="1"/>
    <col min="53" max="53" width="1.28515625" style="8" customWidth="1"/>
    <col min="54" max="54" width="9.140625" style="8" customWidth="1"/>
    <col min="55" max="55" width="1.8515625" style="8" customWidth="1"/>
    <col min="56" max="16384" width="9.140625" style="8" customWidth="1"/>
  </cols>
  <sheetData>
    <row r="1" spans="2:3" ht="12.75">
      <c r="B1" s="10" t="s">
        <v>114</v>
      </c>
      <c r="C1" s="10"/>
    </row>
    <row r="2" ht="12.75">
      <c r="A2" s="8" t="s">
        <v>20</v>
      </c>
    </row>
    <row r="4" spans="2:56" ht="12.75">
      <c r="B4" s="10" t="s">
        <v>0</v>
      </c>
      <c r="C4" s="10"/>
      <c r="F4" s="27" t="s">
        <v>1</v>
      </c>
      <c r="G4" s="27"/>
      <c r="H4" s="27" t="s">
        <v>12</v>
      </c>
      <c r="I4" s="27"/>
      <c r="J4" s="27" t="s">
        <v>13</v>
      </c>
      <c r="K4" s="27"/>
      <c r="L4" s="27" t="s">
        <v>14</v>
      </c>
      <c r="M4" s="27"/>
      <c r="N4" s="27" t="s">
        <v>1</v>
      </c>
      <c r="O4" s="27"/>
      <c r="P4" s="27" t="s">
        <v>12</v>
      </c>
      <c r="Q4" s="27"/>
      <c r="R4" s="27" t="s">
        <v>13</v>
      </c>
      <c r="S4" s="27"/>
      <c r="T4" s="27" t="s">
        <v>14</v>
      </c>
      <c r="U4" s="27"/>
      <c r="V4" s="27" t="s">
        <v>1</v>
      </c>
      <c r="W4" s="27"/>
      <c r="X4" s="27" t="s">
        <v>12</v>
      </c>
      <c r="Y4" s="27"/>
      <c r="Z4" s="27" t="s">
        <v>13</v>
      </c>
      <c r="AA4" s="27"/>
      <c r="AB4" s="27" t="s">
        <v>14</v>
      </c>
      <c r="AC4" s="27"/>
      <c r="AD4" s="27" t="s">
        <v>1</v>
      </c>
      <c r="AE4" s="27"/>
      <c r="AF4" s="27" t="s">
        <v>12</v>
      </c>
      <c r="AG4" s="27"/>
      <c r="AH4" s="27" t="s">
        <v>13</v>
      </c>
      <c r="AI4" s="27"/>
      <c r="AJ4" s="27" t="s">
        <v>14</v>
      </c>
      <c r="AK4" s="27"/>
      <c r="AL4" s="27" t="s">
        <v>1</v>
      </c>
      <c r="AM4" s="27"/>
      <c r="AN4" s="27" t="s">
        <v>12</v>
      </c>
      <c r="AO4" s="27"/>
      <c r="AP4" s="27" t="s">
        <v>13</v>
      </c>
      <c r="AQ4" s="27"/>
      <c r="AR4" s="27" t="s">
        <v>14</v>
      </c>
      <c r="AS4" s="27"/>
      <c r="AT4" s="27" t="s">
        <v>34</v>
      </c>
      <c r="AU4" s="27"/>
      <c r="AV4" s="27" t="s">
        <v>1</v>
      </c>
      <c r="AW4" s="27"/>
      <c r="AX4" s="27" t="s">
        <v>12</v>
      </c>
      <c r="AY4" s="27"/>
      <c r="AZ4" s="27" t="s">
        <v>13</v>
      </c>
      <c r="BA4" s="27"/>
      <c r="BB4" s="27" t="s">
        <v>14</v>
      </c>
      <c r="BC4" s="27"/>
      <c r="BD4" s="27" t="s">
        <v>34</v>
      </c>
    </row>
    <row r="6" spans="2:46" ht="12.75">
      <c r="B6" s="8" t="s">
        <v>160</v>
      </c>
      <c r="F6" s="8" t="s">
        <v>162</v>
      </c>
      <c r="H6" s="8" t="s">
        <v>162</v>
      </c>
      <c r="J6" s="8" t="s">
        <v>162</v>
      </c>
      <c r="L6" s="8" t="s">
        <v>162</v>
      </c>
      <c r="N6" s="8" t="s">
        <v>164</v>
      </c>
      <c r="P6" s="8" t="s">
        <v>164</v>
      </c>
      <c r="R6" s="8" t="s">
        <v>164</v>
      </c>
      <c r="T6" s="8" t="s">
        <v>164</v>
      </c>
      <c r="V6" s="8" t="s">
        <v>165</v>
      </c>
      <c r="X6" s="8" t="s">
        <v>165</v>
      </c>
      <c r="Z6" s="8" t="s">
        <v>165</v>
      </c>
      <c r="AB6" s="8" t="s">
        <v>165</v>
      </c>
      <c r="AD6" s="8" t="s">
        <v>166</v>
      </c>
      <c r="AF6" s="8" t="s">
        <v>166</v>
      </c>
      <c r="AH6" s="8" t="s">
        <v>166</v>
      </c>
      <c r="AJ6" s="8" t="s">
        <v>166</v>
      </c>
      <c r="AL6" s="8" t="s">
        <v>169</v>
      </c>
      <c r="AN6" s="8" t="s">
        <v>169</v>
      </c>
      <c r="AP6" s="8" t="s">
        <v>169</v>
      </c>
      <c r="AR6" s="8" t="s">
        <v>169</v>
      </c>
      <c r="AT6" s="8" t="s">
        <v>169</v>
      </c>
    </row>
    <row r="7" spans="2:46" ht="12.75">
      <c r="B7" s="8" t="s">
        <v>161</v>
      </c>
      <c r="F7" s="8" t="s">
        <v>163</v>
      </c>
      <c r="H7" s="8" t="s">
        <v>163</v>
      </c>
      <c r="J7" s="8" t="s">
        <v>163</v>
      </c>
      <c r="L7" s="8" t="s">
        <v>163</v>
      </c>
      <c r="N7" s="8" t="s">
        <v>163</v>
      </c>
      <c r="P7" s="8" t="s">
        <v>163</v>
      </c>
      <c r="R7" s="8" t="s">
        <v>163</v>
      </c>
      <c r="T7" s="8" t="s">
        <v>163</v>
      </c>
      <c r="V7" s="8" t="s">
        <v>163</v>
      </c>
      <c r="X7" s="8" t="s">
        <v>163</v>
      </c>
      <c r="Z7" s="8" t="s">
        <v>163</v>
      </c>
      <c r="AB7" s="8" t="s">
        <v>163</v>
      </c>
      <c r="AD7" s="8" t="s">
        <v>167</v>
      </c>
      <c r="AF7" s="8" t="s">
        <v>168</v>
      </c>
      <c r="AH7" s="8" t="s">
        <v>168</v>
      </c>
      <c r="AJ7" s="8" t="s">
        <v>168</v>
      </c>
      <c r="AL7" s="8" t="s">
        <v>43</v>
      </c>
      <c r="AN7" s="8" t="s">
        <v>43</v>
      </c>
      <c r="AP7" s="8" t="s">
        <v>43</v>
      </c>
      <c r="AR7" s="8" t="s">
        <v>43</v>
      </c>
      <c r="AT7" s="8" t="s">
        <v>43</v>
      </c>
    </row>
    <row r="8" spans="2:56" ht="12.75">
      <c r="B8" s="8" t="s">
        <v>170</v>
      </c>
      <c r="AL8" s="8" t="s">
        <v>43</v>
      </c>
      <c r="AN8" s="8" t="s">
        <v>43</v>
      </c>
      <c r="AP8" s="8" t="s">
        <v>43</v>
      </c>
      <c r="AR8" s="8" t="s">
        <v>43</v>
      </c>
      <c r="AT8" s="8" t="s">
        <v>43</v>
      </c>
      <c r="AV8" s="8" t="s">
        <v>171</v>
      </c>
      <c r="AX8" s="8" t="s">
        <v>171</v>
      </c>
      <c r="AZ8" s="8" t="s">
        <v>171</v>
      </c>
      <c r="BB8" s="8" t="s">
        <v>171</v>
      </c>
      <c r="BD8" s="8" t="s">
        <v>171</v>
      </c>
    </row>
    <row r="9" spans="2:46" ht="12.75">
      <c r="B9" s="8" t="s">
        <v>159</v>
      </c>
      <c r="F9" s="8" t="s">
        <v>37</v>
      </c>
      <c r="H9" s="8" t="s">
        <v>37</v>
      </c>
      <c r="J9" s="8" t="s">
        <v>37</v>
      </c>
      <c r="L9" s="8" t="s">
        <v>37</v>
      </c>
      <c r="N9" s="8" t="s">
        <v>38</v>
      </c>
      <c r="P9" s="8" t="s">
        <v>38</v>
      </c>
      <c r="R9" s="8" t="s">
        <v>38</v>
      </c>
      <c r="T9" s="8" t="s">
        <v>38</v>
      </c>
      <c r="V9" s="8" t="s">
        <v>39</v>
      </c>
      <c r="X9" s="8" t="s">
        <v>39</v>
      </c>
      <c r="Z9" s="8" t="s">
        <v>39</v>
      </c>
      <c r="AB9" s="8" t="s">
        <v>39</v>
      </c>
      <c r="AD9" s="8" t="s">
        <v>40</v>
      </c>
      <c r="AF9" s="8" t="s">
        <v>40</v>
      </c>
      <c r="AH9" s="8" t="s">
        <v>40</v>
      </c>
      <c r="AJ9" s="8" t="s">
        <v>40</v>
      </c>
      <c r="AL9" s="8" t="s">
        <v>43</v>
      </c>
      <c r="AN9" s="8" t="s">
        <v>43</v>
      </c>
      <c r="AP9" s="8" t="s">
        <v>43</v>
      </c>
      <c r="AR9" s="8" t="s">
        <v>43</v>
      </c>
      <c r="AT9" s="8" t="s">
        <v>43</v>
      </c>
    </row>
    <row r="10" spans="1:37" ht="12.75">
      <c r="A10" s="8" t="s">
        <v>0</v>
      </c>
      <c r="B10" s="8" t="s">
        <v>173</v>
      </c>
      <c r="D10" s="8" t="s">
        <v>41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2.75">
      <c r="A11" s="8" t="s">
        <v>0</v>
      </c>
      <c r="B11" s="8" t="s">
        <v>174</v>
      </c>
      <c r="D11" s="8" t="s">
        <v>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48" ht="12.75">
      <c r="A12" s="8" t="s">
        <v>0</v>
      </c>
      <c r="B12" s="8" t="s">
        <v>6</v>
      </c>
      <c r="D12" s="8" t="s">
        <v>41</v>
      </c>
      <c r="F12" s="9">
        <v>753</v>
      </c>
      <c r="G12" s="9"/>
      <c r="H12" s="9">
        <v>761</v>
      </c>
      <c r="I12" s="9"/>
      <c r="J12" s="9">
        <v>893</v>
      </c>
      <c r="K12" s="9"/>
      <c r="L12" s="9">
        <v>902</v>
      </c>
      <c r="M12" s="9"/>
      <c r="N12" s="9">
        <v>811</v>
      </c>
      <c r="O12" s="9"/>
      <c r="P12" s="9">
        <v>846</v>
      </c>
      <c r="Q12" s="9"/>
      <c r="R12" s="9">
        <v>792</v>
      </c>
      <c r="S12" s="9"/>
      <c r="T12" s="9">
        <v>761</v>
      </c>
      <c r="U12" s="9"/>
      <c r="V12" s="9">
        <v>753</v>
      </c>
      <c r="W12" s="9"/>
      <c r="X12" s="9">
        <v>761</v>
      </c>
      <c r="Y12" s="9"/>
      <c r="Z12" s="9">
        <v>901</v>
      </c>
      <c r="AA12" s="9"/>
      <c r="AB12" s="9">
        <v>902</v>
      </c>
      <c r="AC12" s="9"/>
      <c r="AD12" s="9"/>
      <c r="AE12" s="9"/>
      <c r="AF12" s="9"/>
      <c r="AG12" s="9"/>
      <c r="AH12" s="9"/>
      <c r="AI12" s="9"/>
      <c r="AJ12" s="9"/>
      <c r="AK12" s="9"/>
      <c r="AL12" s="8">
        <v>2537</v>
      </c>
      <c r="AN12" s="8">
        <v>2573</v>
      </c>
      <c r="AP12" s="8">
        <v>2802</v>
      </c>
      <c r="AR12" s="8">
        <v>2781</v>
      </c>
      <c r="AV12" s="12"/>
    </row>
    <row r="13" spans="1:44" ht="12.75">
      <c r="A13" s="8" t="s">
        <v>0</v>
      </c>
      <c r="B13" s="8" t="s">
        <v>2</v>
      </c>
      <c r="D13" s="8" t="s">
        <v>41</v>
      </c>
      <c r="F13" s="9">
        <v>0.000324</v>
      </c>
      <c r="G13" s="9"/>
      <c r="H13" s="9">
        <v>0.000372</v>
      </c>
      <c r="I13" s="9"/>
      <c r="J13" s="9">
        <v>0.000372</v>
      </c>
      <c r="K13" s="9"/>
      <c r="L13" s="9">
        <v>0.000384</v>
      </c>
      <c r="M13" s="9"/>
      <c r="N13" s="9">
        <v>0.0003528</v>
      </c>
      <c r="O13" s="9"/>
      <c r="P13" s="9">
        <v>0.00036</v>
      </c>
      <c r="Q13" s="9"/>
      <c r="R13" s="9">
        <v>0.00033</v>
      </c>
      <c r="S13" s="9"/>
      <c r="T13" s="9">
        <v>0.000324</v>
      </c>
      <c r="U13" s="9"/>
      <c r="V13" s="9">
        <v>0.0003276</v>
      </c>
      <c r="W13" s="9"/>
      <c r="X13" s="9">
        <v>0.000324</v>
      </c>
      <c r="Y13" s="9"/>
      <c r="Z13" s="9">
        <v>0.0003756</v>
      </c>
      <c r="AA13" s="9"/>
      <c r="AB13" s="9">
        <v>0.000384</v>
      </c>
      <c r="AC13" s="9"/>
      <c r="AD13" s="9">
        <v>0.10339574</v>
      </c>
      <c r="AE13" s="9"/>
      <c r="AF13" s="35">
        <v>0.10317528</v>
      </c>
      <c r="AG13" s="9"/>
      <c r="AH13" s="35">
        <v>0.10317528</v>
      </c>
      <c r="AI13" s="35"/>
      <c r="AJ13" s="35">
        <v>0.09722286</v>
      </c>
      <c r="AK13" s="9"/>
      <c r="AL13" s="13">
        <f>46.9/454</f>
        <v>0.10330396475770925</v>
      </c>
      <c r="AM13" s="13"/>
      <c r="AN13" s="13">
        <f>46.8/454</f>
        <v>0.10308370044052863</v>
      </c>
      <c r="AO13" s="13"/>
      <c r="AP13" s="13">
        <f>46.8/454</f>
        <v>0.10308370044052863</v>
      </c>
      <c r="AQ13" s="13"/>
      <c r="AR13" s="13">
        <f>44.1/454</f>
        <v>0.09713656387665198</v>
      </c>
    </row>
    <row r="14" spans="1:44" ht="12.75">
      <c r="A14" s="8" t="s">
        <v>0</v>
      </c>
      <c r="B14" s="8" t="s">
        <v>3</v>
      </c>
      <c r="D14" s="8" t="s">
        <v>41</v>
      </c>
      <c r="F14" s="9">
        <v>0.000324</v>
      </c>
      <c r="G14" s="9"/>
      <c r="H14" s="9">
        <v>0.000372</v>
      </c>
      <c r="I14" s="9"/>
      <c r="J14" s="9">
        <v>0.000372</v>
      </c>
      <c r="K14" s="9"/>
      <c r="L14" s="9">
        <v>0.000384</v>
      </c>
      <c r="M14" s="9"/>
      <c r="N14" s="9">
        <v>0.0003528</v>
      </c>
      <c r="O14" s="9"/>
      <c r="P14" s="9">
        <v>0.00036</v>
      </c>
      <c r="Q14" s="9"/>
      <c r="R14" s="9">
        <v>0.00033</v>
      </c>
      <c r="S14" s="9"/>
      <c r="T14" s="9">
        <v>0.000324</v>
      </c>
      <c r="U14" s="9"/>
      <c r="V14" s="9">
        <v>0.0003276</v>
      </c>
      <c r="W14" s="9"/>
      <c r="X14" s="9">
        <v>0.000324</v>
      </c>
      <c r="Y14" s="9"/>
      <c r="Z14" s="9">
        <v>0.0003756</v>
      </c>
      <c r="AA14" s="9"/>
      <c r="AB14" s="9">
        <v>0.000384</v>
      </c>
      <c r="AC14" s="9"/>
      <c r="AD14" s="9">
        <v>0.08333388</v>
      </c>
      <c r="AE14" s="9"/>
      <c r="AF14" s="35">
        <v>0.08619986</v>
      </c>
      <c r="AG14" s="9"/>
      <c r="AH14" s="35">
        <v>0.08553848</v>
      </c>
      <c r="AI14" s="35"/>
      <c r="AJ14" s="35">
        <v>0.08553848</v>
      </c>
      <c r="AK14" s="9"/>
      <c r="AL14" s="13">
        <f>37.8/454</f>
        <v>0.08325991189427312</v>
      </c>
      <c r="AM14" s="13"/>
      <c r="AN14" s="13">
        <f>39.1/454</f>
        <v>0.08612334801762114</v>
      </c>
      <c r="AO14" s="13"/>
      <c r="AP14" s="13">
        <f>38.8/454</f>
        <v>0.08546255506607929</v>
      </c>
      <c r="AQ14" s="13"/>
      <c r="AR14" s="13">
        <f>38.8/454</f>
        <v>0.08546255506607929</v>
      </c>
    </row>
    <row r="15" spans="1:44" ht="12.75">
      <c r="A15" s="8" t="s">
        <v>0</v>
      </c>
      <c r="B15" s="8" t="s">
        <v>11</v>
      </c>
      <c r="D15" s="8" t="s">
        <v>41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35"/>
      <c r="AG15" s="9"/>
      <c r="AH15" s="35"/>
      <c r="AI15" s="35"/>
      <c r="AJ15" s="35"/>
      <c r="AK15" s="9"/>
      <c r="AL15" s="13"/>
      <c r="AM15" s="13"/>
      <c r="AN15" s="13"/>
      <c r="AO15" s="13"/>
      <c r="AP15" s="13"/>
      <c r="AQ15" s="13"/>
      <c r="AR15" s="13"/>
    </row>
    <row r="16" spans="1:44" ht="12.75">
      <c r="A16" s="8" t="s">
        <v>0</v>
      </c>
      <c r="B16" s="8" t="s">
        <v>4</v>
      </c>
      <c r="D16" s="8" t="s">
        <v>41</v>
      </c>
      <c r="F16" s="9">
        <v>0.000324</v>
      </c>
      <c r="G16" s="9"/>
      <c r="H16" s="9">
        <v>0.000372</v>
      </c>
      <c r="I16" s="9"/>
      <c r="J16" s="9">
        <v>0.000372</v>
      </c>
      <c r="K16" s="9"/>
      <c r="L16" s="9">
        <v>0.000384</v>
      </c>
      <c r="M16" s="9"/>
      <c r="N16" s="9">
        <v>0.0003528</v>
      </c>
      <c r="O16" s="9"/>
      <c r="P16" s="9">
        <v>0.00036</v>
      </c>
      <c r="Q16" s="9"/>
      <c r="R16" s="9">
        <v>0.00033</v>
      </c>
      <c r="S16" s="9"/>
      <c r="T16" s="9">
        <v>0.000324</v>
      </c>
      <c r="U16" s="9"/>
      <c r="V16" s="9">
        <v>0.0003276</v>
      </c>
      <c r="W16" s="9"/>
      <c r="X16" s="9">
        <v>0.000324</v>
      </c>
      <c r="Y16" s="9"/>
      <c r="Z16" s="9">
        <v>0.0003756</v>
      </c>
      <c r="AA16" s="9"/>
      <c r="AB16" s="9">
        <v>0.000384</v>
      </c>
      <c r="AC16" s="9"/>
      <c r="AD16" s="9">
        <v>0.20590964</v>
      </c>
      <c r="AE16" s="9"/>
      <c r="AF16" s="35">
        <v>0.2017209</v>
      </c>
      <c r="AG16" s="9"/>
      <c r="AH16" s="35">
        <v>0.19488664</v>
      </c>
      <c r="AI16" s="35"/>
      <c r="AJ16" s="35">
        <v>0.20414596</v>
      </c>
      <c r="AK16" s="9"/>
      <c r="AL16" s="13">
        <f>93.4/454</f>
        <v>0.20572687224669606</v>
      </c>
      <c r="AM16" s="13"/>
      <c r="AN16" s="13">
        <f>91.5/454</f>
        <v>0.20154185022026433</v>
      </c>
      <c r="AO16" s="13"/>
      <c r="AP16" s="13">
        <f>88.4/454</f>
        <v>0.19471365638766522</v>
      </c>
      <c r="AQ16" s="13"/>
      <c r="AR16" s="13">
        <f>92.6/454</f>
        <v>0.2039647577092511</v>
      </c>
    </row>
    <row r="17" spans="1:44" ht="12.75">
      <c r="A17" s="8" t="s">
        <v>0</v>
      </c>
      <c r="B17" s="8" t="s">
        <v>5</v>
      </c>
      <c r="D17" s="8" t="s">
        <v>41</v>
      </c>
      <c r="F17" s="9">
        <v>0.000324</v>
      </c>
      <c r="G17" s="9"/>
      <c r="H17" s="9">
        <v>0.000372</v>
      </c>
      <c r="I17" s="9"/>
      <c r="J17" s="9">
        <v>0.000372</v>
      </c>
      <c r="K17" s="9"/>
      <c r="L17" s="9">
        <v>0.000384</v>
      </c>
      <c r="M17" s="9"/>
      <c r="N17" s="9">
        <v>0.0003528</v>
      </c>
      <c r="O17" s="9"/>
      <c r="P17" s="9">
        <v>0.00036</v>
      </c>
      <c r="Q17" s="9"/>
      <c r="R17" s="9">
        <v>0.00033</v>
      </c>
      <c r="S17" s="9"/>
      <c r="T17" s="9">
        <v>0.000324</v>
      </c>
      <c r="U17" s="9"/>
      <c r="V17" s="9">
        <v>0.0003276</v>
      </c>
      <c r="W17" s="9"/>
      <c r="X17" s="9">
        <v>0.000324</v>
      </c>
      <c r="Y17" s="9"/>
      <c r="Z17" s="9">
        <v>0.0003756</v>
      </c>
      <c r="AA17" s="9"/>
      <c r="AB17" s="9">
        <v>0.000384</v>
      </c>
      <c r="AC17" s="9"/>
      <c r="AD17" s="9">
        <v>0.1168438</v>
      </c>
      <c r="AE17" s="9"/>
      <c r="AF17" s="35">
        <v>0.12963048</v>
      </c>
      <c r="AG17" s="9"/>
      <c r="AH17" s="35">
        <v>0.12478036</v>
      </c>
      <c r="AI17" s="35"/>
      <c r="AJ17" s="35">
        <v>0.12610312</v>
      </c>
      <c r="AK17" s="9"/>
      <c r="AL17" s="13">
        <f>53/454</f>
        <v>0.11674008810572688</v>
      </c>
      <c r="AM17" s="13"/>
      <c r="AN17" s="13">
        <f>58.8/454</f>
        <v>0.12951541850220263</v>
      </c>
      <c r="AO17" s="13"/>
      <c r="AP17" s="13">
        <f>56.6/454</f>
        <v>0.12466960352422908</v>
      </c>
      <c r="AQ17" s="13"/>
      <c r="AR17" s="13">
        <f>57.2/454</f>
        <v>0.12599118942731277</v>
      </c>
    </row>
    <row r="18" spans="1:44" ht="12.75">
      <c r="A18" s="8" t="s">
        <v>0</v>
      </c>
      <c r="B18" s="8" t="s">
        <v>7</v>
      </c>
      <c r="D18" s="8" t="s">
        <v>41</v>
      </c>
      <c r="F18" s="9">
        <v>0.000324</v>
      </c>
      <c r="G18" s="9"/>
      <c r="H18" s="9">
        <v>0.000372</v>
      </c>
      <c r="I18" s="9"/>
      <c r="J18" s="9">
        <v>0.000372</v>
      </c>
      <c r="K18" s="9"/>
      <c r="L18" s="9">
        <v>0.000384</v>
      </c>
      <c r="M18" s="9"/>
      <c r="N18" s="9">
        <v>0.0003528</v>
      </c>
      <c r="O18" s="9"/>
      <c r="P18" s="9">
        <v>0.00036</v>
      </c>
      <c r="Q18" s="9"/>
      <c r="R18" s="9">
        <v>0.00033</v>
      </c>
      <c r="S18" s="9"/>
      <c r="T18" s="9">
        <v>0.000324</v>
      </c>
      <c r="U18" s="9"/>
      <c r="V18" s="9">
        <v>0.0003276</v>
      </c>
      <c r="W18" s="9"/>
      <c r="X18" s="9">
        <v>0.000324</v>
      </c>
      <c r="Y18" s="9"/>
      <c r="Z18" s="9">
        <v>0.0003756</v>
      </c>
      <c r="AA18" s="9"/>
      <c r="AB18" s="9">
        <v>0.000384</v>
      </c>
      <c r="AC18" s="9"/>
      <c r="AD18" s="9">
        <v>0.6371294</v>
      </c>
      <c r="AE18" s="9"/>
      <c r="AF18" s="35">
        <v>0.7517686</v>
      </c>
      <c r="AG18" s="9"/>
      <c r="AH18" s="35">
        <v>0.7583824</v>
      </c>
      <c r="AI18" s="35"/>
      <c r="AJ18" s="35">
        <v>0.826725</v>
      </c>
      <c r="AK18" s="9"/>
      <c r="AL18" s="13">
        <f>289.3/454</f>
        <v>0.6372246696035243</v>
      </c>
      <c r="AM18" s="13"/>
      <c r="AN18" s="13">
        <f>340.8/454</f>
        <v>0.7506607929515419</v>
      </c>
      <c r="AO18" s="13"/>
      <c r="AP18" s="13">
        <f>343.6/454</f>
        <v>0.7568281938325991</v>
      </c>
      <c r="AQ18" s="13"/>
      <c r="AR18" s="13">
        <f>375.4/454</f>
        <v>0.8268722466960352</v>
      </c>
    </row>
    <row r="19" spans="1:44" ht="12.75">
      <c r="A19" s="8" t="s">
        <v>0</v>
      </c>
      <c r="B19" s="8" t="s">
        <v>8</v>
      </c>
      <c r="D19" s="8" t="s">
        <v>41</v>
      </c>
      <c r="F19" s="9">
        <v>0.000405</v>
      </c>
      <c r="G19" s="9"/>
      <c r="H19" s="9">
        <v>0.000465</v>
      </c>
      <c r="I19" s="9"/>
      <c r="J19" s="9">
        <v>0.000465</v>
      </c>
      <c r="K19" s="9"/>
      <c r="L19" s="9">
        <v>0.0006912</v>
      </c>
      <c r="M19" s="9"/>
      <c r="N19" s="9">
        <v>0.000441</v>
      </c>
      <c r="O19" s="9"/>
      <c r="P19" s="9">
        <v>0.00045</v>
      </c>
      <c r="Q19" s="9"/>
      <c r="R19" s="9">
        <v>0.0004125</v>
      </c>
      <c r="S19" s="9"/>
      <c r="T19" s="35">
        <v>0.0005832</v>
      </c>
      <c r="U19" s="9"/>
      <c r="V19" s="9">
        <v>0.0004095</v>
      </c>
      <c r="W19" s="9"/>
      <c r="X19" s="9">
        <v>0.000405</v>
      </c>
      <c r="Y19" s="9"/>
      <c r="Z19" s="9">
        <v>0.0004695</v>
      </c>
      <c r="AA19" s="9"/>
      <c r="AB19" s="9">
        <v>0.0006912</v>
      </c>
      <c r="AC19" s="9"/>
      <c r="AD19" s="9">
        <v>1.3205554</v>
      </c>
      <c r="AE19" s="9"/>
      <c r="AF19" s="35">
        <v>1.587312</v>
      </c>
      <c r="AG19" s="9"/>
      <c r="AH19" s="35">
        <v>1.2941002</v>
      </c>
      <c r="AI19" s="35"/>
      <c r="AJ19" s="35">
        <v>1.6336086</v>
      </c>
      <c r="AK19" s="9"/>
      <c r="AL19" s="13">
        <f>599.3/454</f>
        <v>1.320044052863436</v>
      </c>
      <c r="AM19" s="13"/>
      <c r="AN19" s="13">
        <f>719.6/454</f>
        <v>1.585022026431718</v>
      </c>
      <c r="AO19" s="13"/>
      <c r="AP19" s="13">
        <f>586.7/454</f>
        <v>1.2922907488986786</v>
      </c>
      <c r="AQ19" s="13"/>
      <c r="AR19" s="13">
        <f>740.6/454</f>
        <v>1.6312775330396476</v>
      </c>
    </row>
    <row r="20" spans="1:44" ht="12.75">
      <c r="A20" s="8" t="s">
        <v>0</v>
      </c>
      <c r="B20" s="8" t="s">
        <v>9</v>
      </c>
      <c r="D20" s="8" t="s">
        <v>41</v>
      </c>
      <c r="F20" s="9">
        <v>0.000162</v>
      </c>
      <c r="G20" s="9"/>
      <c r="H20" s="9">
        <v>0.000186</v>
      </c>
      <c r="I20" s="9"/>
      <c r="J20" s="9">
        <v>0.000186</v>
      </c>
      <c r="K20" s="9"/>
      <c r="L20" s="9">
        <v>0.000192</v>
      </c>
      <c r="M20" s="9"/>
      <c r="N20" s="9">
        <v>0.0001764</v>
      </c>
      <c r="O20" s="9"/>
      <c r="P20" s="9">
        <v>0.00018</v>
      </c>
      <c r="Q20" s="9"/>
      <c r="R20" s="9">
        <v>0.000165</v>
      </c>
      <c r="S20" s="9"/>
      <c r="T20" s="9">
        <v>0.000162</v>
      </c>
      <c r="U20" s="9"/>
      <c r="V20" s="9">
        <v>0.0001638</v>
      </c>
      <c r="W20" s="9"/>
      <c r="X20" s="9">
        <v>0.000162</v>
      </c>
      <c r="Y20" s="9"/>
      <c r="Z20" s="9">
        <v>0.0001878</v>
      </c>
      <c r="AA20" s="9"/>
      <c r="AB20" s="9">
        <v>0.000192</v>
      </c>
      <c r="AC20" s="9"/>
      <c r="AD20" s="9">
        <v>0.11023</v>
      </c>
      <c r="AE20" s="9"/>
      <c r="AF20" s="35">
        <v>0.11045046</v>
      </c>
      <c r="AG20" s="9"/>
      <c r="AH20" s="35">
        <v>0.11000954</v>
      </c>
      <c r="AI20" s="35"/>
      <c r="AJ20" s="35">
        <v>0.1047185</v>
      </c>
      <c r="AK20" s="9"/>
      <c r="AL20" s="13">
        <f>50/454</f>
        <v>0.11013215859030837</v>
      </c>
      <c r="AM20" s="13"/>
      <c r="AN20" s="13">
        <f>50.1/454</f>
        <v>0.11035242290748899</v>
      </c>
      <c r="AO20" s="13"/>
      <c r="AP20" s="13">
        <f>49.9/454</f>
        <v>0.10991189427312775</v>
      </c>
      <c r="AQ20" s="13"/>
      <c r="AR20" s="13">
        <f>47.5/454</f>
        <v>0.10462555066079295</v>
      </c>
    </row>
    <row r="21" spans="1:44" ht="12.75">
      <c r="A21" s="8" t="s">
        <v>0</v>
      </c>
      <c r="B21" s="8" t="s">
        <v>10</v>
      </c>
      <c r="D21" s="8" t="s">
        <v>41</v>
      </c>
      <c r="F21" s="9">
        <v>0.000324</v>
      </c>
      <c r="G21" s="9"/>
      <c r="H21" s="9">
        <v>0.000372</v>
      </c>
      <c r="I21" s="9"/>
      <c r="J21" s="9">
        <v>0.000372</v>
      </c>
      <c r="K21" s="9"/>
      <c r="L21" s="9">
        <v>0.000384</v>
      </c>
      <c r="M21" s="9"/>
      <c r="N21" s="9">
        <v>0.0003528</v>
      </c>
      <c r="O21" s="9"/>
      <c r="P21" s="9">
        <v>0.00036</v>
      </c>
      <c r="Q21" s="9"/>
      <c r="R21" s="9">
        <v>0.00033</v>
      </c>
      <c r="S21" s="9"/>
      <c r="T21" s="9">
        <v>0.000324</v>
      </c>
      <c r="U21" s="9"/>
      <c r="V21" s="9">
        <v>0.0003276</v>
      </c>
      <c r="W21" s="9"/>
      <c r="X21" s="9">
        <v>0.000324</v>
      </c>
      <c r="Y21" s="9"/>
      <c r="Z21" s="9">
        <v>0.0003756</v>
      </c>
      <c r="AA21" s="9"/>
      <c r="AB21" s="9">
        <v>0.000384</v>
      </c>
      <c r="AC21" s="9"/>
      <c r="AD21" s="9">
        <v>0.1069231</v>
      </c>
      <c r="AE21" s="9"/>
      <c r="AF21" s="35">
        <v>0.10648218</v>
      </c>
      <c r="AG21" s="9"/>
      <c r="AH21" s="35">
        <v>0.10670264</v>
      </c>
      <c r="AI21" s="35"/>
      <c r="AJ21" s="35">
        <v>0.1003093</v>
      </c>
      <c r="AK21" s="9"/>
      <c r="AL21" s="13">
        <f>48.5/454</f>
        <v>0.10682819383259912</v>
      </c>
      <c r="AM21" s="13"/>
      <c r="AN21" s="13">
        <f>48.3/454</f>
        <v>0.10638766519823788</v>
      </c>
      <c r="AO21" s="13"/>
      <c r="AP21" s="13">
        <f>48.4/454</f>
        <v>0.1066079295154185</v>
      </c>
      <c r="AQ21" s="13"/>
      <c r="AR21" s="13">
        <f>45.5/454</f>
        <v>0.10022026431718062</v>
      </c>
    </row>
    <row r="22" spans="6:37" ht="12.75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2:44" ht="12.75">
      <c r="B23" s="31" t="s">
        <v>172</v>
      </c>
      <c r="C23" s="32"/>
      <c r="D23" s="31" t="s">
        <v>134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8">
        <f>'emiss 2'!G23</f>
        <v>24900</v>
      </c>
      <c r="AN23" s="8">
        <f>'emiss 2'!I23</f>
        <v>24500</v>
      </c>
      <c r="AP23" s="8">
        <f>'emiss 2'!K23</f>
        <v>24600</v>
      </c>
      <c r="AR23" s="8">
        <f>'emiss 2'!M23</f>
        <v>24800</v>
      </c>
    </row>
    <row r="24" spans="2:44" ht="12.75">
      <c r="B24" s="31" t="s">
        <v>30</v>
      </c>
      <c r="C24" s="32"/>
      <c r="D24" s="31" t="s">
        <v>71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8">
        <f>'emiss 2'!G24</f>
        <v>11.8</v>
      </c>
      <c r="AN24" s="8">
        <f>'emiss 2'!I24</f>
        <v>11.5</v>
      </c>
      <c r="AP24" s="8">
        <f>'emiss 2'!K24</f>
        <v>12.1</v>
      </c>
      <c r="AR24" s="8">
        <f>'emiss 2'!M24</f>
        <v>11.7</v>
      </c>
    </row>
    <row r="25" spans="6:37" ht="12.75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2:37" ht="12.75">
      <c r="B26" s="8" t="s">
        <v>44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2:54" ht="12.75">
      <c r="B27" s="8" t="s">
        <v>6</v>
      </c>
      <c r="D27" s="8" t="s">
        <v>29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2">
        <f>AL12/60*454*1000000/(AL23*0.0283)*(21-7)/(21-AL24)</f>
        <v>41455245.88238755</v>
      </c>
      <c r="AM27" s="12"/>
      <c r="AN27" s="12">
        <f>AN12/60*454*1000000/(AN23*0.0283)*(21-7)/(21-AN24)</f>
        <v>41380553.85814359</v>
      </c>
      <c r="AO27" s="12"/>
      <c r="AP27" s="12">
        <f>AP12/60*454*1000000/(AP23*0.0283)*(21-7)/(21-AP24)</f>
        <v>47905923.852187276</v>
      </c>
      <c r="AQ27" s="12"/>
      <c r="AR27" s="12">
        <f>AR12/60*454*1000000/(AR23*0.0283)*(21-7)/(21-AR24)</f>
        <v>45134908.05734604</v>
      </c>
      <c r="AS27" s="12"/>
      <c r="AT27" s="12">
        <f>AVERAGE(AL27,AN27,AP27,AR27)</f>
        <v>43969157.91251612</v>
      </c>
      <c r="AU27" s="12"/>
      <c r="AV27" s="12">
        <f>AL27</f>
        <v>41455245.88238755</v>
      </c>
      <c r="AW27" s="12"/>
      <c r="AX27" s="12">
        <f>AN27</f>
        <v>41380553.85814359</v>
      </c>
      <c r="AY27" s="12"/>
      <c r="AZ27" s="12">
        <f>AP27</f>
        <v>47905923.852187276</v>
      </c>
      <c r="BA27" s="12"/>
      <c r="BB27" s="12">
        <f>AR27</f>
        <v>45134908.05734604</v>
      </c>
    </row>
    <row r="28" spans="2:54" ht="12.75">
      <c r="B28" s="8" t="s">
        <v>2</v>
      </c>
      <c r="D28" s="8" t="s">
        <v>29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2">
        <f>AL13/60*454*1000000/(AL$23*0.0283)*(21-7)/(21-AL$24)</f>
        <v>1688.0138981696234</v>
      </c>
      <c r="AM28" s="12"/>
      <c r="AN28" s="12">
        <f>AN13/60*454*1000000/(AN$23*0.0283)*(21-7)/(21-AN$24)</f>
        <v>1657.854884561226</v>
      </c>
      <c r="AO28" s="12"/>
      <c r="AP28" s="12">
        <f>AP13/60*454*1000000/(AP$23*0.0283)*(21-7)/(21-AP$24)</f>
        <v>1762.4268036065835</v>
      </c>
      <c r="AQ28" s="12"/>
      <c r="AR28" s="12">
        <f>AR13/60*454*1000000/(AR$23*0.0283)*(21-7)/(21-AR$24)</f>
        <v>1576.5012152388376</v>
      </c>
      <c r="AS28" s="12"/>
      <c r="AT28" s="12">
        <f aca="true" t="shared" si="0" ref="AT28:AT36">AVERAGE(AL28,AN28,AP28,AR28)</f>
        <v>1671.1992003940677</v>
      </c>
      <c r="AU28" s="12"/>
      <c r="AV28" s="12">
        <f>AL28</f>
        <v>1688.0138981696234</v>
      </c>
      <c r="AW28" s="12"/>
      <c r="AX28" s="12">
        <f>AN28</f>
        <v>1657.854884561226</v>
      </c>
      <c r="AY28" s="12"/>
      <c r="AZ28" s="12">
        <f>AP28</f>
        <v>1762.4268036065835</v>
      </c>
      <c r="BA28" s="12"/>
      <c r="BB28" s="12">
        <f>AR28</f>
        <v>1576.5012152388376</v>
      </c>
    </row>
    <row r="29" spans="2:54" ht="12.75">
      <c r="B29" s="8" t="s">
        <v>3</v>
      </c>
      <c r="D29" s="8" t="s">
        <v>29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2">
        <f aca="true" t="shared" si="1" ref="AL29:AL36">AL14/60*454*1000000/(AL$23*0.0283)*(21-7)/(21-AL$24)</f>
        <v>1360.488813450144</v>
      </c>
      <c r="AM29" s="12"/>
      <c r="AN29" s="12">
        <f aca="true" t="shared" si="2" ref="AN29:AN36">AN14/60*454*1000000/(AN$23*0.0283)*(21-7)/(21-AN$24)</f>
        <v>1385.0881621013664</v>
      </c>
      <c r="AO29" s="12"/>
      <c r="AP29" s="12">
        <f aca="true" t="shared" si="3" ref="AP29:AP36">AP14/60*454*1000000/(AP$23*0.0283)*(21-7)/(21-AP$24)</f>
        <v>1461.157264528535</v>
      </c>
      <c r="AQ29" s="12"/>
      <c r="AR29" s="12">
        <f aca="true" t="shared" si="4" ref="AR29:AR36">AR14/60*454*1000000/(AR$23*0.0283)*(21-7)/(21-AR$24)</f>
        <v>1387.0350827951677</v>
      </c>
      <c r="AS29" s="12"/>
      <c r="AT29" s="12">
        <f t="shared" si="0"/>
        <v>1398.4423307188033</v>
      </c>
      <c r="AU29" s="12"/>
      <c r="AV29" s="12">
        <f>AL29</f>
        <v>1360.488813450144</v>
      </c>
      <c r="AW29" s="12"/>
      <c r="AX29" s="12">
        <f>AN29</f>
        <v>1385.0881621013664</v>
      </c>
      <c r="AY29" s="12"/>
      <c r="AZ29" s="12">
        <f>AP29</f>
        <v>1461.157264528535</v>
      </c>
      <c r="BA29" s="12"/>
      <c r="BB29" s="12">
        <f>AR29</f>
        <v>1387.0350827951677</v>
      </c>
    </row>
    <row r="30" spans="2:54" ht="12.75">
      <c r="B30" s="8" t="s">
        <v>11</v>
      </c>
      <c r="D30" s="8" t="s">
        <v>29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2"/>
      <c r="AN30" s="12"/>
      <c r="AP30" s="12"/>
      <c r="AR30" s="12"/>
      <c r="AS30" s="12"/>
      <c r="AU30" s="12"/>
      <c r="AV30" s="11"/>
      <c r="AX30" s="11"/>
      <c r="AZ30" s="11"/>
      <c r="BB30" s="11"/>
    </row>
    <row r="31" spans="2:54" ht="12.75">
      <c r="B31" s="8" t="s">
        <v>4</v>
      </c>
      <c r="D31" s="8" t="s">
        <v>29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2">
        <f t="shared" si="1"/>
        <v>3361.631089318611</v>
      </c>
      <c r="AN31" s="12">
        <f t="shared" si="2"/>
        <v>3241.3188448152177</v>
      </c>
      <c r="AP31" s="12">
        <f t="shared" si="3"/>
        <v>3329.0284068124356</v>
      </c>
      <c r="AR31" s="12">
        <f t="shared" si="4"/>
        <v>3310.295068732797</v>
      </c>
      <c r="AS31" s="12"/>
      <c r="AT31" s="11">
        <f t="shared" si="0"/>
        <v>3310.5683524197657</v>
      </c>
      <c r="AU31" s="12"/>
      <c r="AV31" s="11">
        <f aca="true" t="shared" si="5" ref="AV31:AV36">AL31</f>
        <v>3361.631089318611</v>
      </c>
      <c r="AX31" s="11">
        <f aca="true" t="shared" si="6" ref="AX31:AX36">AN31</f>
        <v>3241.3188448152177</v>
      </c>
      <c r="AZ31" s="11">
        <f aca="true" t="shared" si="7" ref="AZ31:AZ36">AP31</f>
        <v>3329.0284068124356</v>
      </c>
      <c r="BB31" s="11">
        <f aca="true" t="shared" si="8" ref="BB31:BB36">AR31</f>
        <v>3310.295068732797</v>
      </c>
    </row>
    <row r="32" spans="2:54" ht="12.75">
      <c r="B32" s="8" t="s">
        <v>5</v>
      </c>
      <c r="D32" s="8" t="s">
        <v>29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12">
        <f t="shared" si="1"/>
        <v>1907.5636802343288</v>
      </c>
      <c r="AN32" s="12">
        <f t="shared" si="2"/>
        <v>2082.9458806025664</v>
      </c>
      <c r="AP32" s="12">
        <f t="shared" si="3"/>
        <v>2131.481988977193</v>
      </c>
      <c r="AR32" s="12">
        <f t="shared" si="4"/>
        <v>2044.8042973165875</v>
      </c>
      <c r="AS32" s="12"/>
      <c r="AT32" s="11">
        <f t="shared" si="0"/>
        <v>2041.698961782669</v>
      </c>
      <c r="AU32" s="12"/>
      <c r="AV32" s="11">
        <f t="shared" si="5"/>
        <v>1907.5636802343288</v>
      </c>
      <c r="AX32" s="11">
        <f t="shared" si="6"/>
        <v>2082.9458806025664</v>
      </c>
      <c r="AZ32" s="11">
        <f t="shared" si="7"/>
        <v>2131.481988977193</v>
      </c>
      <c r="BB32" s="11">
        <f t="shared" si="8"/>
        <v>2044.8042973165875</v>
      </c>
    </row>
    <row r="33" spans="2:54" ht="12.75">
      <c r="B33" s="8" t="s">
        <v>7</v>
      </c>
      <c r="D33" s="8" t="s">
        <v>29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12">
        <f t="shared" si="1"/>
        <v>10412.418352675311</v>
      </c>
      <c r="AN33" s="12">
        <f t="shared" si="2"/>
        <v>12072.58428757406</v>
      </c>
      <c r="AP33" s="12">
        <f t="shared" si="3"/>
        <v>12939.526703402182</v>
      </c>
      <c r="AR33" s="12">
        <f t="shared" si="4"/>
        <v>13419.92190931201</v>
      </c>
      <c r="AS33" s="12"/>
      <c r="AT33" s="11">
        <f t="shared" si="0"/>
        <v>12211.11281324089</v>
      </c>
      <c r="AU33" s="12"/>
      <c r="AV33" s="11">
        <f t="shared" si="5"/>
        <v>10412.418352675311</v>
      </c>
      <c r="AX33" s="11">
        <f t="shared" si="6"/>
        <v>12072.58428757406</v>
      </c>
      <c r="AZ33" s="11">
        <f t="shared" si="7"/>
        <v>12939.526703402182</v>
      </c>
      <c r="BB33" s="11">
        <f t="shared" si="8"/>
        <v>13419.92190931201</v>
      </c>
    </row>
    <row r="34" spans="2:54" ht="12.75">
      <c r="B34" s="8" t="s">
        <v>8</v>
      </c>
      <c r="D34" s="8" t="s">
        <v>29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2">
        <f t="shared" si="1"/>
        <v>21569.866293668554</v>
      </c>
      <c r="AN34" s="12">
        <f t="shared" si="2"/>
        <v>25491.29006261236</v>
      </c>
      <c r="AP34" s="12">
        <f t="shared" si="3"/>
        <v>22094.354822136385</v>
      </c>
      <c r="AR34" s="12">
        <f t="shared" si="4"/>
        <v>26475.21088448715</v>
      </c>
      <c r="AS34" s="12"/>
      <c r="AT34" s="11">
        <f t="shared" si="0"/>
        <v>23907.680515726115</v>
      </c>
      <c r="AU34" s="12"/>
      <c r="AV34" s="11">
        <f t="shared" si="5"/>
        <v>21569.866293668554</v>
      </c>
      <c r="AX34" s="11">
        <f t="shared" si="6"/>
        <v>25491.29006261236</v>
      </c>
      <c r="AZ34" s="11">
        <f t="shared" si="7"/>
        <v>22094.354822136385</v>
      </c>
      <c r="BB34" s="11">
        <f t="shared" si="8"/>
        <v>26475.21088448715</v>
      </c>
    </row>
    <row r="35" spans="2:54" ht="12.75">
      <c r="B35" s="8" t="s">
        <v>9</v>
      </c>
      <c r="D35" s="8" t="s">
        <v>29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2">
        <f t="shared" si="1"/>
        <v>1799.588377579556</v>
      </c>
      <c r="AN35" s="12">
        <f t="shared" si="2"/>
        <v>1774.754908472595</v>
      </c>
      <c r="AP35" s="12">
        <f t="shared" si="3"/>
        <v>1879.1687499993275</v>
      </c>
      <c r="AR35" s="12">
        <f t="shared" si="4"/>
        <v>1698.0455266177958</v>
      </c>
      <c r="AS35" s="12"/>
      <c r="AT35" s="11">
        <f t="shared" si="0"/>
        <v>1787.8893906673186</v>
      </c>
      <c r="AU35" s="12"/>
      <c r="AV35" s="11">
        <f t="shared" si="5"/>
        <v>1799.588377579556</v>
      </c>
      <c r="AX35" s="11">
        <f t="shared" si="6"/>
        <v>1774.754908472595</v>
      </c>
      <c r="AZ35" s="11">
        <f t="shared" si="7"/>
        <v>1879.1687499993275</v>
      </c>
      <c r="BB35" s="11">
        <f t="shared" si="8"/>
        <v>1698.0455266177958</v>
      </c>
    </row>
    <row r="36" spans="2:54" ht="12.75">
      <c r="B36" s="8" t="s">
        <v>10</v>
      </c>
      <c r="D36" s="8" t="s">
        <v>29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2">
        <f t="shared" si="1"/>
        <v>1745.6007262521694</v>
      </c>
      <c r="AN36" s="12">
        <f t="shared" si="2"/>
        <v>1710.9912590663935</v>
      </c>
      <c r="AP36" s="12">
        <f t="shared" si="3"/>
        <v>1822.6807114221933</v>
      </c>
      <c r="AR36" s="12">
        <f t="shared" si="4"/>
        <v>1626.5488728654675</v>
      </c>
      <c r="AS36" s="12"/>
      <c r="AT36" s="11">
        <f t="shared" si="0"/>
        <v>1726.4553924015559</v>
      </c>
      <c r="AU36" s="12"/>
      <c r="AV36" s="11">
        <f t="shared" si="5"/>
        <v>1745.6007262521694</v>
      </c>
      <c r="AX36" s="11">
        <f t="shared" si="6"/>
        <v>1710.9912590663935</v>
      </c>
      <c r="AZ36" s="11">
        <f t="shared" si="7"/>
        <v>1822.6807114221933</v>
      </c>
      <c r="BB36" s="11">
        <f t="shared" si="8"/>
        <v>1626.5488728654675</v>
      </c>
    </row>
    <row r="37" spans="6:54" ht="12.75"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T37" s="12"/>
      <c r="AV37" s="11"/>
      <c r="AX37" s="11"/>
      <c r="AZ37" s="11"/>
      <c r="BB37" s="11"/>
    </row>
    <row r="38" spans="2:54" ht="12.75">
      <c r="B38" s="8" t="s">
        <v>35</v>
      </c>
      <c r="D38" s="8" t="s">
        <v>29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2">
        <f>AL32+AL34</f>
        <v>23477.429973902883</v>
      </c>
      <c r="AN38" s="12">
        <f>AN32+AN34</f>
        <v>27574.235943214924</v>
      </c>
      <c r="AP38" s="12">
        <f>AP32+AP34</f>
        <v>24225.83681111358</v>
      </c>
      <c r="AR38" s="12">
        <f>AR32+AR34</f>
        <v>28520.015181803738</v>
      </c>
      <c r="AS38" s="12"/>
      <c r="AT38" s="12">
        <f>AVERAGE(AL38,AN38,AP38,AR38)</f>
        <v>25949.37947750878</v>
      </c>
      <c r="AU38" s="12"/>
      <c r="AV38" s="11">
        <f>AL38</f>
        <v>23477.429973902883</v>
      </c>
      <c r="AX38" s="11">
        <f>AN38</f>
        <v>27574.235943214924</v>
      </c>
      <c r="AZ38" s="11">
        <f>AP38</f>
        <v>24225.83681111358</v>
      </c>
      <c r="BB38" s="11">
        <f>AR38</f>
        <v>28520.015181803738</v>
      </c>
    </row>
    <row r="39" spans="2:54" ht="12.75">
      <c r="B39" s="8" t="s">
        <v>36</v>
      </c>
      <c r="D39" s="8" t="s">
        <v>29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2">
        <f>AL29+AL33</f>
        <v>11772.907166125455</v>
      </c>
      <c r="AN39" s="12">
        <f>AN29+AN33</f>
        <v>13457.672449675427</v>
      </c>
      <c r="AP39" s="12">
        <f>AP29+AP33</f>
        <v>14400.683967930716</v>
      </c>
      <c r="AR39" s="12">
        <f>AR29+AR33</f>
        <v>14806.956992107178</v>
      </c>
      <c r="AS39" s="12"/>
      <c r="AT39" s="12">
        <f>AVERAGE(AL39,AN39,AP39,AR39)</f>
        <v>13609.555143959693</v>
      </c>
      <c r="AU39" s="12"/>
      <c r="AV39" s="11">
        <f>AL39</f>
        <v>11772.907166125455</v>
      </c>
      <c r="AX39" s="11">
        <f>AN39</f>
        <v>13457.672449675427</v>
      </c>
      <c r="AZ39" s="11">
        <f>AP39</f>
        <v>14400.683967930716</v>
      </c>
      <c r="BB39" s="11">
        <f>AR39</f>
        <v>14806.956992107178</v>
      </c>
    </row>
    <row r="40" spans="6:48" ht="12.75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2"/>
      <c r="AN40" s="12"/>
      <c r="AP40" s="12"/>
      <c r="AR40" s="12"/>
      <c r="AS40" s="12"/>
      <c r="AT40" s="12"/>
      <c r="AU40" s="12"/>
      <c r="AV40" s="12"/>
    </row>
    <row r="41" spans="6:48" ht="12.75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2"/>
      <c r="AN41" s="12"/>
      <c r="AP41" s="12"/>
      <c r="AR41" s="12"/>
      <c r="AS41" s="12"/>
      <c r="AT41" s="12"/>
      <c r="AU41" s="12"/>
      <c r="AV41" s="12"/>
    </row>
    <row r="42" spans="6:48" ht="12.75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2"/>
      <c r="AN42" s="12"/>
      <c r="AP42" s="12"/>
      <c r="AR42" s="12"/>
      <c r="AS42" s="12"/>
      <c r="AT42" s="12"/>
      <c r="AU42" s="12"/>
      <c r="AV42" s="12"/>
    </row>
    <row r="43" spans="2:48" ht="12.75">
      <c r="B43" s="10" t="s">
        <v>15</v>
      </c>
      <c r="C43" s="10"/>
      <c r="F43" s="27" t="s">
        <v>1</v>
      </c>
      <c r="G43" s="27"/>
      <c r="H43" s="27" t="s">
        <v>12</v>
      </c>
      <c r="I43" s="27"/>
      <c r="J43" s="27" t="s">
        <v>13</v>
      </c>
      <c r="K43" s="27"/>
      <c r="L43" s="27" t="s">
        <v>14</v>
      </c>
      <c r="M43" s="27"/>
      <c r="N43" s="27" t="s">
        <v>1</v>
      </c>
      <c r="O43" s="27"/>
      <c r="P43" s="27" t="s">
        <v>12</v>
      </c>
      <c r="Q43" s="27"/>
      <c r="R43" s="27" t="s">
        <v>13</v>
      </c>
      <c r="S43" s="27"/>
      <c r="T43" s="27" t="s">
        <v>14</v>
      </c>
      <c r="U43" s="27"/>
      <c r="V43" s="27" t="s">
        <v>1</v>
      </c>
      <c r="W43" s="27"/>
      <c r="X43" s="27" t="s">
        <v>12</v>
      </c>
      <c r="Y43" s="27"/>
      <c r="Z43" s="27" t="s">
        <v>13</v>
      </c>
      <c r="AA43" s="27"/>
      <c r="AB43" s="27" t="s">
        <v>14</v>
      </c>
      <c r="AC43" s="27"/>
      <c r="AD43" s="27" t="s">
        <v>1</v>
      </c>
      <c r="AE43" s="27"/>
      <c r="AF43" s="27" t="s">
        <v>12</v>
      </c>
      <c r="AG43" s="27"/>
      <c r="AH43" s="27" t="s">
        <v>13</v>
      </c>
      <c r="AI43" s="27"/>
      <c r="AJ43" s="27" t="s">
        <v>14</v>
      </c>
      <c r="AK43" s="27"/>
      <c r="AL43" s="27" t="s">
        <v>1</v>
      </c>
      <c r="AM43" s="27"/>
      <c r="AN43" s="27" t="s">
        <v>12</v>
      </c>
      <c r="AO43" s="27"/>
      <c r="AP43" s="27" t="s">
        <v>13</v>
      </c>
      <c r="AQ43" s="27"/>
      <c r="AR43" s="27" t="s">
        <v>14</v>
      </c>
      <c r="AS43" s="27"/>
      <c r="AT43" s="27" t="s">
        <v>18</v>
      </c>
      <c r="AU43" s="27"/>
      <c r="AV43" s="27" t="s">
        <v>34</v>
      </c>
    </row>
    <row r="44" spans="2:48" ht="12.75">
      <c r="B44" s="10"/>
      <c r="C44" s="10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2:48" ht="12.75">
      <c r="B45" s="8" t="s">
        <v>160</v>
      </c>
      <c r="F45" s="8" t="s">
        <v>162</v>
      </c>
      <c r="H45" s="8" t="s">
        <v>162</v>
      </c>
      <c r="J45" s="8" t="s">
        <v>162</v>
      </c>
      <c r="L45" s="8" t="s">
        <v>162</v>
      </c>
      <c r="N45" s="8" t="s">
        <v>164</v>
      </c>
      <c r="P45" s="8" t="s">
        <v>164</v>
      </c>
      <c r="R45" s="8" t="s">
        <v>164</v>
      </c>
      <c r="T45" s="8" t="s">
        <v>164</v>
      </c>
      <c r="V45" s="8" t="s">
        <v>165</v>
      </c>
      <c r="X45" s="8" t="s">
        <v>165</v>
      </c>
      <c r="Z45" s="8" t="s">
        <v>165</v>
      </c>
      <c r="AB45" s="8" t="s">
        <v>165</v>
      </c>
      <c r="AL45" s="8" t="s">
        <v>166</v>
      </c>
      <c r="AN45" s="8" t="s">
        <v>166</v>
      </c>
      <c r="AP45" s="8" t="s">
        <v>166</v>
      </c>
      <c r="AR45" s="8" t="s">
        <v>166</v>
      </c>
      <c r="AT45" s="8" t="s">
        <v>166</v>
      </c>
      <c r="AV45" s="8" t="s">
        <v>166</v>
      </c>
    </row>
    <row r="46" spans="2:48" ht="12.75">
      <c r="B46" s="8" t="s">
        <v>161</v>
      </c>
      <c r="F46" s="8" t="s">
        <v>163</v>
      </c>
      <c r="H46" s="8" t="s">
        <v>163</v>
      </c>
      <c r="J46" s="8" t="s">
        <v>163</v>
      </c>
      <c r="L46" s="8" t="s">
        <v>163</v>
      </c>
      <c r="N46" s="8" t="s">
        <v>163</v>
      </c>
      <c r="P46" s="8" t="s">
        <v>163</v>
      </c>
      <c r="R46" s="8" t="s">
        <v>163</v>
      </c>
      <c r="T46" s="8" t="s">
        <v>163</v>
      </c>
      <c r="V46" s="8" t="s">
        <v>163</v>
      </c>
      <c r="X46" s="8" t="s">
        <v>163</v>
      </c>
      <c r="Z46" s="8" t="s">
        <v>163</v>
      </c>
      <c r="AB46" s="8" t="s">
        <v>163</v>
      </c>
      <c r="AL46" s="8" t="s">
        <v>43</v>
      </c>
      <c r="AN46" s="8" t="s">
        <v>43</v>
      </c>
      <c r="AP46" s="8" t="s">
        <v>43</v>
      </c>
      <c r="AR46" s="8" t="s">
        <v>43</v>
      </c>
      <c r="AT46" s="8" t="s">
        <v>43</v>
      </c>
      <c r="AV46" s="8" t="s">
        <v>43</v>
      </c>
    </row>
    <row r="47" spans="2:48" ht="12.75">
      <c r="B47" s="8" t="s">
        <v>170</v>
      </c>
      <c r="AL47" s="8" t="s">
        <v>43</v>
      </c>
      <c r="AN47" s="8" t="s">
        <v>43</v>
      </c>
      <c r="AP47" s="8" t="s">
        <v>43</v>
      </c>
      <c r="AR47" s="8" t="s">
        <v>43</v>
      </c>
      <c r="AT47" s="8" t="s">
        <v>43</v>
      </c>
      <c r="AV47" s="8" t="s">
        <v>43</v>
      </c>
    </row>
    <row r="48" spans="2:48" ht="12.75">
      <c r="B48" s="8" t="s">
        <v>159</v>
      </c>
      <c r="F48" s="8" t="s">
        <v>37</v>
      </c>
      <c r="N48" s="8" t="s">
        <v>38</v>
      </c>
      <c r="V48" s="8" t="s">
        <v>39</v>
      </c>
      <c r="AD48" s="8" t="s">
        <v>40</v>
      </c>
      <c r="AL48" s="8" t="s">
        <v>43</v>
      </c>
      <c r="AN48" s="8" t="s">
        <v>43</v>
      </c>
      <c r="AP48" s="8" t="s">
        <v>43</v>
      </c>
      <c r="AR48" s="8" t="s">
        <v>43</v>
      </c>
      <c r="AT48" s="8" t="s">
        <v>43</v>
      </c>
      <c r="AV48" s="8" t="s">
        <v>43</v>
      </c>
    </row>
    <row r="49" spans="1:37" ht="12.75">
      <c r="A49" s="8" t="s">
        <v>15</v>
      </c>
      <c r="B49" s="8" t="s">
        <v>11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44" ht="12.75">
      <c r="A50" s="8" t="s">
        <v>15</v>
      </c>
      <c r="B50" s="8" t="s">
        <v>6</v>
      </c>
      <c r="F50" s="9">
        <v>335</v>
      </c>
      <c r="G50" s="9"/>
      <c r="H50" s="9">
        <v>327</v>
      </c>
      <c r="I50" s="9"/>
      <c r="J50" s="9">
        <v>338</v>
      </c>
      <c r="K50" s="9"/>
      <c r="L50" s="9">
        <v>341</v>
      </c>
      <c r="M50" s="9"/>
      <c r="N50" s="9">
        <v>594</v>
      </c>
      <c r="O50" s="9"/>
      <c r="P50" s="9">
        <v>581</v>
      </c>
      <c r="Q50" s="9"/>
      <c r="R50" s="9">
        <v>581</v>
      </c>
      <c r="S50" s="9"/>
      <c r="T50" s="9">
        <v>602</v>
      </c>
      <c r="U50" s="9"/>
      <c r="V50" s="9">
        <v>335</v>
      </c>
      <c r="W50" s="9"/>
      <c r="X50" s="9">
        <v>327</v>
      </c>
      <c r="Y50" s="9"/>
      <c r="Z50" s="9">
        <v>338</v>
      </c>
      <c r="AA50" s="9"/>
      <c r="AB50" s="9">
        <v>359</v>
      </c>
      <c r="AC50" s="9"/>
      <c r="AD50" s="9"/>
      <c r="AE50" s="9"/>
      <c r="AF50" s="9"/>
      <c r="AG50" s="9"/>
      <c r="AH50" s="9"/>
      <c r="AI50" s="9"/>
      <c r="AJ50" s="9"/>
      <c r="AK50" s="9"/>
      <c r="AL50" s="8">
        <v>2093</v>
      </c>
      <c r="AN50" s="8">
        <v>2041</v>
      </c>
      <c r="AP50" s="8">
        <v>2062</v>
      </c>
      <c r="AR50" s="8">
        <v>2093</v>
      </c>
    </row>
    <row r="51" spans="1:37" ht="12.75">
      <c r="A51" s="8" t="s">
        <v>15</v>
      </c>
      <c r="B51" s="8" t="s">
        <v>173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ht="12.75">
      <c r="A52" s="8" t="s">
        <v>15</v>
      </c>
      <c r="B52" s="8" t="s">
        <v>174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6:37" ht="12.75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2:44" ht="12.75">
      <c r="B54" s="8" t="s">
        <v>172</v>
      </c>
      <c r="D54" s="8" t="s">
        <v>134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8">
        <f>'emiss 2'!G40</f>
        <v>25300</v>
      </c>
      <c r="AN54" s="8">
        <f>'emiss 2'!I40</f>
        <v>25300</v>
      </c>
      <c r="AP54" s="8">
        <f>'emiss 2'!K40</f>
        <v>24500</v>
      </c>
      <c r="AR54" s="8">
        <f>'emiss 2'!M40</f>
        <v>24400</v>
      </c>
    </row>
    <row r="55" spans="2:44" ht="12.75">
      <c r="B55" s="8" t="s">
        <v>30</v>
      </c>
      <c r="D55" s="8" t="s">
        <v>71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8">
        <f>'emiss 2'!G41</f>
        <v>11.1</v>
      </c>
      <c r="AN55" s="8">
        <f>'emiss 2'!I41</f>
        <v>10.8</v>
      </c>
      <c r="AP55" s="8">
        <f>'emiss 2'!K41</f>
        <v>11.1</v>
      </c>
      <c r="AR55" s="8">
        <f>'emiss 2'!M41</f>
        <v>10.8</v>
      </c>
    </row>
    <row r="56" spans="6:37" ht="12.75"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2:37" ht="12.75">
      <c r="B57" s="8" t="s">
        <v>44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2:48" ht="12.75">
      <c r="B58" s="8" t="s">
        <v>6</v>
      </c>
      <c r="D58" s="8" t="s">
        <v>29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1">
        <f>AL50/60*454*1000000/(AL54*0.0283)*(21-7)/(21-AL55)</f>
        <v>31279493.72729327</v>
      </c>
      <c r="AN58" s="11">
        <f>AN50/60*454*1000000/(AN54*0.0283)*(21-7)/(21-AN55)</f>
        <v>29605235.111638013</v>
      </c>
      <c r="AP58" s="11">
        <f>AP50/60*454*1000000/(AP54*0.0283)*(21-7)/(21-AP55)</f>
        <v>31822447.935522143</v>
      </c>
      <c r="AR58" s="11">
        <f>AR50/60*454*1000000/(AR54*0.0283)*(21-7)/(21-AR55)</f>
        <v>31479326.55848259</v>
      </c>
      <c r="AS58" s="11"/>
      <c r="AT58" s="11"/>
      <c r="AU58" s="11"/>
      <c r="AV58" s="11">
        <f>AVERAGE(AL58,AN58,AP58,AR58)</f>
        <v>31046625.833234005</v>
      </c>
    </row>
    <row r="59" spans="6:37" ht="12.75"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2:48" ht="12.75">
      <c r="B60" s="10" t="s">
        <v>16</v>
      </c>
      <c r="C60" s="10"/>
      <c r="F60" s="27" t="s">
        <v>1</v>
      </c>
      <c r="G60" s="27"/>
      <c r="H60" s="27" t="s">
        <v>12</v>
      </c>
      <c r="I60" s="27"/>
      <c r="J60" s="27" t="s">
        <v>13</v>
      </c>
      <c r="K60" s="27"/>
      <c r="L60" s="27" t="s">
        <v>14</v>
      </c>
      <c r="M60" s="27"/>
      <c r="N60" s="27" t="s">
        <v>1</v>
      </c>
      <c r="O60" s="27"/>
      <c r="P60" s="27" t="s">
        <v>12</v>
      </c>
      <c r="Q60" s="27"/>
      <c r="R60" s="27" t="s">
        <v>13</v>
      </c>
      <c r="S60" s="27"/>
      <c r="T60" s="27" t="s">
        <v>14</v>
      </c>
      <c r="U60" s="27"/>
      <c r="V60" s="27" t="s">
        <v>1</v>
      </c>
      <c r="W60" s="27"/>
      <c r="X60" s="27" t="s">
        <v>12</v>
      </c>
      <c r="Y60" s="27"/>
      <c r="Z60" s="27" t="s">
        <v>13</v>
      </c>
      <c r="AA60" s="27"/>
      <c r="AB60" s="27" t="s">
        <v>14</v>
      </c>
      <c r="AC60" s="27"/>
      <c r="AD60" s="27" t="s">
        <v>1</v>
      </c>
      <c r="AE60" s="27"/>
      <c r="AF60" s="27" t="s">
        <v>12</v>
      </c>
      <c r="AG60" s="27"/>
      <c r="AH60" s="27" t="s">
        <v>13</v>
      </c>
      <c r="AI60" s="27"/>
      <c r="AJ60" s="27" t="s">
        <v>14</v>
      </c>
      <c r="AK60" s="27"/>
      <c r="AL60" s="27" t="s">
        <v>1</v>
      </c>
      <c r="AM60" s="27"/>
      <c r="AN60" s="27" t="s">
        <v>12</v>
      </c>
      <c r="AO60" s="27"/>
      <c r="AP60" s="27" t="s">
        <v>13</v>
      </c>
      <c r="AQ60" s="27"/>
      <c r="AR60" s="27" t="s">
        <v>14</v>
      </c>
      <c r="AS60" s="27"/>
      <c r="AT60" s="27" t="s">
        <v>18</v>
      </c>
      <c r="AU60" s="27"/>
      <c r="AV60" s="27" t="s">
        <v>34</v>
      </c>
    </row>
    <row r="61" spans="2:37" ht="12.75">
      <c r="B61" s="10"/>
      <c r="C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2:48" ht="12.75">
      <c r="B62" s="8" t="s">
        <v>160</v>
      </c>
      <c r="F62" s="8" t="s">
        <v>162</v>
      </c>
      <c r="H62" s="8" t="s">
        <v>162</v>
      </c>
      <c r="J62" s="8" t="s">
        <v>162</v>
      </c>
      <c r="L62" s="8" t="s">
        <v>162</v>
      </c>
      <c r="N62" s="8" t="s">
        <v>164</v>
      </c>
      <c r="P62" s="8" t="s">
        <v>164</v>
      </c>
      <c r="R62" s="8" t="s">
        <v>164</v>
      </c>
      <c r="T62" s="8" t="s">
        <v>164</v>
      </c>
      <c r="V62" s="8" t="s">
        <v>165</v>
      </c>
      <c r="X62" s="8" t="s">
        <v>165</v>
      </c>
      <c r="Z62" s="8" t="s">
        <v>165</v>
      </c>
      <c r="AB62" s="8" t="s">
        <v>165</v>
      </c>
      <c r="AL62" s="8" t="s">
        <v>166</v>
      </c>
      <c r="AN62" s="8" t="s">
        <v>166</v>
      </c>
      <c r="AP62" s="8" t="s">
        <v>166</v>
      </c>
      <c r="AR62" s="8" t="s">
        <v>166</v>
      </c>
      <c r="AT62" s="8" t="s">
        <v>166</v>
      </c>
      <c r="AV62" s="8" t="s">
        <v>166</v>
      </c>
    </row>
    <row r="63" spans="2:48" ht="12.75">
      <c r="B63" s="8" t="s">
        <v>161</v>
      </c>
      <c r="F63" s="8" t="s">
        <v>163</v>
      </c>
      <c r="H63" s="8" t="s">
        <v>163</v>
      </c>
      <c r="J63" s="8" t="s">
        <v>163</v>
      </c>
      <c r="L63" s="8" t="s">
        <v>163</v>
      </c>
      <c r="N63" s="8" t="s">
        <v>163</v>
      </c>
      <c r="P63" s="8" t="s">
        <v>163</v>
      </c>
      <c r="R63" s="8" t="s">
        <v>163</v>
      </c>
      <c r="T63" s="8" t="s">
        <v>163</v>
      </c>
      <c r="V63" s="8" t="s">
        <v>163</v>
      </c>
      <c r="X63" s="8" t="s">
        <v>163</v>
      </c>
      <c r="Z63" s="8" t="s">
        <v>163</v>
      </c>
      <c r="AB63" s="8" t="s">
        <v>163</v>
      </c>
      <c r="AL63" s="8" t="s">
        <v>43</v>
      </c>
      <c r="AN63" s="8" t="s">
        <v>43</v>
      </c>
      <c r="AP63" s="8" t="s">
        <v>43</v>
      </c>
      <c r="AR63" s="8" t="s">
        <v>43</v>
      </c>
      <c r="AT63" s="8" t="s">
        <v>43</v>
      </c>
      <c r="AV63" s="8" t="s">
        <v>43</v>
      </c>
    </row>
    <row r="64" spans="2:48" ht="12.75">
      <c r="B64" s="8" t="s">
        <v>170</v>
      </c>
      <c r="AL64" s="8" t="s">
        <v>43</v>
      </c>
      <c r="AN64" s="8" t="s">
        <v>43</v>
      </c>
      <c r="AP64" s="8" t="s">
        <v>43</v>
      </c>
      <c r="AR64" s="8" t="s">
        <v>43</v>
      </c>
      <c r="AT64" s="8" t="s">
        <v>43</v>
      </c>
      <c r="AV64" s="8" t="s">
        <v>43</v>
      </c>
    </row>
    <row r="65" spans="2:48" ht="12.75">
      <c r="B65" s="8" t="s">
        <v>159</v>
      </c>
      <c r="F65" s="8" t="s">
        <v>37</v>
      </c>
      <c r="N65" s="8" t="s">
        <v>38</v>
      </c>
      <c r="V65" s="8" t="s">
        <v>39</v>
      </c>
      <c r="AD65" s="8" t="s">
        <v>40</v>
      </c>
      <c r="AL65" s="8" t="s">
        <v>43</v>
      </c>
      <c r="AN65" s="8" t="s">
        <v>43</v>
      </c>
      <c r="AP65" s="8" t="s">
        <v>43</v>
      </c>
      <c r="AR65" s="8" t="s">
        <v>43</v>
      </c>
      <c r="AT65" s="8" t="s">
        <v>43</v>
      </c>
      <c r="AV65" s="8" t="s">
        <v>43</v>
      </c>
    </row>
    <row r="66" spans="1:44" ht="12.75">
      <c r="A66" s="8" t="s">
        <v>16</v>
      </c>
      <c r="B66" s="8" t="s">
        <v>11</v>
      </c>
      <c r="D66" s="8" t="s">
        <v>41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8">
        <v>9634</v>
      </c>
      <c r="AN66" s="8">
        <v>8990</v>
      </c>
      <c r="AP66" s="8">
        <v>8782</v>
      </c>
      <c r="AR66" s="8">
        <v>8970</v>
      </c>
    </row>
    <row r="67" spans="1:44" ht="12.75">
      <c r="A67" s="8" t="s">
        <v>16</v>
      </c>
      <c r="B67" s="8" t="s">
        <v>6</v>
      </c>
      <c r="D67" s="8" t="s">
        <v>41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8">
        <v>888</v>
      </c>
      <c r="AN67" s="8">
        <v>926</v>
      </c>
      <c r="AP67" s="8">
        <v>903</v>
      </c>
      <c r="AR67" s="8">
        <v>903</v>
      </c>
    </row>
    <row r="68" spans="1:37" ht="12.75">
      <c r="A68" s="8" t="s">
        <v>16</v>
      </c>
      <c r="B68" s="8" t="s">
        <v>173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2.75">
      <c r="A69" s="8" t="s">
        <v>16</v>
      </c>
      <c r="B69" s="8" t="s">
        <v>174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6:37" ht="12.75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2:44" ht="12.75">
      <c r="B71" s="8" t="s">
        <v>172</v>
      </c>
      <c r="D71" s="8" t="s">
        <v>134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8">
        <f>'emiss 2'!G59</f>
        <v>25300</v>
      </c>
      <c r="AN71" s="8">
        <f>'emiss 2'!I59</f>
        <v>26200</v>
      </c>
      <c r="AP71" s="8">
        <f>'emiss 2'!K59</f>
        <v>25800</v>
      </c>
      <c r="AR71" s="8">
        <f>'emiss 2'!M59</f>
        <v>25400</v>
      </c>
    </row>
    <row r="72" spans="2:44" ht="12.75">
      <c r="B72" s="8" t="s">
        <v>30</v>
      </c>
      <c r="D72" s="8" t="s">
        <v>71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8">
        <f>'emiss 2'!G60</f>
        <v>11.7</v>
      </c>
      <c r="AN72" s="8">
        <f>'emiss 2'!I60</f>
        <v>11.4</v>
      </c>
      <c r="AP72" s="8">
        <f>'emiss 2'!K60</f>
        <v>11.8</v>
      </c>
      <c r="AR72" s="8">
        <f>'emiss 2'!M60</f>
        <v>11.7</v>
      </c>
    </row>
    <row r="73" spans="6:37" ht="12.75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2:37" ht="12.75">
      <c r="B74" s="8" t="s">
        <v>44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2:48" ht="12.75">
      <c r="B75" s="8" t="s">
        <v>11</v>
      </c>
      <c r="D75" s="8" t="s">
        <v>45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2">
        <f>AL66/60*454*1000/(AL71*0.0283)*(21-7)/(21-AL72)</f>
        <v>153267.25343724136</v>
      </c>
      <c r="AM75" s="12"/>
      <c r="AN75" s="12">
        <f>AN66/60*454*1000/(AN71*0.0283)*(21-7)/(21-AN72)</f>
        <v>133792.99325355084</v>
      </c>
      <c r="AO75" s="12"/>
      <c r="AP75" s="12">
        <f>AP66/60*454*1000/(AP71*0.0283)*(21-7)/(21-AP72)</f>
        <v>138494.36459078925</v>
      </c>
      <c r="AQ75" s="12"/>
      <c r="AR75" s="12">
        <f>AR66/60*454*1000/(AR71*0.0283)*(21-7)/(21-AR72)</f>
        <v>142141.85554401734</v>
      </c>
      <c r="AS75" s="12"/>
      <c r="AT75" s="12"/>
      <c r="AU75" s="12"/>
      <c r="AV75" s="12">
        <f>AVERAGE(AL75,AN75,AP75,AR75)</f>
        <v>141924.1167063997</v>
      </c>
    </row>
    <row r="76" spans="2:48" ht="12.75">
      <c r="B76" s="8" t="s">
        <v>6</v>
      </c>
      <c r="D76" s="8" t="s">
        <v>29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2">
        <f>AL67/60*454*1000000/(AL71*0.0283)*(21-7)/(21-AL72)</f>
        <v>14127187.155103838</v>
      </c>
      <c r="AM76" s="12"/>
      <c r="AN76" s="12">
        <f>AN67/60*454*1000000/(AN71*0.0283)*(21-7)/(21-AN72)</f>
        <v>13781124.77784072</v>
      </c>
      <c r="AO76" s="12"/>
      <c r="AP76" s="12">
        <f>AP67/60*454*1000000/(AP71*0.0283)*(21-7)/(21-AP72)</f>
        <v>14240538.741230097</v>
      </c>
      <c r="AQ76" s="12"/>
      <c r="AR76" s="12">
        <f>AR67/60*454*1000000/(AR71*0.0283)*(21-7)/(21-AR72)</f>
        <v>14309263.718645226</v>
      </c>
      <c r="AS76" s="12"/>
      <c r="AT76" s="12"/>
      <c r="AU76" s="12"/>
      <c r="AV76" s="12">
        <f>AVERAGE(AL76,AN76,AP76,AR76)</f>
        <v>14114528.59820497</v>
      </c>
    </row>
    <row r="77" spans="6:37" ht="12.75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6:37" ht="12.75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2:48" ht="12.75">
      <c r="B79" s="10" t="s">
        <v>17</v>
      </c>
      <c r="C79" s="10"/>
      <c r="F79" s="27" t="s">
        <v>1</v>
      </c>
      <c r="G79" s="27"/>
      <c r="H79" s="27" t="s">
        <v>12</v>
      </c>
      <c r="I79" s="27"/>
      <c r="J79" s="27" t="s">
        <v>13</v>
      </c>
      <c r="K79" s="27"/>
      <c r="L79" s="27" t="s">
        <v>14</v>
      </c>
      <c r="M79" s="27"/>
      <c r="N79" s="27" t="s">
        <v>1</v>
      </c>
      <c r="O79" s="27"/>
      <c r="P79" s="27" t="s">
        <v>12</v>
      </c>
      <c r="Q79" s="27"/>
      <c r="R79" s="27" t="s">
        <v>13</v>
      </c>
      <c r="S79" s="27"/>
      <c r="T79" s="27" t="s">
        <v>14</v>
      </c>
      <c r="U79" s="27"/>
      <c r="V79" s="27" t="s">
        <v>1</v>
      </c>
      <c r="W79" s="27"/>
      <c r="X79" s="27" t="s">
        <v>12</v>
      </c>
      <c r="Y79" s="27"/>
      <c r="Z79" s="27" t="s">
        <v>13</v>
      </c>
      <c r="AA79" s="27"/>
      <c r="AB79" s="27" t="s">
        <v>14</v>
      </c>
      <c r="AC79" s="27"/>
      <c r="AD79" s="27" t="s">
        <v>1</v>
      </c>
      <c r="AE79" s="27"/>
      <c r="AF79" s="27" t="s">
        <v>12</v>
      </c>
      <c r="AG79" s="27"/>
      <c r="AH79" s="27" t="s">
        <v>13</v>
      </c>
      <c r="AI79" s="27"/>
      <c r="AJ79" s="27" t="s">
        <v>14</v>
      </c>
      <c r="AK79" s="27"/>
      <c r="AL79" s="27" t="s">
        <v>1</v>
      </c>
      <c r="AM79" s="27"/>
      <c r="AN79" s="27" t="s">
        <v>12</v>
      </c>
      <c r="AO79" s="27"/>
      <c r="AP79" s="27" t="s">
        <v>13</v>
      </c>
      <c r="AQ79" s="27"/>
      <c r="AR79" s="27" t="s">
        <v>14</v>
      </c>
      <c r="AS79" s="27"/>
      <c r="AT79" s="27" t="s">
        <v>18</v>
      </c>
      <c r="AU79" s="27"/>
      <c r="AV79" s="27" t="s">
        <v>34</v>
      </c>
    </row>
    <row r="80" spans="2:37" ht="12.75">
      <c r="B80" s="10"/>
      <c r="C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2:48" ht="12.75">
      <c r="B81" s="8" t="s">
        <v>160</v>
      </c>
      <c r="F81" s="8" t="s">
        <v>162</v>
      </c>
      <c r="H81" s="8" t="s">
        <v>162</v>
      </c>
      <c r="J81" s="8" t="s">
        <v>162</v>
      </c>
      <c r="L81" s="8" t="s">
        <v>162</v>
      </c>
      <c r="N81" s="8" t="s">
        <v>164</v>
      </c>
      <c r="P81" s="8" t="s">
        <v>164</v>
      </c>
      <c r="R81" s="8" t="s">
        <v>164</v>
      </c>
      <c r="T81" s="8" t="s">
        <v>164</v>
      </c>
      <c r="V81" s="8" t="s">
        <v>165</v>
      </c>
      <c r="X81" s="8" t="s">
        <v>165</v>
      </c>
      <c r="Z81" s="8" t="s">
        <v>165</v>
      </c>
      <c r="AB81" s="8" t="s">
        <v>165</v>
      </c>
      <c r="AL81" s="8" t="s">
        <v>166</v>
      </c>
      <c r="AN81" s="8" t="s">
        <v>166</v>
      </c>
      <c r="AP81" s="8" t="s">
        <v>166</v>
      </c>
      <c r="AR81" s="8" t="s">
        <v>166</v>
      </c>
      <c r="AT81" s="8" t="s">
        <v>166</v>
      </c>
      <c r="AV81" s="8" t="s">
        <v>166</v>
      </c>
    </row>
    <row r="82" spans="2:48" ht="12.75">
      <c r="B82" s="8" t="s">
        <v>161</v>
      </c>
      <c r="F82" s="8" t="s">
        <v>163</v>
      </c>
      <c r="H82" s="8" t="s">
        <v>163</v>
      </c>
      <c r="J82" s="8" t="s">
        <v>163</v>
      </c>
      <c r="L82" s="8" t="s">
        <v>163</v>
      </c>
      <c r="N82" s="8" t="s">
        <v>163</v>
      </c>
      <c r="P82" s="8" t="s">
        <v>163</v>
      </c>
      <c r="R82" s="8" t="s">
        <v>163</v>
      </c>
      <c r="T82" s="8" t="s">
        <v>163</v>
      </c>
      <c r="V82" s="8" t="s">
        <v>163</v>
      </c>
      <c r="X82" s="8" t="s">
        <v>163</v>
      </c>
      <c r="Z82" s="8" t="s">
        <v>163</v>
      </c>
      <c r="AB82" s="8" t="s">
        <v>163</v>
      </c>
      <c r="AL82" s="8" t="s">
        <v>43</v>
      </c>
      <c r="AN82" s="8" t="s">
        <v>43</v>
      </c>
      <c r="AP82" s="8" t="s">
        <v>43</v>
      </c>
      <c r="AR82" s="8" t="s">
        <v>43</v>
      </c>
      <c r="AT82" s="8" t="s">
        <v>43</v>
      </c>
      <c r="AV82" s="8" t="s">
        <v>43</v>
      </c>
    </row>
    <row r="83" spans="2:48" ht="12.75">
      <c r="B83" s="8" t="s">
        <v>170</v>
      </c>
      <c r="AL83" s="8" t="s">
        <v>43</v>
      </c>
      <c r="AN83" s="8" t="s">
        <v>43</v>
      </c>
      <c r="AP83" s="8" t="s">
        <v>43</v>
      </c>
      <c r="AR83" s="8" t="s">
        <v>43</v>
      </c>
      <c r="AT83" s="8" t="s">
        <v>43</v>
      </c>
      <c r="AV83" s="8" t="s">
        <v>43</v>
      </c>
    </row>
    <row r="84" spans="2:48" ht="12.75">
      <c r="B84" s="8" t="s">
        <v>159</v>
      </c>
      <c r="F84" s="8" t="s">
        <v>37</v>
      </c>
      <c r="N84" s="8" t="s">
        <v>38</v>
      </c>
      <c r="V84" s="8" t="s">
        <v>39</v>
      </c>
      <c r="AD84" s="8" t="s">
        <v>40</v>
      </c>
      <c r="AL84" s="8" t="s">
        <v>43</v>
      </c>
      <c r="AN84" s="8" t="s">
        <v>43</v>
      </c>
      <c r="AP84" s="8" t="s">
        <v>43</v>
      </c>
      <c r="AR84" s="8" t="s">
        <v>43</v>
      </c>
      <c r="AT84" s="8" t="s">
        <v>43</v>
      </c>
      <c r="AV84" s="8" t="s">
        <v>43</v>
      </c>
    </row>
    <row r="85" spans="1:48" ht="12.75">
      <c r="A85" s="8" t="s">
        <v>17</v>
      </c>
      <c r="B85" s="8" t="s">
        <v>11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8">
        <v>6298</v>
      </c>
      <c r="AN85" s="8">
        <v>6477</v>
      </c>
      <c r="AP85" s="8">
        <v>5800</v>
      </c>
      <c r="AR85" s="8">
        <v>5569</v>
      </c>
      <c r="AT85" s="8">
        <v>5581</v>
      </c>
      <c r="AV85" s="12"/>
    </row>
    <row r="86" spans="1:37" ht="12.75">
      <c r="A86" s="8" t="s">
        <v>17</v>
      </c>
      <c r="B86" s="8" t="s">
        <v>173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ht="12.75">
      <c r="A87" s="8" t="s">
        <v>17</v>
      </c>
      <c r="B87" s="8" t="s">
        <v>174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6:37" ht="12.75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2:46" ht="12.75">
      <c r="B89" s="8" t="s">
        <v>172</v>
      </c>
      <c r="D89" s="8" t="s">
        <v>134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8">
        <f>'emiss 2'!G73</f>
        <v>25900</v>
      </c>
      <c r="AN89" s="8">
        <f>'emiss 2'!I73</f>
        <v>26900</v>
      </c>
      <c r="AP89" s="8">
        <f>'emiss 2'!K73</f>
        <v>25400</v>
      </c>
      <c r="AR89" s="8">
        <f>'emiss 2'!M73</f>
        <v>26200</v>
      </c>
      <c r="AT89" s="8">
        <f>'emiss 2'!O73</f>
        <v>25300</v>
      </c>
    </row>
    <row r="90" spans="2:46" ht="12.75">
      <c r="B90" s="8" t="s">
        <v>30</v>
      </c>
      <c r="D90" s="8" t="s">
        <v>71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8">
        <f>'emiss 2'!G74</f>
        <v>11.8</v>
      </c>
      <c r="AN90" s="8">
        <f>'emiss 2'!I74</f>
        <v>11.9</v>
      </c>
      <c r="AP90" s="8">
        <f>'emiss 2'!K74</f>
        <v>11.1</v>
      </c>
      <c r="AR90" s="8">
        <f>'emiss 2'!M74</f>
        <v>11.1</v>
      </c>
      <c r="AT90" s="8">
        <f>'emiss 2'!O74</f>
        <v>10.9</v>
      </c>
    </row>
    <row r="91" spans="6:37" ht="12.75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2:37" ht="12.75">
      <c r="B92" s="8" t="s">
        <v>44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2:48" ht="12.75">
      <c r="B93" s="8" t="s">
        <v>11</v>
      </c>
      <c r="D93" s="8" t="s">
        <v>45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2">
        <f>AL85/60*454*1000/(AL89*0.0283)*(21-7)/(21-AL90)</f>
        <v>98937.5763841888</v>
      </c>
      <c r="AM93" s="12"/>
      <c r="AN93" s="12">
        <f>AN85/60*454*1000/(AN89*0.0283)*(21-7)/(21-AN90)</f>
        <v>99043.60223957739</v>
      </c>
      <c r="AO93" s="12"/>
      <c r="AP93" s="12">
        <f>AP85/60*454*1000/(AP89*0.0283)*(21-7)/(21-AP90)</f>
        <v>86338.65621706807</v>
      </c>
      <c r="AQ93" s="12"/>
      <c r="AR93" s="12">
        <f>AR85/60*454*1000/(AR89*0.0283)*(21-7)/(21-AR90)</f>
        <v>80368.69835753119</v>
      </c>
      <c r="AS93" s="12"/>
      <c r="AT93" s="12">
        <f>AT85/60*454*1000/(AT89*0.0283)*(21-7)/(21-AT90)</f>
        <v>81755.37787301544</v>
      </c>
      <c r="AU93" s="12"/>
      <c r="AV93" s="12">
        <f>AVERAGE(AL93,AN93,AP93,AR93,AT93)</f>
        <v>89288.78221427619</v>
      </c>
    </row>
    <row r="94" spans="6:37" ht="12.75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6:37" ht="12.75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6:37" ht="12.75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2:48" ht="12.75">
      <c r="B97" s="10" t="s">
        <v>19</v>
      </c>
      <c r="C97" s="10"/>
      <c r="F97" s="27" t="s">
        <v>1</v>
      </c>
      <c r="G97" s="27"/>
      <c r="H97" s="27" t="s">
        <v>12</v>
      </c>
      <c r="I97" s="27"/>
      <c r="J97" s="27" t="s">
        <v>13</v>
      </c>
      <c r="K97" s="27"/>
      <c r="L97" s="27" t="s">
        <v>14</v>
      </c>
      <c r="M97" s="27"/>
      <c r="N97" s="27" t="s">
        <v>1</v>
      </c>
      <c r="O97" s="27"/>
      <c r="P97" s="27" t="s">
        <v>12</v>
      </c>
      <c r="Q97" s="27"/>
      <c r="R97" s="27" t="s">
        <v>13</v>
      </c>
      <c r="S97" s="27"/>
      <c r="T97" s="27" t="s">
        <v>14</v>
      </c>
      <c r="U97" s="27"/>
      <c r="V97" s="27" t="s">
        <v>1</v>
      </c>
      <c r="W97" s="27"/>
      <c r="X97" s="27" t="s">
        <v>12</v>
      </c>
      <c r="Y97" s="27"/>
      <c r="Z97" s="27" t="s">
        <v>13</v>
      </c>
      <c r="AA97" s="27"/>
      <c r="AB97" s="27" t="s">
        <v>14</v>
      </c>
      <c r="AC97" s="27"/>
      <c r="AD97" s="27" t="s">
        <v>1</v>
      </c>
      <c r="AE97" s="27"/>
      <c r="AF97" s="27" t="s">
        <v>12</v>
      </c>
      <c r="AG97" s="27"/>
      <c r="AH97" s="27" t="s">
        <v>13</v>
      </c>
      <c r="AI97" s="27"/>
      <c r="AJ97" s="27" t="s">
        <v>14</v>
      </c>
      <c r="AK97" s="27"/>
      <c r="AL97" s="27" t="s">
        <v>1</v>
      </c>
      <c r="AM97" s="27"/>
      <c r="AN97" s="27" t="s">
        <v>12</v>
      </c>
      <c r="AO97" s="27"/>
      <c r="AP97" s="27" t="s">
        <v>13</v>
      </c>
      <c r="AQ97" s="27"/>
      <c r="AR97" s="27" t="s">
        <v>14</v>
      </c>
      <c r="AS97" s="27"/>
      <c r="AT97" s="27" t="s">
        <v>18</v>
      </c>
      <c r="AU97" s="27"/>
      <c r="AV97" s="27" t="s">
        <v>34</v>
      </c>
    </row>
    <row r="98" spans="2:37" ht="12.75">
      <c r="B98" s="10"/>
      <c r="C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2:48" ht="12.75">
      <c r="B99" s="8" t="s">
        <v>160</v>
      </c>
      <c r="F99" s="8" t="s">
        <v>162</v>
      </c>
      <c r="H99" s="8" t="s">
        <v>162</v>
      </c>
      <c r="J99" s="8" t="s">
        <v>162</v>
      </c>
      <c r="L99" s="8" t="s">
        <v>162</v>
      </c>
      <c r="N99" s="8" t="s">
        <v>164</v>
      </c>
      <c r="P99" s="8" t="s">
        <v>164</v>
      </c>
      <c r="R99" s="8" t="s">
        <v>164</v>
      </c>
      <c r="T99" s="8" t="s">
        <v>164</v>
      </c>
      <c r="V99" s="8" t="s">
        <v>165</v>
      </c>
      <c r="X99" s="8" t="s">
        <v>165</v>
      </c>
      <c r="Z99" s="8" t="s">
        <v>165</v>
      </c>
      <c r="AB99" s="8" t="s">
        <v>165</v>
      </c>
      <c r="AL99" s="8" t="s">
        <v>166</v>
      </c>
      <c r="AN99" s="8" t="s">
        <v>166</v>
      </c>
      <c r="AP99" s="8" t="s">
        <v>166</v>
      </c>
      <c r="AR99" s="8" t="s">
        <v>166</v>
      </c>
      <c r="AT99" s="8" t="s">
        <v>166</v>
      </c>
      <c r="AV99" s="8" t="s">
        <v>166</v>
      </c>
    </row>
    <row r="100" spans="2:48" ht="12.75">
      <c r="B100" s="8" t="s">
        <v>161</v>
      </c>
      <c r="F100" s="8" t="s">
        <v>163</v>
      </c>
      <c r="H100" s="8" t="s">
        <v>163</v>
      </c>
      <c r="J100" s="8" t="s">
        <v>163</v>
      </c>
      <c r="L100" s="8" t="s">
        <v>163</v>
      </c>
      <c r="N100" s="8" t="s">
        <v>163</v>
      </c>
      <c r="P100" s="8" t="s">
        <v>163</v>
      </c>
      <c r="R100" s="8" t="s">
        <v>163</v>
      </c>
      <c r="T100" s="8" t="s">
        <v>163</v>
      </c>
      <c r="V100" s="8" t="s">
        <v>163</v>
      </c>
      <c r="X100" s="8" t="s">
        <v>163</v>
      </c>
      <c r="Z100" s="8" t="s">
        <v>163</v>
      </c>
      <c r="AB100" s="8" t="s">
        <v>163</v>
      </c>
      <c r="AL100" s="8" t="s">
        <v>43</v>
      </c>
      <c r="AN100" s="8" t="s">
        <v>43</v>
      </c>
      <c r="AP100" s="8" t="s">
        <v>43</v>
      </c>
      <c r="AR100" s="8" t="s">
        <v>43</v>
      </c>
      <c r="AT100" s="8" t="s">
        <v>43</v>
      </c>
      <c r="AV100" s="8" t="s">
        <v>43</v>
      </c>
    </row>
    <row r="101" spans="2:48" ht="12.75">
      <c r="B101" s="8" t="s">
        <v>170</v>
      </c>
      <c r="AL101" s="8" t="s">
        <v>43</v>
      </c>
      <c r="AN101" s="8" t="s">
        <v>43</v>
      </c>
      <c r="AP101" s="8" t="s">
        <v>43</v>
      </c>
      <c r="AR101" s="8" t="s">
        <v>43</v>
      </c>
      <c r="AT101" s="8" t="s">
        <v>43</v>
      </c>
      <c r="AV101" s="8" t="s">
        <v>43</v>
      </c>
    </row>
    <row r="102" spans="2:48" ht="12.75">
      <c r="B102" s="8" t="s">
        <v>159</v>
      </c>
      <c r="F102" s="8" t="s">
        <v>37</v>
      </c>
      <c r="N102" s="8" t="s">
        <v>38</v>
      </c>
      <c r="V102" s="8" t="s">
        <v>39</v>
      </c>
      <c r="AD102" s="8" t="s">
        <v>40</v>
      </c>
      <c r="AL102" s="8" t="s">
        <v>43</v>
      </c>
      <c r="AN102" s="8" t="s">
        <v>43</v>
      </c>
      <c r="AP102" s="8" t="s">
        <v>43</v>
      </c>
      <c r="AR102" s="8" t="s">
        <v>43</v>
      </c>
      <c r="AT102" s="8" t="s">
        <v>43</v>
      </c>
      <c r="AV102" s="8" t="s">
        <v>43</v>
      </c>
    </row>
    <row r="103" spans="1:44" ht="12.75">
      <c r="A103" s="8" t="s">
        <v>19</v>
      </c>
      <c r="B103" s="8" t="s">
        <v>2</v>
      </c>
      <c r="D103" s="8" t="s">
        <v>41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3">
        <f>99.9/454</f>
        <v>0.22004405286343615</v>
      </c>
      <c r="AN103" s="13">
        <f>95.8/454</f>
        <v>0.21101321585903082</v>
      </c>
      <c r="AP103" s="13">
        <f>101.1/454</f>
        <v>0.2226872246696035</v>
      </c>
      <c r="AR103" s="13">
        <f>11.6/454</f>
        <v>0.02555066079295154</v>
      </c>
    </row>
    <row r="104" spans="1:44" ht="12.75">
      <c r="A104" s="8" t="s">
        <v>19</v>
      </c>
      <c r="B104" s="8" t="s">
        <v>3</v>
      </c>
      <c r="D104" s="8" t="s">
        <v>41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3">
        <f>88.1/454</f>
        <v>0.19405286343612332</v>
      </c>
      <c r="AN104" s="13">
        <f>81/454</f>
        <v>0.17841409691629956</v>
      </c>
      <c r="AP104" s="13">
        <f>114.7/454</f>
        <v>0.2526431718061674</v>
      </c>
      <c r="AR104" s="13">
        <f>189.7/454</f>
        <v>0.4178414096916299</v>
      </c>
    </row>
    <row r="105" spans="1:37" ht="12.75">
      <c r="A105" s="8" t="s">
        <v>19</v>
      </c>
      <c r="B105" s="8" t="s">
        <v>11</v>
      </c>
      <c r="D105" s="8" t="s">
        <v>41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44" ht="12.75">
      <c r="A106" s="8" t="s">
        <v>19</v>
      </c>
      <c r="B106" s="8" t="s">
        <v>4</v>
      </c>
      <c r="D106" s="8" t="s">
        <v>41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3">
        <f>148.8/454</f>
        <v>0.3277533039647577</v>
      </c>
      <c r="AN106" s="13">
        <f>150.9/454</f>
        <v>0.33237885462555067</v>
      </c>
      <c r="AP106" s="13">
        <f>186.3/454</f>
        <v>0.410352422907489</v>
      </c>
      <c r="AR106" s="13">
        <f>179.6/454</f>
        <v>0.39559471365638765</v>
      </c>
    </row>
    <row r="107" spans="1:44" ht="12.75">
      <c r="A107" s="8" t="s">
        <v>19</v>
      </c>
      <c r="B107" s="8" t="s">
        <v>5</v>
      </c>
      <c r="D107" s="8" t="s">
        <v>41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3">
        <f>89.2/454</f>
        <v>0.19647577092511015</v>
      </c>
      <c r="AN107" s="13">
        <f>89.2/454</f>
        <v>0.19647577092511015</v>
      </c>
      <c r="AP107" s="13">
        <f>99/454</f>
        <v>0.21806167400881057</v>
      </c>
      <c r="AR107" s="13">
        <f>103.3/454</f>
        <v>0.2275330396475771</v>
      </c>
    </row>
    <row r="108" spans="1:44" ht="12.75">
      <c r="A108" s="8" t="s">
        <v>19</v>
      </c>
      <c r="B108" s="8" t="s">
        <v>6</v>
      </c>
      <c r="D108" s="8" t="s">
        <v>41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8">
        <v>2834</v>
      </c>
      <c r="AN108" s="8">
        <v>2841</v>
      </c>
      <c r="AP108" s="8">
        <v>2846</v>
      </c>
      <c r="AR108" s="8">
        <v>2844</v>
      </c>
    </row>
    <row r="109" spans="1:44" ht="12.75">
      <c r="A109" s="8" t="s">
        <v>19</v>
      </c>
      <c r="B109" s="8" t="s">
        <v>7</v>
      </c>
      <c r="D109" s="8" t="s">
        <v>41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3">
        <f>567/454</f>
        <v>1.248898678414097</v>
      </c>
      <c r="AN109" s="13">
        <f>598.9/454</f>
        <v>1.3191629955947135</v>
      </c>
      <c r="AP109" s="13">
        <f>799/454</f>
        <v>1.7599118942731278</v>
      </c>
      <c r="AR109" s="13">
        <f>732.7/454</f>
        <v>1.613876651982379</v>
      </c>
    </row>
    <row r="110" spans="1:44" ht="12.75">
      <c r="A110" s="8" t="s">
        <v>19</v>
      </c>
      <c r="B110" s="8" t="s">
        <v>8</v>
      </c>
      <c r="D110" s="8" t="s">
        <v>41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3">
        <f>2187/454</f>
        <v>4.817180616740088</v>
      </c>
      <c r="AN110" s="13">
        <f>2059.8/454</f>
        <v>4.537004405286344</v>
      </c>
      <c r="AP110" s="13">
        <f>2078.3/454</f>
        <v>4.577753303964758</v>
      </c>
      <c r="AR110" s="13">
        <f>2960.4/454</f>
        <v>6.520704845814978</v>
      </c>
    </row>
    <row r="111" spans="1:44" ht="12.75">
      <c r="A111" s="8" t="s">
        <v>19</v>
      </c>
      <c r="B111" s="8" t="s">
        <v>9</v>
      </c>
      <c r="D111" s="8" t="s">
        <v>41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3">
        <f>49.4/454</f>
        <v>0.10881057268722466</v>
      </c>
      <c r="AN111" s="13">
        <f>47.8/454</f>
        <v>0.1052863436123348</v>
      </c>
      <c r="AP111" s="13">
        <f>52.6/454</f>
        <v>0.11585903083700441</v>
      </c>
      <c r="AR111" s="13">
        <f>52.9/454</f>
        <v>0.11651982378854625</v>
      </c>
    </row>
    <row r="112" spans="1:44" ht="12.75">
      <c r="A112" s="8" t="s">
        <v>19</v>
      </c>
      <c r="B112" s="8" t="s">
        <v>10</v>
      </c>
      <c r="D112" s="8" t="s">
        <v>41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3">
        <f>57.6/454</f>
        <v>0.12687224669603525</v>
      </c>
      <c r="AN112" s="13">
        <f>56.1/454</f>
        <v>0.12356828193832599</v>
      </c>
      <c r="AP112" s="13">
        <f>61/454</f>
        <v>0.1343612334801762</v>
      </c>
      <c r="AR112" s="13">
        <f>63.9/454</f>
        <v>0.14074889867841409</v>
      </c>
    </row>
    <row r="114" spans="2:44" ht="12.75">
      <c r="B114" s="8" t="s">
        <v>172</v>
      </c>
      <c r="D114" s="8" t="s">
        <v>134</v>
      </c>
      <c r="AL114" s="8">
        <f>'emiss 2'!G92</f>
        <v>25800</v>
      </c>
      <c r="AN114" s="8">
        <f>'emiss 2'!I92</f>
        <v>25100</v>
      </c>
      <c r="AP114" s="8">
        <f>'emiss 2'!K92</f>
        <v>25200</v>
      </c>
      <c r="AR114" s="8">
        <f>'emiss 2'!M92</f>
        <v>25300</v>
      </c>
    </row>
    <row r="115" spans="2:44" ht="12.75">
      <c r="B115" s="8" t="s">
        <v>30</v>
      </c>
      <c r="D115" s="8" t="s">
        <v>71</v>
      </c>
      <c r="AL115" s="8">
        <f>'emiss 2'!G93</f>
        <v>10.4</v>
      </c>
      <c r="AN115" s="8">
        <f>'emiss 2'!I93</f>
        <v>10.7</v>
      </c>
      <c r="AP115" s="8">
        <f>'emiss 2'!K93</f>
        <v>10.5</v>
      </c>
      <c r="AR115" s="8">
        <f>'emiss 2'!M93</f>
        <v>10.8</v>
      </c>
    </row>
    <row r="117" ht="12.75">
      <c r="B117" s="8" t="s">
        <v>44</v>
      </c>
    </row>
    <row r="118" spans="2:48" ht="12.75">
      <c r="B118" s="8" t="s">
        <v>2</v>
      </c>
      <c r="D118" s="8" t="s">
        <v>29</v>
      </c>
      <c r="AL118" s="12">
        <f>AL103/60*454*1000000/(AL$114*0.0283)*(21-7)/(21-AL$115)</f>
        <v>3011.8286955564486</v>
      </c>
      <c r="AN118" s="12">
        <f>AN103/60*454*1000000/(AN$114*0.0283)*(21-7)/(21-AN$115)</f>
        <v>3055.237054913672</v>
      </c>
      <c r="AP118" s="12">
        <f>AP103/60*454*1000000/(AP$114*0.0283)*(21-7)/(21-AP$115)</f>
        <v>3150.2982033017365</v>
      </c>
      <c r="AR118" s="12">
        <f>AR103/60*454*1000000/(AR$114*0.0283)*(21-7)/(21-AR$115)</f>
        <v>370.6189711087906</v>
      </c>
      <c r="AV118" s="12">
        <f>AVERAGE(AN118,AP118,AR118)</f>
        <v>2192.051409774733</v>
      </c>
    </row>
    <row r="119" spans="2:48" ht="12.75">
      <c r="B119" s="8" t="s">
        <v>3</v>
      </c>
      <c r="D119" s="8" t="s">
        <v>29</v>
      </c>
      <c r="AL119" s="12">
        <f aca="true" t="shared" si="9" ref="AL119:AN127">AL104/60*454*1000000/(AL$114*0.0283)*(21-7)/(21-AL$115)</f>
        <v>2656.077157943174</v>
      </c>
      <c r="AN119" s="12">
        <f t="shared" si="9"/>
        <v>2583.238010939534</v>
      </c>
      <c r="AP119" s="12">
        <f>AP104/60*454*1000000/(AP$114*0.0283)*(21-7)/(21-AP$115)</f>
        <v>3574.0771900960362</v>
      </c>
      <c r="AR119" s="12">
        <f>AR104/60*454*1000000/(AR$114*0.0283)*(21-7)/(21-AR$115)</f>
        <v>6060.898174080826</v>
      </c>
      <c r="AV119" s="12">
        <f>AVERAGE(AN119,AP119,AR119)</f>
        <v>4072.7377917054655</v>
      </c>
    </row>
    <row r="120" spans="2:48" ht="12.75">
      <c r="B120" s="8" t="s">
        <v>11</v>
      </c>
      <c r="D120" s="8" t="s">
        <v>45</v>
      </c>
      <c r="AL120" s="12"/>
      <c r="AN120" s="12"/>
      <c r="AP120" s="12"/>
      <c r="AR120" s="12"/>
      <c r="AV120" s="12"/>
    </row>
    <row r="121" spans="2:48" ht="12.75">
      <c r="B121" s="8" t="s">
        <v>4</v>
      </c>
      <c r="D121" s="8" t="s">
        <v>29</v>
      </c>
      <c r="AL121" s="12">
        <f t="shared" si="9"/>
        <v>4486.087186174169</v>
      </c>
      <c r="AN121" s="12">
        <f t="shared" si="9"/>
        <v>4812.476738898467</v>
      </c>
      <c r="AP121" s="12">
        <f aca="true" t="shared" si="10" ref="AP121:AP127">AP106/60*454*1000000/(AP$114*0.0283)*(21-7)/(21-AP$115)</f>
        <v>5805.148914689552</v>
      </c>
      <c r="AR121" s="12">
        <f aca="true" t="shared" si="11" ref="AR121:AR127">AR106/60*454*1000000/(AR$114*0.0283)*(21-7)/(21-AR$115)</f>
        <v>5738.204069925758</v>
      </c>
      <c r="AV121" s="12">
        <f aca="true" t="shared" si="12" ref="AV121:AV126">AVERAGE(AN121,AP121,AR121)</f>
        <v>5451.94324117126</v>
      </c>
    </row>
    <row r="122" spans="2:48" ht="12.75">
      <c r="B122" s="8" t="s">
        <v>5</v>
      </c>
      <c r="D122" s="8" t="s">
        <v>29</v>
      </c>
      <c r="AL122" s="12">
        <f t="shared" si="9"/>
        <v>2689.240436873225</v>
      </c>
      <c r="AN122" s="12">
        <f t="shared" si="9"/>
        <v>2844.750994763043</v>
      </c>
      <c r="AP122" s="12">
        <f t="shared" si="10"/>
        <v>3084.8617421055587</v>
      </c>
      <c r="AR122" s="12">
        <f t="shared" si="11"/>
        <v>3300.425837546386</v>
      </c>
      <c r="AV122" s="12">
        <f t="shared" si="12"/>
        <v>3076.6795248049953</v>
      </c>
    </row>
    <row r="123" spans="2:48" ht="12.75">
      <c r="B123" s="8" t="s">
        <v>6</v>
      </c>
      <c r="D123" s="8" t="s">
        <v>29</v>
      </c>
      <c r="AL123" s="12">
        <f t="shared" si="9"/>
        <v>38790062.31767734</v>
      </c>
      <c r="AM123" s="12"/>
      <c r="AN123" s="12">
        <f t="shared" si="9"/>
        <v>41134525.33138228</v>
      </c>
      <c r="AO123" s="12"/>
      <c r="AP123" s="12">
        <f t="shared" si="10"/>
        <v>40261621.20390624</v>
      </c>
      <c r="AQ123" s="12"/>
      <c r="AR123" s="12">
        <f t="shared" si="11"/>
        <v>41252958.67589343</v>
      </c>
      <c r="AV123" s="12">
        <f t="shared" si="12"/>
        <v>40883035.07039398</v>
      </c>
    </row>
    <row r="124" spans="2:48" ht="12.75">
      <c r="B124" s="8" t="s">
        <v>7</v>
      </c>
      <c r="D124" s="8" t="s">
        <v>29</v>
      </c>
      <c r="AL124" s="12">
        <f t="shared" si="9"/>
        <v>17094.162866671737</v>
      </c>
      <c r="AN124" s="12">
        <f t="shared" si="9"/>
        <v>19100.015367304783</v>
      </c>
      <c r="AP124" s="12">
        <f t="shared" si="10"/>
        <v>24897.015474165062</v>
      </c>
      <c r="AR124" s="12">
        <f t="shared" si="11"/>
        <v>23409.700011328532</v>
      </c>
      <c r="AV124" s="12">
        <f t="shared" si="12"/>
        <v>22468.910284266127</v>
      </c>
    </row>
    <row r="125" spans="2:48" ht="12.75">
      <c r="B125" s="8" t="s">
        <v>8</v>
      </c>
      <c r="D125" s="8" t="s">
        <v>29</v>
      </c>
      <c r="AL125" s="12">
        <f t="shared" si="9"/>
        <v>65934.62820001954</v>
      </c>
      <c r="AN125" s="12">
        <f t="shared" si="9"/>
        <v>65690.78586337352</v>
      </c>
      <c r="AP125" s="12">
        <f t="shared" si="10"/>
        <v>64760.28443048467</v>
      </c>
      <c r="AR125" s="12">
        <f t="shared" si="11"/>
        <v>94584.51741986757</v>
      </c>
      <c r="AV125" s="12">
        <f t="shared" si="12"/>
        <v>75011.86257124192</v>
      </c>
    </row>
    <row r="126" spans="2:48" ht="12.75">
      <c r="B126" s="8" t="s">
        <v>9</v>
      </c>
      <c r="D126" s="8" t="s">
        <v>29</v>
      </c>
      <c r="AL126" s="12">
        <f t="shared" si="9"/>
        <v>1489.3327083131985</v>
      </c>
      <c r="AN126" s="12">
        <f t="shared" si="9"/>
        <v>1524.429344727281</v>
      </c>
      <c r="AP126" s="12">
        <f t="shared" si="10"/>
        <v>1639.027551866186</v>
      </c>
      <c r="AR126" s="12">
        <f t="shared" si="11"/>
        <v>1690.150307901295</v>
      </c>
      <c r="AV126" s="12">
        <f t="shared" si="12"/>
        <v>1617.8690681649205</v>
      </c>
    </row>
    <row r="127" spans="2:48" ht="12.75">
      <c r="B127" s="8" t="s">
        <v>10</v>
      </c>
      <c r="D127" s="8" t="s">
        <v>29</v>
      </c>
      <c r="AL127" s="12">
        <f t="shared" si="9"/>
        <v>1736.5498785190334</v>
      </c>
      <c r="AN127" s="12">
        <f t="shared" si="9"/>
        <v>1789.1315112803443</v>
      </c>
      <c r="AP127" s="12">
        <f t="shared" si="10"/>
        <v>1900.7733966508995</v>
      </c>
      <c r="AR127" s="12">
        <f t="shared" si="11"/>
        <v>2041.5993322285963</v>
      </c>
      <c r="AV127" s="12"/>
    </row>
    <row r="128" spans="4:48" ht="12.75">
      <c r="D128" s="8" t="s">
        <v>29</v>
      </c>
      <c r="AV128" s="12"/>
    </row>
    <row r="129" spans="2:48" ht="12.75">
      <c r="B129" s="8" t="s">
        <v>35</v>
      </c>
      <c r="AL129" s="12">
        <f>AL122+AL125</f>
        <v>68623.86863689276</v>
      </c>
      <c r="AN129" s="12">
        <f>AN122+AN125</f>
        <v>68535.53685813656</v>
      </c>
      <c r="AP129" s="12">
        <f>AP122+AP125</f>
        <v>67845.14617259023</v>
      </c>
      <c r="AR129" s="12">
        <f>AR122+AR125</f>
        <v>97884.94325741395</v>
      </c>
      <c r="AV129" s="12">
        <f>AVERAGE(AN129,AP129,AR129)</f>
        <v>78088.54209604692</v>
      </c>
    </row>
    <row r="130" spans="2:48" ht="12.75">
      <c r="B130" s="8" t="s">
        <v>36</v>
      </c>
      <c r="D130" s="8" t="s">
        <v>29</v>
      </c>
      <c r="AL130" s="12">
        <f>AL119+AL124</f>
        <v>19750.24002461491</v>
      </c>
      <c r="AN130" s="12">
        <f>AN119+AN124</f>
        <v>21683.253378244317</v>
      </c>
      <c r="AP130" s="12">
        <f>AP119+AP124</f>
        <v>28471.092664261098</v>
      </c>
      <c r="AR130" s="12">
        <f>AR119+AR124</f>
        <v>29470.59818540936</v>
      </c>
      <c r="AV130" s="12">
        <f>AVERAGE(AN130,AP130,AR130)</f>
        <v>26541.648075971592</v>
      </c>
    </row>
    <row r="131" ht="12.75">
      <c r="D131" s="8" t="s">
        <v>29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1"/>
  <sheetViews>
    <sheetView workbookViewId="0" topLeftCell="C1">
      <selection activeCell="C9" sqref="C9"/>
    </sheetView>
  </sheetViews>
  <sheetFormatPr defaultColWidth="9.140625" defaultRowHeight="12.75"/>
  <cols>
    <col min="1" max="1" width="0.2890625" style="0" hidden="1" customWidth="1"/>
    <col min="2" max="2" width="0.13671875" style="0" hidden="1" customWidth="1"/>
    <col min="3" max="3" width="31.57421875" style="0" customWidth="1"/>
  </cols>
  <sheetData>
    <row r="1" ht="12.75">
      <c r="C1" s="6" t="s">
        <v>128</v>
      </c>
    </row>
    <row r="3" ht="12.75">
      <c r="C3" s="10" t="s">
        <v>0</v>
      </c>
    </row>
    <row r="5" spans="1:31" s="8" customFormat="1" ht="12.75">
      <c r="A5" s="8" t="s">
        <v>0</v>
      </c>
      <c r="B5" s="8" t="s">
        <v>120</v>
      </c>
      <c r="C5" s="8" t="s">
        <v>125</v>
      </c>
      <c r="D5" s="8" t="s">
        <v>121</v>
      </c>
      <c r="E5" s="9">
        <v>1641</v>
      </c>
      <c r="F5" s="9">
        <v>1661</v>
      </c>
      <c r="G5" s="9">
        <v>1616</v>
      </c>
      <c r="H5" s="9">
        <v>1614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8" customFormat="1" ht="12.75">
      <c r="A6" s="8" t="s">
        <v>0</v>
      </c>
      <c r="B6" s="8" t="s">
        <v>122</v>
      </c>
      <c r="C6" s="8" t="s">
        <v>126</v>
      </c>
      <c r="D6" s="8" t="s">
        <v>121</v>
      </c>
      <c r="E6" s="9">
        <v>1735</v>
      </c>
      <c r="F6" s="9">
        <v>1735</v>
      </c>
      <c r="G6" s="9">
        <v>1737</v>
      </c>
      <c r="H6" s="9">
        <v>1744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23" s="8" customFormat="1" ht="12.75">
      <c r="A7" s="8" t="s">
        <v>0</v>
      </c>
      <c r="B7" s="8" t="s">
        <v>123</v>
      </c>
      <c r="C7" s="8" t="s">
        <v>127</v>
      </c>
      <c r="D7" s="8" t="s">
        <v>124</v>
      </c>
      <c r="E7" s="9">
        <v>28.2</v>
      </c>
      <c r="F7" s="9">
        <v>27.3</v>
      </c>
      <c r="G7" s="9">
        <v>27.8</v>
      </c>
      <c r="H7" s="9">
        <v>23.8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5:23" s="8" customFormat="1" ht="12.7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3:23" s="8" customFormat="1" ht="12.75">
      <c r="C9" s="10" t="s">
        <v>15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5:23" s="8" customFormat="1" ht="12.75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31" s="8" customFormat="1" ht="12.75">
      <c r="A11" s="8" t="s">
        <v>15</v>
      </c>
      <c r="B11" s="8" t="s">
        <v>120</v>
      </c>
      <c r="C11" s="8" t="s">
        <v>125</v>
      </c>
      <c r="D11" s="8" t="s">
        <v>121</v>
      </c>
      <c r="E11" s="9">
        <v>1477</v>
      </c>
      <c r="F11" s="9">
        <v>1483</v>
      </c>
      <c r="G11" s="9">
        <v>1452</v>
      </c>
      <c r="H11" s="9">
        <v>1470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s="8" customFormat="1" ht="12.75">
      <c r="A12" s="8" t="s">
        <v>15</v>
      </c>
      <c r="B12" s="8" t="s">
        <v>122</v>
      </c>
      <c r="C12" s="8" t="s">
        <v>126</v>
      </c>
      <c r="D12" s="8" t="s">
        <v>121</v>
      </c>
      <c r="E12" s="9">
        <v>1765</v>
      </c>
      <c r="F12" s="9">
        <v>1765</v>
      </c>
      <c r="G12" s="9">
        <v>1762</v>
      </c>
      <c r="H12" s="9">
        <v>1764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23" s="8" customFormat="1" ht="12.75">
      <c r="A13" s="8" t="s">
        <v>15</v>
      </c>
      <c r="B13" s="8" t="s">
        <v>123</v>
      </c>
      <c r="C13" s="8" t="s">
        <v>127</v>
      </c>
      <c r="D13" s="8" t="s">
        <v>124</v>
      </c>
      <c r="E13" s="9">
        <v>28</v>
      </c>
      <c r="F13" s="9">
        <v>27.7</v>
      </c>
      <c r="G13" s="9">
        <v>28.4</v>
      </c>
      <c r="H13" s="9">
        <v>28.4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5:23" s="8" customFormat="1" ht="12.75"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23" s="8" customFormat="1" ht="12.75">
      <c r="C15" s="10" t="s">
        <v>16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5:23" s="8" customFormat="1" ht="12.75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1" s="8" customFormat="1" ht="12.75">
      <c r="A17" s="8" t="s">
        <v>16</v>
      </c>
      <c r="B17" s="8" t="s">
        <v>120</v>
      </c>
      <c r="C17" s="8" t="s">
        <v>125</v>
      </c>
      <c r="D17" s="8" t="s">
        <v>121</v>
      </c>
      <c r="E17" s="9">
        <v>1377</v>
      </c>
      <c r="F17" s="9">
        <v>1377</v>
      </c>
      <c r="G17" s="9">
        <v>1389</v>
      </c>
      <c r="H17" s="9">
        <v>1369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8" customFormat="1" ht="12.75">
      <c r="A18" s="8" t="s">
        <v>16</v>
      </c>
      <c r="B18" s="8" t="s">
        <v>122</v>
      </c>
      <c r="C18" s="8" t="s">
        <v>126</v>
      </c>
      <c r="D18" s="8" t="s">
        <v>121</v>
      </c>
      <c r="E18" s="9">
        <v>1704</v>
      </c>
      <c r="F18" s="9">
        <v>1708</v>
      </c>
      <c r="G18" s="9">
        <v>1706</v>
      </c>
      <c r="H18" s="9">
        <v>1706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23" s="8" customFormat="1" ht="12.75">
      <c r="A19" s="8" t="s">
        <v>16</v>
      </c>
      <c r="B19" s="8" t="s">
        <v>123</v>
      </c>
      <c r="C19" s="8" t="s">
        <v>127</v>
      </c>
      <c r="D19" s="8" t="s">
        <v>124</v>
      </c>
      <c r="E19" s="9">
        <v>27.5</v>
      </c>
      <c r="F19" s="9">
        <v>27.4</v>
      </c>
      <c r="G19" s="9">
        <v>27.2</v>
      </c>
      <c r="H19" s="9">
        <v>27.2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5:23" s="8" customFormat="1" ht="12.75"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3:23" s="8" customFormat="1" ht="12.75">
      <c r="C21" s="10" t="s">
        <v>17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5:23" s="8" customFormat="1" ht="12.75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31" s="8" customFormat="1" ht="12.75">
      <c r="A23" s="8" t="s">
        <v>17</v>
      </c>
      <c r="B23" s="8" t="s">
        <v>120</v>
      </c>
      <c r="C23" s="8" t="s">
        <v>125</v>
      </c>
      <c r="D23" s="8" t="s">
        <v>121</v>
      </c>
      <c r="E23" s="9">
        <v>1564</v>
      </c>
      <c r="F23" s="9">
        <v>1566</v>
      </c>
      <c r="G23" s="9">
        <v>1558</v>
      </c>
      <c r="H23" s="9">
        <v>1564</v>
      </c>
      <c r="I23" s="9">
        <v>1562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8" customFormat="1" ht="12.75">
      <c r="A24" s="8" t="s">
        <v>17</v>
      </c>
      <c r="B24" s="8" t="s">
        <v>122</v>
      </c>
      <c r="C24" s="8" t="s">
        <v>126</v>
      </c>
      <c r="D24" s="8" t="s">
        <v>121</v>
      </c>
      <c r="E24" s="9">
        <v>1767</v>
      </c>
      <c r="F24" s="9">
        <v>1769</v>
      </c>
      <c r="G24" s="9">
        <v>1801</v>
      </c>
      <c r="H24" s="9">
        <v>1816</v>
      </c>
      <c r="I24" s="9">
        <v>1818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23" s="8" customFormat="1" ht="12.75">
      <c r="A25" s="8" t="s">
        <v>17</v>
      </c>
      <c r="B25" s="8" t="s">
        <v>123</v>
      </c>
      <c r="C25" s="8" t="s">
        <v>127</v>
      </c>
      <c r="D25" s="8" t="s">
        <v>124</v>
      </c>
      <c r="E25" s="9">
        <v>28.7</v>
      </c>
      <c r="F25" s="9">
        <v>28.8</v>
      </c>
      <c r="G25" s="9">
        <v>28.7</v>
      </c>
      <c r="H25" s="9">
        <v>29.9</v>
      </c>
      <c r="I25" s="9">
        <v>29.7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5:23" s="8" customFormat="1" ht="12.75"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3:23" s="8" customFormat="1" ht="12.75">
      <c r="C27" s="10" t="s">
        <v>19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5:23" s="8" customFormat="1" ht="12.75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31" s="8" customFormat="1" ht="12.75">
      <c r="A29" s="8" t="s">
        <v>19</v>
      </c>
      <c r="B29" s="8" t="s">
        <v>120</v>
      </c>
      <c r="C29" s="8" t="s">
        <v>125</v>
      </c>
      <c r="D29" s="8" t="s">
        <v>121</v>
      </c>
      <c r="E29" s="9">
        <v>1625</v>
      </c>
      <c r="F29" s="9">
        <v>1625</v>
      </c>
      <c r="G29" s="9">
        <v>1625</v>
      </c>
      <c r="H29" s="9">
        <v>1625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s="8" customFormat="1" ht="12.75">
      <c r="A30" s="8" t="s">
        <v>19</v>
      </c>
      <c r="B30" s="8" t="s">
        <v>122</v>
      </c>
      <c r="C30" s="8" t="s">
        <v>126</v>
      </c>
      <c r="D30" s="8" t="s">
        <v>121</v>
      </c>
      <c r="E30" s="9">
        <v>1776.2</v>
      </c>
      <c r="F30" s="9">
        <v>1781.6</v>
      </c>
      <c r="G30" s="9">
        <v>1765.4</v>
      </c>
      <c r="H30" s="9">
        <v>1779.8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23" s="8" customFormat="1" ht="12.75">
      <c r="A31" s="8" t="s">
        <v>19</v>
      </c>
      <c r="B31" s="8" t="s">
        <v>123</v>
      </c>
      <c r="C31" s="8" t="s">
        <v>127</v>
      </c>
      <c r="D31" s="8" t="s">
        <v>124</v>
      </c>
      <c r="E31" s="9">
        <v>29.9</v>
      </c>
      <c r="F31" s="9">
        <v>29.8</v>
      </c>
      <c r="G31" s="9">
        <v>29.4</v>
      </c>
      <c r="H31" s="9">
        <v>28.9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23"/>
  <sheetViews>
    <sheetView workbookViewId="0" topLeftCell="C1">
      <selection activeCell="C9" sqref="C9"/>
    </sheetView>
  </sheetViews>
  <sheetFormatPr defaultColWidth="9.140625" defaultRowHeight="12.75"/>
  <cols>
    <col min="1" max="1" width="7.140625" style="0" hidden="1" customWidth="1"/>
    <col min="2" max="2" width="3.140625" style="0" hidden="1" customWidth="1"/>
    <col min="3" max="3" width="16.28125" style="0" customWidth="1"/>
    <col min="4" max="4" width="7.00390625" style="14" customWidth="1"/>
    <col min="5" max="5" width="4.421875" style="0" customWidth="1"/>
    <col min="6" max="6" width="7.8515625" style="0" customWidth="1"/>
    <col min="7" max="7" width="7.7109375" style="15" customWidth="1"/>
    <col min="8" max="8" width="8.28125" style="15" customWidth="1"/>
    <col min="9" max="9" width="7.28125" style="0" customWidth="1"/>
    <col min="10" max="10" width="7.7109375" style="0" customWidth="1"/>
    <col min="11" max="11" width="7.7109375" style="15" customWidth="1"/>
    <col min="12" max="12" width="8.28125" style="15" customWidth="1"/>
    <col min="13" max="13" width="5.7109375" style="0" customWidth="1"/>
    <col min="14" max="14" width="7.421875" style="0" customWidth="1"/>
    <col min="15" max="15" width="7.7109375" style="15" customWidth="1"/>
    <col min="16" max="16" width="8.28125" style="15" customWidth="1"/>
    <col min="17" max="17" width="5.28125" style="0" customWidth="1"/>
    <col min="19" max="19" width="7.7109375" style="15" customWidth="1"/>
    <col min="20" max="20" width="8.28125" style="15" customWidth="1"/>
  </cols>
  <sheetData>
    <row r="1" ht="12.75">
      <c r="C1" s="6" t="s">
        <v>15</v>
      </c>
    </row>
    <row r="2" spans="6:20" ht="12.75">
      <c r="F2" s="36" t="s">
        <v>46</v>
      </c>
      <c r="G2" s="36"/>
      <c r="H2" s="36"/>
      <c r="J2" s="36" t="s">
        <v>47</v>
      </c>
      <c r="K2" s="36"/>
      <c r="L2" s="36"/>
      <c r="N2" s="36" t="s">
        <v>48</v>
      </c>
      <c r="O2" s="36"/>
      <c r="P2" s="36"/>
      <c r="R2" s="36" t="s">
        <v>49</v>
      </c>
      <c r="S2" s="36"/>
      <c r="T2" s="36"/>
    </row>
    <row r="3" spans="3:20" ht="12.75">
      <c r="C3" t="s">
        <v>115</v>
      </c>
      <c r="D3" s="14" t="s">
        <v>50</v>
      </c>
      <c r="F3" s="25" t="s">
        <v>43</v>
      </c>
      <c r="G3" s="37" t="s">
        <v>43</v>
      </c>
      <c r="H3" s="37" t="s">
        <v>51</v>
      </c>
      <c r="I3" s="25"/>
      <c r="J3" s="25" t="s">
        <v>43</v>
      </c>
      <c r="K3" s="37" t="s">
        <v>43</v>
      </c>
      <c r="L3" s="37" t="s">
        <v>51</v>
      </c>
      <c r="M3" s="25"/>
      <c r="N3" s="25" t="s">
        <v>43</v>
      </c>
      <c r="O3" s="37" t="s">
        <v>43</v>
      </c>
      <c r="P3" s="37" t="s">
        <v>51</v>
      </c>
      <c r="Q3" s="25"/>
      <c r="R3" s="25" t="s">
        <v>43</v>
      </c>
      <c r="S3" s="37" t="s">
        <v>43</v>
      </c>
      <c r="T3" s="37" t="s">
        <v>51</v>
      </c>
    </row>
    <row r="4" spans="4:20" ht="12.75">
      <c r="D4" s="14" t="s">
        <v>52</v>
      </c>
      <c r="F4" s="25" t="s">
        <v>53</v>
      </c>
      <c r="G4" s="37" t="s">
        <v>54</v>
      </c>
      <c r="H4" s="37" t="s">
        <v>54</v>
      </c>
      <c r="I4" s="25"/>
      <c r="J4" s="25" t="s">
        <v>53</v>
      </c>
      <c r="K4" s="37" t="s">
        <v>54</v>
      </c>
      <c r="L4" s="37" t="s">
        <v>54</v>
      </c>
      <c r="M4" s="25"/>
      <c r="N4" s="25" t="s">
        <v>53</v>
      </c>
      <c r="O4" s="37" t="s">
        <v>54</v>
      </c>
      <c r="P4" s="37" t="s">
        <v>54</v>
      </c>
      <c r="Q4" s="25"/>
      <c r="R4" s="25" t="s">
        <v>53</v>
      </c>
      <c r="S4" s="37" t="s">
        <v>54</v>
      </c>
      <c r="T4" s="37" t="s">
        <v>54</v>
      </c>
    </row>
    <row r="5" spans="1:44" s="8" customFormat="1" ht="12.75">
      <c r="A5" s="8" t="s">
        <v>15</v>
      </c>
      <c r="B5" s="8">
        <v>1</v>
      </c>
      <c r="C5" s="8" t="s">
        <v>55</v>
      </c>
      <c r="D5" s="16">
        <v>1</v>
      </c>
      <c r="E5" s="9"/>
      <c r="F5" s="17">
        <v>0.0022626262626262625</v>
      </c>
      <c r="G5" s="17">
        <f>IF(E5=1,F5/2,F5)</f>
        <v>0.0022626262626262625</v>
      </c>
      <c r="H5" s="17">
        <f>G5*$D5</f>
        <v>0.0022626262626262625</v>
      </c>
      <c r="I5" s="9"/>
      <c r="J5" s="17">
        <v>0.002196078431372549</v>
      </c>
      <c r="K5" s="17">
        <f>IF(I5=1,J5/2,J5)</f>
        <v>0.002196078431372549</v>
      </c>
      <c r="L5" s="17">
        <f>K5*$D5</f>
        <v>0.002196078431372549</v>
      </c>
      <c r="M5" s="9"/>
      <c r="N5" s="17">
        <v>0.0032525252525252525</v>
      </c>
      <c r="O5" s="17">
        <f>IF(M5=1,N5/2,N5)</f>
        <v>0.0032525252525252525</v>
      </c>
      <c r="P5" s="17">
        <f>O5*$D5</f>
        <v>0.0032525252525252525</v>
      </c>
      <c r="Q5" s="9"/>
      <c r="R5" s="17">
        <v>0.0065882352941176465</v>
      </c>
      <c r="S5" s="17">
        <f>IF(Q5=1,R5/2,R5)</f>
        <v>0.0065882352941176465</v>
      </c>
      <c r="T5" s="17">
        <f>S5*$D5</f>
        <v>0.0065882352941176465</v>
      </c>
      <c r="U5" s="9"/>
      <c r="V5" s="17"/>
      <c r="W5" s="9"/>
      <c r="X5" s="17"/>
      <c r="Y5" s="9"/>
      <c r="Z5" s="17"/>
      <c r="AA5" s="9"/>
      <c r="AB5" s="17"/>
      <c r="AC5" s="9"/>
      <c r="AD5" s="18"/>
      <c r="AE5" s="9"/>
      <c r="AF5" s="18"/>
      <c r="AG5" s="9"/>
      <c r="AH5" s="18"/>
      <c r="AI5" s="9"/>
      <c r="AJ5" s="18"/>
      <c r="AK5" s="9"/>
      <c r="AL5" s="18"/>
      <c r="AM5" s="9"/>
      <c r="AN5" s="18"/>
      <c r="AO5" s="9"/>
      <c r="AP5" s="18"/>
      <c r="AQ5" s="9"/>
      <c r="AR5" s="18"/>
    </row>
    <row r="6" spans="1:44" s="8" customFormat="1" ht="12.75">
      <c r="A6" s="8" t="s">
        <v>15</v>
      </c>
      <c r="B6" s="8">
        <v>4</v>
      </c>
      <c r="C6" s="8" t="s">
        <v>56</v>
      </c>
      <c r="D6" s="16">
        <v>0.5</v>
      </c>
      <c r="E6" s="9"/>
      <c r="F6" s="17">
        <v>0.0015555555555555557</v>
      </c>
      <c r="G6" s="17">
        <f aca="true" t="shared" si="0" ref="G6:G19">IF(E6=1,F6/2,F6)</f>
        <v>0.0015555555555555557</v>
      </c>
      <c r="H6" s="17">
        <f aca="true" t="shared" si="1" ref="H6:H19">G6*$D6</f>
        <v>0.0007777777777777778</v>
      </c>
      <c r="I6" s="9">
        <v>1</v>
      </c>
      <c r="J6" s="17">
        <v>0.00096078431372549</v>
      </c>
      <c r="K6" s="17">
        <f aca="true" t="shared" si="2" ref="K6:K19">IF(I6=1,J6/2,J6)</f>
        <v>0.000480392156862745</v>
      </c>
      <c r="L6" s="17">
        <f aca="true" t="shared" si="3" ref="L6:L19">K6*$D6</f>
        <v>0.0002401960784313725</v>
      </c>
      <c r="M6" s="9">
        <v>1</v>
      </c>
      <c r="N6" s="17">
        <v>0.0011313131313131313</v>
      </c>
      <c r="O6" s="17">
        <f aca="true" t="shared" si="4" ref="O6:O19">IF(M6=1,N6/2,N6)</f>
        <v>0.0005656565656565656</v>
      </c>
      <c r="P6" s="17">
        <f aca="true" t="shared" si="5" ref="P6:P19">O6*$D6</f>
        <v>0.0002828282828282828</v>
      </c>
      <c r="Q6" s="9"/>
      <c r="R6" s="17">
        <v>0.0060392156862745</v>
      </c>
      <c r="S6" s="17">
        <f aca="true" t="shared" si="6" ref="S6:S19">IF(Q6=1,R6/2,R6)</f>
        <v>0.0060392156862745</v>
      </c>
      <c r="T6" s="17">
        <f aca="true" t="shared" si="7" ref="T6:T19">S6*$D6</f>
        <v>0.00301960784313725</v>
      </c>
      <c r="U6" s="9"/>
      <c r="V6" s="17"/>
      <c r="W6" s="9"/>
      <c r="X6" s="17"/>
      <c r="Y6" s="9"/>
      <c r="Z6" s="17"/>
      <c r="AA6" s="9"/>
      <c r="AB6" s="17"/>
      <c r="AC6" s="9"/>
      <c r="AD6" s="18"/>
      <c r="AE6" s="9"/>
      <c r="AF6" s="18"/>
      <c r="AG6" s="9"/>
      <c r="AH6" s="18"/>
      <c r="AI6" s="9"/>
      <c r="AJ6" s="18"/>
      <c r="AK6" s="9"/>
      <c r="AL6" s="18"/>
      <c r="AM6" s="9"/>
      <c r="AN6" s="18"/>
      <c r="AO6" s="9"/>
      <c r="AP6" s="18"/>
      <c r="AQ6" s="9"/>
      <c r="AR6" s="18"/>
    </row>
    <row r="7" spans="1:44" s="8" customFormat="1" ht="12.75">
      <c r="A7" s="8" t="s">
        <v>15</v>
      </c>
      <c r="B7" s="8">
        <v>7</v>
      </c>
      <c r="C7" s="8" t="s">
        <v>177</v>
      </c>
      <c r="D7" s="16">
        <v>0.1</v>
      </c>
      <c r="E7" s="9"/>
      <c r="F7" s="17">
        <v>0.0022626262626262625</v>
      </c>
      <c r="G7" s="17">
        <f t="shared" si="0"/>
        <v>0.0022626262626262625</v>
      </c>
      <c r="H7" s="17">
        <f t="shared" si="1"/>
        <v>0.00022626262626262625</v>
      </c>
      <c r="I7" s="9"/>
      <c r="J7" s="17">
        <v>0.0015098039215686275</v>
      </c>
      <c r="K7" s="17">
        <f t="shared" si="2"/>
        <v>0.0015098039215686275</v>
      </c>
      <c r="L7" s="17">
        <f t="shared" si="3"/>
        <v>0.00015098039215686275</v>
      </c>
      <c r="M7" s="9">
        <v>1</v>
      </c>
      <c r="N7" s="17">
        <v>0.0015555555555555557</v>
      </c>
      <c r="O7" s="17">
        <f t="shared" si="4"/>
        <v>0.0007777777777777778</v>
      </c>
      <c r="P7" s="17">
        <f t="shared" si="5"/>
        <v>7.77777777777778E-05</v>
      </c>
      <c r="Q7" s="9"/>
      <c r="R7" s="17">
        <v>0.0052156862745098</v>
      </c>
      <c r="S7" s="17">
        <f t="shared" si="6"/>
        <v>0.0052156862745098</v>
      </c>
      <c r="T7" s="17">
        <f t="shared" si="7"/>
        <v>0.00052156862745098</v>
      </c>
      <c r="U7" s="9"/>
      <c r="V7" s="17"/>
      <c r="W7" s="9"/>
      <c r="X7" s="17"/>
      <c r="Y7" s="9"/>
      <c r="Z7" s="17"/>
      <c r="AA7" s="9"/>
      <c r="AB7" s="17"/>
      <c r="AC7" s="9"/>
      <c r="AD7" s="18"/>
      <c r="AE7" s="9"/>
      <c r="AF7" s="18"/>
      <c r="AG7" s="9"/>
      <c r="AH7" s="18"/>
      <c r="AI7" s="9"/>
      <c r="AJ7" s="18"/>
      <c r="AK7" s="9"/>
      <c r="AL7" s="18"/>
      <c r="AM7" s="9"/>
      <c r="AN7" s="18"/>
      <c r="AO7" s="9"/>
      <c r="AP7" s="18"/>
      <c r="AQ7" s="9"/>
      <c r="AR7" s="18"/>
    </row>
    <row r="8" spans="1:44" s="8" customFormat="1" ht="12.75">
      <c r="A8" s="8" t="s">
        <v>15</v>
      </c>
      <c r="B8" s="8">
        <v>9</v>
      </c>
      <c r="C8" s="8" t="s">
        <v>57</v>
      </c>
      <c r="D8" s="16">
        <v>0.1</v>
      </c>
      <c r="E8" s="9"/>
      <c r="F8" s="17">
        <v>0.0014141414141414141</v>
      </c>
      <c r="G8" s="17">
        <f t="shared" si="0"/>
        <v>0.0014141414141414141</v>
      </c>
      <c r="H8" s="17">
        <f t="shared" si="1"/>
        <v>0.0001414141414141414</v>
      </c>
      <c r="I8" s="9">
        <v>1</v>
      </c>
      <c r="J8" s="17">
        <v>0.0010980392156862745</v>
      </c>
      <c r="K8" s="17">
        <f t="shared" si="2"/>
        <v>0.0005490196078431372</v>
      </c>
      <c r="L8" s="17">
        <f t="shared" si="3"/>
        <v>5.490196078431373E-05</v>
      </c>
      <c r="M8" s="9">
        <v>1</v>
      </c>
      <c r="N8" s="17">
        <v>0.0011313131313131313</v>
      </c>
      <c r="O8" s="17">
        <f t="shared" si="4"/>
        <v>0.0005656565656565656</v>
      </c>
      <c r="P8" s="17">
        <f t="shared" si="5"/>
        <v>5.6565656565656563E-05</v>
      </c>
      <c r="Q8" s="9">
        <v>1</v>
      </c>
      <c r="R8" s="17">
        <v>0.0027450980392156863</v>
      </c>
      <c r="S8" s="17">
        <f t="shared" si="6"/>
        <v>0.0013725490196078432</v>
      </c>
      <c r="T8" s="17">
        <f t="shared" si="7"/>
        <v>0.0001372549019607843</v>
      </c>
      <c r="U8" s="9"/>
      <c r="V8" s="17"/>
      <c r="W8" s="9"/>
      <c r="X8" s="17"/>
      <c r="Y8" s="9"/>
      <c r="Z8" s="17"/>
      <c r="AA8" s="9"/>
      <c r="AB8" s="17"/>
      <c r="AC8" s="9"/>
      <c r="AD8" s="18"/>
      <c r="AE8" s="9"/>
      <c r="AF8" s="18"/>
      <c r="AG8" s="9"/>
      <c r="AH8" s="18"/>
      <c r="AI8" s="9"/>
      <c r="AJ8" s="18"/>
      <c r="AK8" s="9"/>
      <c r="AL8" s="18"/>
      <c r="AM8" s="9"/>
      <c r="AN8" s="18"/>
      <c r="AO8" s="9"/>
      <c r="AP8" s="18"/>
      <c r="AQ8" s="9"/>
      <c r="AR8" s="18"/>
    </row>
    <row r="9" spans="1:44" s="8" customFormat="1" ht="12.75">
      <c r="A9" s="8" t="s">
        <v>15</v>
      </c>
      <c r="B9" s="8">
        <v>12</v>
      </c>
      <c r="C9" s="8" t="s">
        <v>58</v>
      </c>
      <c r="D9" s="16">
        <v>0.01</v>
      </c>
      <c r="E9" s="9"/>
      <c r="F9" s="17">
        <v>0.023898989898989895</v>
      </c>
      <c r="G9" s="17">
        <f t="shared" si="0"/>
        <v>0.023898989898989895</v>
      </c>
      <c r="H9" s="17">
        <f t="shared" si="1"/>
        <v>0.00023898989898989896</v>
      </c>
      <c r="I9" s="9"/>
      <c r="J9" s="17">
        <v>0.016196078431372548</v>
      </c>
      <c r="K9" s="17">
        <f t="shared" si="2"/>
        <v>0.016196078431372548</v>
      </c>
      <c r="L9" s="17">
        <f t="shared" si="3"/>
        <v>0.00016196078431372549</v>
      </c>
      <c r="M9" s="9"/>
      <c r="N9" s="17">
        <v>0.011454545454545453</v>
      </c>
      <c r="O9" s="17">
        <f t="shared" si="4"/>
        <v>0.011454545454545453</v>
      </c>
      <c r="P9" s="17">
        <f t="shared" si="5"/>
        <v>0.00011454545454545453</v>
      </c>
      <c r="Q9" s="9"/>
      <c r="R9" s="17">
        <v>0.035137254901960784</v>
      </c>
      <c r="S9" s="17">
        <f t="shared" si="6"/>
        <v>0.035137254901960784</v>
      </c>
      <c r="T9" s="17">
        <f t="shared" si="7"/>
        <v>0.00035137254901960785</v>
      </c>
      <c r="U9" s="9"/>
      <c r="V9" s="17"/>
      <c r="W9" s="9"/>
      <c r="X9" s="17"/>
      <c r="Y9" s="9"/>
      <c r="Z9" s="17"/>
      <c r="AA9" s="9"/>
      <c r="AB9" s="17"/>
      <c r="AC9" s="9"/>
      <c r="AD9" s="18"/>
      <c r="AE9" s="9"/>
      <c r="AF9" s="18"/>
      <c r="AG9" s="9"/>
      <c r="AH9" s="18"/>
      <c r="AI9" s="9"/>
      <c r="AJ9" s="18"/>
      <c r="AK9" s="9"/>
      <c r="AL9" s="18"/>
      <c r="AM9" s="9"/>
      <c r="AN9" s="18"/>
      <c r="AO9" s="9"/>
      <c r="AP9" s="18"/>
      <c r="AQ9" s="9"/>
      <c r="AR9" s="18"/>
    </row>
    <row r="10" spans="1:44" s="8" customFormat="1" ht="12.75">
      <c r="A10" s="8" t="s">
        <v>15</v>
      </c>
      <c r="B10" s="8">
        <v>15</v>
      </c>
      <c r="C10" s="8" t="s">
        <v>59</v>
      </c>
      <c r="D10" s="16">
        <v>0.001</v>
      </c>
      <c r="E10" s="9"/>
      <c r="F10" s="17">
        <v>0.10917171717171718</v>
      </c>
      <c r="G10" s="17">
        <f t="shared" si="0"/>
        <v>0.10917171717171718</v>
      </c>
      <c r="H10" s="17">
        <f t="shared" si="1"/>
        <v>0.00010917171717171718</v>
      </c>
      <c r="I10" s="9"/>
      <c r="J10" s="17">
        <v>0.09594117647058824</v>
      </c>
      <c r="K10" s="17">
        <f t="shared" si="2"/>
        <v>0.09594117647058824</v>
      </c>
      <c r="L10" s="17">
        <f t="shared" si="3"/>
        <v>9.594117647058825E-05</v>
      </c>
      <c r="M10" s="9"/>
      <c r="N10" s="17">
        <v>0.07127272727272728</v>
      </c>
      <c r="O10" s="17">
        <f t="shared" si="4"/>
        <v>0.07127272727272728</v>
      </c>
      <c r="P10" s="17">
        <f t="shared" si="5"/>
        <v>7.127272727272728E-05</v>
      </c>
      <c r="Q10" s="9"/>
      <c r="R10" s="17">
        <v>0.14960784313725492</v>
      </c>
      <c r="S10" s="17">
        <f t="shared" si="6"/>
        <v>0.14960784313725492</v>
      </c>
      <c r="T10" s="17">
        <f t="shared" si="7"/>
        <v>0.00014960784313725492</v>
      </c>
      <c r="U10" s="9"/>
      <c r="V10" s="17"/>
      <c r="W10" s="9"/>
      <c r="X10" s="17"/>
      <c r="Y10" s="9"/>
      <c r="Z10" s="17"/>
      <c r="AA10" s="9"/>
      <c r="AB10" s="17"/>
      <c r="AC10" s="9"/>
      <c r="AD10" s="18"/>
      <c r="AE10" s="9"/>
      <c r="AF10" s="18"/>
      <c r="AG10" s="9"/>
      <c r="AH10" s="18"/>
      <c r="AI10" s="9"/>
      <c r="AJ10" s="18"/>
      <c r="AK10" s="9"/>
      <c r="AL10" s="18"/>
      <c r="AM10" s="9"/>
      <c r="AN10" s="18"/>
      <c r="AO10" s="9"/>
      <c r="AP10" s="18"/>
      <c r="AQ10" s="9"/>
      <c r="AR10" s="18"/>
    </row>
    <row r="11" spans="1:44" s="8" customFormat="1" ht="12.75">
      <c r="A11" s="8" t="s">
        <v>15</v>
      </c>
      <c r="B11" s="8">
        <v>16</v>
      </c>
      <c r="C11" s="8" t="s">
        <v>60</v>
      </c>
      <c r="D11" s="16">
        <v>0.1</v>
      </c>
      <c r="E11" s="9"/>
      <c r="F11" s="17">
        <v>0.0026868686868686867</v>
      </c>
      <c r="G11" s="17">
        <f t="shared" si="0"/>
        <v>0.0026868686868686867</v>
      </c>
      <c r="H11" s="17">
        <f t="shared" si="1"/>
        <v>0.00026868686868686866</v>
      </c>
      <c r="I11" s="9"/>
      <c r="J11" s="17">
        <v>0.0016470588235294116</v>
      </c>
      <c r="K11" s="17">
        <f t="shared" si="2"/>
        <v>0.0016470588235294116</v>
      </c>
      <c r="L11" s="17">
        <f t="shared" si="3"/>
        <v>0.00016470588235294116</v>
      </c>
      <c r="M11" s="9"/>
      <c r="N11" s="17">
        <v>0.0031111111111111114</v>
      </c>
      <c r="O11" s="17">
        <f t="shared" si="4"/>
        <v>0.0031111111111111114</v>
      </c>
      <c r="P11" s="17">
        <f t="shared" si="5"/>
        <v>0.0003111111111111112</v>
      </c>
      <c r="Q11" s="9"/>
      <c r="R11" s="17">
        <v>0.004803921568627451</v>
      </c>
      <c r="S11" s="17">
        <f t="shared" si="6"/>
        <v>0.004803921568627451</v>
      </c>
      <c r="T11" s="17">
        <f t="shared" si="7"/>
        <v>0.0004803921568627451</v>
      </c>
      <c r="U11" s="9"/>
      <c r="V11" s="17"/>
      <c r="W11" s="9"/>
      <c r="X11" s="17"/>
      <c r="Y11" s="9"/>
      <c r="Z11" s="17"/>
      <c r="AA11" s="9"/>
      <c r="AB11" s="17"/>
      <c r="AC11" s="9"/>
      <c r="AD11" s="18"/>
      <c r="AE11" s="9"/>
      <c r="AF11" s="18"/>
      <c r="AG11" s="9"/>
      <c r="AH11" s="18"/>
      <c r="AI11" s="9"/>
      <c r="AJ11" s="18"/>
      <c r="AK11" s="9"/>
      <c r="AL11" s="18"/>
      <c r="AM11" s="9"/>
      <c r="AN11" s="18"/>
      <c r="AO11" s="9"/>
      <c r="AP11" s="18"/>
      <c r="AQ11" s="9"/>
      <c r="AR11" s="18"/>
    </row>
    <row r="12" spans="1:44" s="8" customFormat="1" ht="12.75">
      <c r="A12" s="8" t="s">
        <v>15</v>
      </c>
      <c r="B12" s="8">
        <v>19</v>
      </c>
      <c r="C12" s="8" t="s">
        <v>61</v>
      </c>
      <c r="D12" s="16">
        <v>0.05</v>
      </c>
      <c r="E12" s="9"/>
      <c r="F12" s="17">
        <v>0.00608080808080808</v>
      </c>
      <c r="G12" s="17">
        <f t="shared" si="0"/>
        <v>0.00608080808080808</v>
      </c>
      <c r="H12" s="17">
        <f t="shared" si="1"/>
        <v>0.000304040404040404</v>
      </c>
      <c r="I12" s="9"/>
      <c r="J12" s="17">
        <v>0.002470588235294118</v>
      </c>
      <c r="K12" s="17">
        <f t="shared" si="2"/>
        <v>0.002470588235294118</v>
      </c>
      <c r="L12" s="17">
        <f t="shared" si="3"/>
        <v>0.0001235294117647059</v>
      </c>
      <c r="M12" s="9">
        <v>1</v>
      </c>
      <c r="N12" s="17">
        <v>0.0025454545454545456</v>
      </c>
      <c r="O12" s="17">
        <f t="shared" si="4"/>
        <v>0.0012727272727272728</v>
      </c>
      <c r="P12" s="17">
        <f t="shared" si="5"/>
        <v>6.363636363636364E-05</v>
      </c>
      <c r="Q12" s="9"/>
      <c r="R12" s="17">
        <v>0.009333333333333334</v>
      </c>
      <c r="S12" s="17">
        <f t="shared" si="6"/>
        <v>0.009333333333333334</v>
      </c>
      <c r="T12" s="17">
        <f t="shared" si="7"/>
        <v>0.0004666666666666667</v>
      </c>
      <c r="U12" s="9"/>
      <c r="V12" s="17"/>
      <c r="W12" s="9"/>
      <c r="X12" s="17"/>
      <c r="Y12" s="9"/>
      <c r="Z12" s="17"/>
      <c r="AA12" s="9"/>
      <c r="AB12" s="17"/>
      <c r="AC12" s="9"/>
      <c r="AD12" s="18"/>
      <c r="AE12" s="9"/>
      <c r="AF12" s="18"/>
      <c r="AG12" s="9"/>
      <c r="AH12" s="18"/>
      <c r="AI12" s="9"/>
      <c r="AJ12" s="18"/>
      <c r="AK12" s="9"/>
      <c r="AL12" s="18"/>
      <c r="AM12" s="9"/>
      <c r="AN12" s="18"/>
      <c r="AO12" s="9"/>
      <c r="AP12" s="18"/>
      <c r="AQ12" s="9"/>
      <c r="AR12" s="18"/>
    </row>
    <row r="13" spans="1:44" s="8" customFormat="1" ht="12.75">
      <c r="A13" s="8" t="s">
        <v>15</v>
      </c>
      <c r="B13" s="8">
        <v>20</v>
      </c>
      <c r="C13" s="8" t="s">
        <v>62</v>
      </c>
      <c r="D13" s="16">
        <v>0.5</v>
      </c>
      <c r="E13" s="9"/>
      <c r="F13" s="17">
        <v>0.0031111111111111114</v>
      </c>
      <c r="G13" s="17">
        <f t="shared" si="0"/>
        <v>0.0031111111111111114</v>
      </c>
      <c r="H13" s="17">
        <f t="shared" si="1"/>
        <v>0.0015555555555555557</v>
      </c>
      <c r="I13" s="9"/>
      <c r="J13" s="17">
        <v>0.002058823529411765</v>
      </c>
      <c r="K13" s="17">
        <f t="shared" si="2"/>
        <v>0.002058823529411765</v>
      </c>
      <c r="L13" s="17">
        <f t="shared" si="3"/>
        <v>0.0010294117647058824</v>
      </c>
      <c r="M13" s="9"/>
      <c r="N13" s="17">
        <v>0.0024040404040404</v>
      </c>
      <c r="O13" s="17">
        <f t="shared" si="4"/>
        <v>0.0024040404040404</v>
      </c>
      <c r="P13" s="17">
        <f t="shared" si="5"/>
        <v>0.0012020202020202</v>
      </c>
      <c r="Q13" s="9"/>
      <c r="R13" s="17">
        <v>0.005627450980392156</v>
      </c>
      <c r="S13" s="17">
        <f t="shared" si="6"/>
        <v>0.005627450980392156</v>
      </c>
      <c r="T13" s="17">
        <f t="shared" si="7"/>
        <v>0.002813725490196078</v>
      </c>
      <c r="U13" s="9"/>
      <c r="V13" s="17"/>
      <c r="W13" s="9"/>
      <c r="X13" s="17"/>
      <c r="Y13" s="9"/>
      <c r="Z13" s="17"/>
      <c r="AA13" s="9"/>
      <c r="AB13" s="17"/>
      <c r="AC13" s="9"/>
      <c r="AD13" s="18"/>
      <c r="AE13" s="9"/>
      <c r="AF13" s="18"/>
      <c r="AG13" s="9"/>
      <c r="AH13" s="18"/>
      <c r="AI13" s="9"/>
      <c r="AJ13" s="18"/>
      <c r="AK13" s="9"/>
      <c r="AL13" s="18"/>
      <c r="AM13" s="9"/>
      <c r="AN13" s="18"/>
      <c r="AO13" s="9"/>
      <c r="AP13" s="18"/>
      <c r="AQ13" s="9"/>
      <c r="AR13" s="18"/>
    </row>
    <row r="14" spans="1:44" s="8" customFormat="1" ht="12.75">
      <c r="A14" s="8" t="s">
        <v>15</v>
      </c>
      <c r="B14" s="8">
        <v>23</v>
      </c>
      <c r="C14" s="8" t="s">
        <v>178</v>
      </c>
      <c r="D14" s="16">
        <v>0.1</v>
      </c>
      <c r="E14" s="9"/>
      <c r="F14" s="17">
        <v>0.013010101010101</v>
      </c>
      <c r="G14" s="17">
        <f t="shared" si="0"/>
        <v>0.013010101010101</v>
      </c>
      <c r="H14" s="17">
        <f t="shared" si="1"/>
        <v>0.0013010101010101</v>
      </c>
      <c r="I14" s="9"/>
      <c r="J14" s="17">
        <v>0.0065882352941176465</v>
      </c>
      <c r="K14" s="17">
        <f t="shared" si="2"/>
        <v>0.0065882352941176465</v>
      </c>
      <c r="L14" s="17">
        <f t="shared" si="3"/>
        <v>0.0006588235294117646</v>
      </c>
      <c r="M14" s="9"/>
      <c r="N14" s="17">
        <v>0.004383838383838384</v>
      </c>
      <c r="O14" s="17">
        <f t="shared" si="4"/>
        <v>0.004383838383838384</v>
      </c>
      <c r="P14" s="17">
        <f t="shared" si="5"/>
        <v>0.0004383838383838384</v>
      </c>
      <c r="Q14" s="9"/>
      <c r="R14" s="17">
        <v>0.010705882352941176</v>
      </c>
      <c r="S14" s="17">
        <f t="shared" si="6"/>
        <v>0.010705882352941176</v>
      </c>
      <c r="T14" s="17">
        <f t="shared" si="7"/>
        <v>0.0010705882352941177</v>
      </c>
      <c r="U14" s="9"/>
      <c r="V14" s="17"/>
      <c r="W14" s="9"/>
      <c r="X14" s="17"/>
      <c r="Y14" s="9"/>
      <c r="Z14" s="17"/>
      <c r="AA14" s="9"/>
      <c r="AB14" s="17"/>
      <c r="AC14" s="9"/>
      <c r="AD14" s="18"/>
      <c r="AE14" s="9"/>
      <c r="AF14" s="18"/>
      <c r="AG14" s="9"/>
      <c r="AH14" s="18"/>
      <c r="AI14" s="9"/>
      <c r="AJ14" s="18"/>
      <c r="AK14" s="9"/>
      <c r="AL14" s="18"/>
      <c r="AM14" s="9"/>
      <c r="AN14" s="18"/>
      <c r="AO14" s="9"/>
      <c r="AP14" s="18"/>
      <c r="AQ14" s="9"/>
      <c r="AR14" s="18"/>
    </row>
    <row r="15" spans="1:44" s="8" customFormat="1" ht="12.75">
      <c r="A15" s="8" t="s">
        <v>15</v>
      </c>
      <c r="B15" s="8">
        <v>25</v>
      </c>
      <c r="C15" s="8" t="s">
        <v>63</v>
      </c>
      <c r="D15" s="16">
        <v>0.1</v>
      </c>
      <c r="E15" s="9"/>
      <c r="F15" s="17">
        <v>0.0031111111111111114</v>
      </c>
      <c r="G15" s="17">
        <f t="shared" si="0"/>
        <v>0.0031111111111111114</v>
      </c>
      <c r="H15" s="17">
        <f t="shared" si="1"/>
        <v>0.0003111111111111112</v>
      </c>
      <c r="I15" s="9"/>
      <c r="J15" s="17">
        <v>0.0015098039215686275</v>
      </c>
      <c r="K15" s="17">
        <f t="shared" si="2"/>
        <v>0.0015098039215686275</v>
      </c>
      <c r="L15" s="17">
        <f t="shared" si="3"/>
        <v>0.00015098039215686275</v>
      </c>
      <c r="M15" s="9">
        <v>1</v>
      </c>
      <c r="N15" s="17">
        <v>0.0008484848484848484</v>
      </c>
      <c r="O15" s="17">
        <f t="shared" si="4"/>
        <v>0.0004242424242424242</v>
      </c>
      <c r="P15" s="17">
        <f t="shared" si="5"/>
        <v>4.242424242424242E-05</v>
      </c>
      <c r="Q15" s="9">
        <v>1</v>
      </c>
      <c r="R15" s="17">
        <v>0.0010980392156862745</v>
      </c>
      <c r="S15" s="17">
        <f t="shared" si="6"/>
        <v>0.0005490196078431372</v>
      </c>
      <c r="T15" s="17">
        <f t="shared" si="7"/>
        <v>5.490196078431373E-05</v>
      </c>
      <c r="U15" s="9"/>
      <c r="V15" s="17"/>
      <c r="W15" s="9"/>
      <c r="X15" s="17"/>
      <c r="Y15" s="9"/>
      <c r="Z15" s="17"/>
      <c r="AA15" s="9"/>
      <c r="AB15" s="17"/>
      <c r="AC15" s="9"/>
      <c r="AD15" s="18"/>
      <c r="AE15" s="9"/>
      <c r="AF15" s="18"/>
      <c r="AG15" s="9"/>
      <c r="AH15" s="18"/>
      <c r="AI15" s="9"/>
      <c r="AJ15" s="18"/>
      <c r="AK15" s="9"/>
      <c r="AL15" s="18"/>
      <c r="AM15" s="9"/>
      <c r="AN15" s="18"/>
      <c r="AO15" s="9"/>
      <c r="AP15" s="18"/>
      <c r="AQ15" s="9"/>
      <c r="AR15" s="18"/>
    </row>
    <row r="16" spans="1:44" s="8" customFormat="1" ht="12.75">
      <c r="A16" s="8" t="s">
        <v>15</v>
      </c>
      <c r="B16" s="8">
        <v>26</v>
      </c>
      <c r="C16" s="8" t="s">
        <v>64</v>
      </c>
      <c r="D16" s="16">
        <v>0.1</v>
      </c>
      <c r="E16" s="9">
        <v>1</v>
      </c>
      <c r="F16" s="17">
        <v>0.0024040404040404</v>
      </c>
      <c r="G16" s="17">
        <f t="shared" si="0"/>
        <v>0.0012020202020202</v>
      </c>
      <c r="H16" s="17">
        <f t="shared" si="1"/>
        <v>0.00012020202020202001</v>
      </c>
      <c r="I16" s="9"/>
      <c r="J16" s="17">
        <v>0.0017843137254902</v>
      </c>
      <c r="K16" s="17">
        <f t="shared" si="2"/>
        <v>0.0017843137254902</v>
      </c>
      <c r="L16" s="17">
        <f t="shared" si="3"/>
        <v>0.00017843137254902</v>
      </c>
      <c r="M16" s="9"/>
      <c r="N16" s="17">
        <v>0.0011313131313131313</v>
      </c>
      <c r="O16" s="17">
        <f t="shared" si="4"/>
        <v>0.0011313131313131313</v>
      </c>
      <c r="P16" s="17">
        <f t="shared" si="5"/>
        <v>0.00011313131313131313</v>
      </c>
      <c r="Q16" s="9"/>
      <c r="R16" s="17">
        <v>0.0038431372549019606</v>
      </c>
      <c r="S16" s="17">
        <f t="shared" si="6"/>
        <v>0.0038431372549019606</v>
      </c>
      <c r="T16" s="17">
        <f t="shared" si="7"/>
        <v>0.0003843137254901961</v>
      </c>
      <c r="U16" s="9"/>
      <c r="V16" s="17"/>
      <c r="W16" s="9"/>
      <c r="X16" s="17"/>
      <c r="Y16" s="9"/>
      <c r="Z16" s="17"/>
      <c r="AA16" s="9"/>
      <c r="AB16" s="17"/>
      <c r="AC16" s="9"/>
      <c r="AD16" s="18"/>
      <c r="AE16" s="9"/>
      <c r="AF16" s="18"/>
      <c r="AG16" s="9"/>
      <c r="AH16" s="18"/>
      <c r="AI16" s="9"/>
      <c r="AJ16" s="18"/>
      <c r="AK16" s="9"/>
      <c r="AL16" s="18"/>
      <c r="AM16" s="9"/>
      <c r="AN16" s="18"/>
      <c r="AO16" s="9"/>
      <c r="AP16" s="18"/>
      <c r="AQ16" s="9"/>
      <c r="AR16" s="18"/>
    </row>
    <row r="17" spans="1:44" s="8" customFormat="1" ht="12.75">
      <c r="A17" s="8" t="s">
        <v>15</v>
      </c>
      <c r="B17" s="8">
        <v>29</v>
      </c>
      <c r="C17" s="8" t="s">
        <v>65</v>
      </c>
      <c r="D17" s="16">
        <v>0.01</v>
      </c>
      <c r="E17" s="9"/>
      <c r="F17" s="17">
        <v>0.024747474747474744</v>
      </c>
      <c r="G17" s="17">
        <f t="shared" si="0"/>
        <v>0.024747474747474744</v>
      </c>
      <c r="H17" s="17">
        <f t="shared" si="1"/>
        <v>0.00024747474747474743</v>
      </c>
      <c r="I17" s="9"/>
      <c r="J17" s="17">
        <v>0.010705882352941176</v>
      </c>
      <c r="K17" s="17">
        <f t="shared" si="2"/>
        <v>0.010705882352941176</v>
      </c>
      <c r="L17" s="17">
        <f t="shared" si="3"/>
        <v>0.00010705882352941177</v>
      </c>
      <c r="M17" s="9"/>
      <c r="N17" s="17">
        <v>0.0053737373737373735</v>
      </c>
      <c r="O17" s="17">
        <f t="shared" si="4"/>
        <v>0.0053737373737373735</v>
      </c>
      <c r="P17" s="17">
        <f t="shared" si="5"/>
        <v>5.3737373737373735E-05</v>
      </c>
      <c r="Q17" s="9"/>
      <c r="R17" s="17">
        <v>0.017568627450980392</v>
      </c>
      <c r="S17" s="17">
        <f t="shared" si="6"/>
        <v>0.017568627450980392</v>
      </c>
      <c r="T17" s="17">
        <f t="shared" si="7"/>
        <v>0.00017568627450980392</v>
      </c>
      <c r="U17" s="9"/>
      <c r="V17" s="17"/>
      <c r="W17" s="9"/>
      <c r="X17" s="17"/>
      <c r="Y17" s="9"/>
      <c r="Z17" s="17"/>
      <c r="AA17" s="9"/>
      <c r="AB17" s="17"/>
      <c r="AC17" s="9"/>
      <c r="AD17" s="18"/>
      <c r="AE17" s="9"/>
      <c r="AF17" s="18"/>
      <c r="AG17" s="9"/>
      <c r="AH17" s="18"/>
      <c r="AI17" s="9"/>
      <c r="AJ17" s="18"/>
      <c r="AK17" s="9"/>
      <c r="AL17" s="18"/>
      <c r="AM17" s="9"/>
      <c r="AN17" s="18"/>
      <c r="AO17" s="9"/>
      <c r="AP17" s="18"/>
      <c r="AQ17" s="9"/>
      <c r="AR17" s="18"/>
    </row>
    <row r="18" spans="1:44" s="8" customFormat="1" ht="12.75">
      <c r="A18" s="8" t="s">
        <v>15</v>
      </c>
      <c r="B18" s="8">
        <v>30</v>
      </c>
      <c r="C18" s="8" t="s">
        <v>66</v>
      </c>
      <c r="D18" s="16">
        <v>0.01</v>
      </c>
      <c r="E18" s="9"/>
      <c r="F18" s="17">
        <v>0.0048080808080808</v>
      </c>
      <c r="G18" s="17">
        <f t="shared" si="0"/>
        <v>0.0048080808080808</v>
      </c>
      <c r="H18" s="17">
        <f t="shared" si="1"/>
        <v>4.8080808080808004E-05</v>
      </c>
      <c r="I18" s="9"/>
      <c r="J18" s="17">
        <v>0.002058823529411765</v>
      </c>
      <c r="K18" s="17">
        <f t="shared" si="2"/>
        <v>0.002058823529411765</v>
      </c>
      <c r="L18" s="17">
        <f t="shared" si="3"/>
        <v>2.058823529411765E-05</v>
      </c>
      <c r="M18" s="9">
        <v>1</v>
      </c>
      <c r="N18" s="17">
        <v>0.0011313131313131313</v>
      </c>
      <c r="O18" s="17">
        <f t="shared" si="4"/>
        <v>0.0005656565656565656</v>
      </c>
      <c r="P18" s="17">
        <f t="shared" si="5"/>
        <v>5.656565656565656E-06</v>
      </c>
      <c r="Q18" s="9">
        <v>1</v>
      </c>
      <c r="R18" s="17">
        <v>0.0016470588235294116</v>
      </c>
      <c r="S18" s="17">
        <f t="shared" si="6"/>
        <v>0.0008235294117647058</v>
      </c>
      <c r="T18" s="17">
        <f t="shared" si="7"/>
        <v>8.235294117647058E-06</v>
      </c>
      <c r="U18" s="9"/>
      <c r="V18" s="17"/>
      <c r="W18" s="9"/>
      <c r="X18" s="17"/>
      <c r="Y18" s="9"/>
      <c r="Z18" s="17"/>
      <c r="AA18" s="9"/>
      <c r="AB18" s="17"/>
      <c r="AC18" s="9"/>
      <c r="AD18" s="18"/>
      <c r="AE18" s="9"/>
      <c r="AF18" s="18"/>
      <c r="AG18" s="9"/>
      <c r="AH18" s="18"/>
      <c r="AI18" s="9"/>
      <c r="AJ18" s="18"/>
      <c r="AK18" s="9"/>
      <c r="AL18" s="18"/>
      <c r="AM18" s="9"/>
      <c r="AN18" s="18"/>
      <c r="AO18" s="9"/>
      <c r="AP18" s="18"/>
      <c r="AQ18" s="9"/>
      <c r="AR18" s="18"/>
    </row>
    <row r="19" spans="1:44" s="8" customFormat="1" ht="12.75">
      <c r="A19" s="8" t="s">
        <v>15</v>
      </c>
      <c r="B19" s="8">
        <v>33</v>
      </c>
      <c r="C19" s="8" t="s">
        <v>67</v>
      </c>
      <c r="D19" s="16">
        <v>0.001</v>
      </c>
      <c r="E19" s="9"/>
      <c r="F19" s="17">
        <v>0.026303030303030307</v>
      </c>
      <c r="G19" s="17">
        <f t="shared" si="0"/>
        <v>0.026303030303030307</v>
      </c>
      <c r="H19" s="17">
        <f t="shared" si="1"/>
        <v>2.6303030303030307E-05</v>
      </c>
      <c r="I19" s="9"/>
      <c r="J19" s="17">
        <v>0.015784313725490197</v>
      </c>
      <c r="K19" s="17">
        <f t="shared" si="2"/>
        <v>0.015784313725490197</v>
      </c>
      <c r="L19" s="17">
        <f t="shared" si="3"/>
        <v>1.5784313725490197E-05</v>
      </c>
      <c r="M19" s="9"/>
      <c r="N19" s="17">
        <v>0.010464646464646465</v>
      </c>
      <c r="O19" s="17">
        <f t="shared" si="4"/>
        <v>0.010464646464646465</v>
      </c>
      <c r="P19" s="17">
        <f t="shared" si="5"/>
        <v>1.0464646464646465E-05</v>
      </c>
      <c r="Q19" s="9"/>
      <c r="R19" s="17">
        <v>0.02127450980392157</v>
      </c>
      <c r="S19" s="17">
        <f t="shared" si="6"/>
        <v>0.02127450980392157</v>
      </c>
      <c r="T19" s="17">
        <f t="shared" si="7"/>
        <v>2.1274509803921568E-05</v>
      </c>
      <c r="U19" s="9"/>
      <c r="V19" s="17"/>
      <c r="W19" s="9"/>
      <c r="X19" s="17"/>
      <c r="Y19" s="9"/>
      <c r="Z19" s="17"/>
      <c r="AA19" s="9"/>
      <c r="AB19" s="17"/>
      <c r="AC19" s="9"/>
      <c r="AD19" s="18"/>
      <c r="AE19" s="9"/>
      <c r="AF19" s="18"/>
      <c r="AG19" s="9"/>
      <c r="AH19" s="18"/>
      <c r="AI19" s="9"/>
      <c r="AJ19" s="18"/>
      <c r="AK19" s="9"/>
      <c r="AL19" s="18"/>
      <c r="AM19" s="9"/>
      <c r="AN19" s="18"/>
      <c r="AO19" s="9"/>
      <c r="AP19" s="18"/>
      <c r="AQ19" s="9"/>
      <c r="AR19" s="18"/>
    </row>
    <row r="20" spans="1:44" s="8" customFormat="1" ht="12.75">
      <c r="A20" s="8" t="s">
        <v>15</v>
      </c>
      <c r="B20" s="8">
        <v>34</v>
      </c>
      <c r="C20" s="8" t="s">
        <v>68</v>
      </c>
      <c r="D20" s="16"/>
      <c r="E20" s="9"/>
      <c r="F20" s="17"/>
      <c r="G20" s="17"/>
      <c r="H20" s="17"/>
      <c r="I20" s="9"/>
      <c r="J20" s="17"/>
      <c r="K20" s="17"/>
      <c r="L20" s="17"/>
      <c r="M20" s="9"/>
      <c r="N20" s="17"/>
      <c r="O20" s="17"/>
      <c r="P20" s="17"/>
      <c r="Q20" s="9"/>
      <c r="R20" s="17"/>
      <c r="S20" s="17"/>
      <c r="T20" s="17"/>
      <c r="U20" s="9"/>
      <c r="V20" s="17"/>
      <c r="W20" s="9"/>
      <c r="X20" s="17"/>
      <c r="Y20" s="9"/>
      <c r="Z20" s="17"/>
      <c r="AA20" s="9"/>
      <c r="AB20" s="17"/>
      <c r="AC20" s="9"/>
      <c r="AD20" s="18"/>
      <c r="AE20" s="9"/>
      <c r="AF20" s="18"/>
      <c r="AG20" s="9"/>
      <c r="AH20" s="18"/>
      <c r="AI20" s="9"/>
      <c r="AJ20" s="18"/>
      <c r="AK20" s="9"/>
      <c r="AL20" s="18"/>
      <c r="AM20" s="9"/>
      <c r="AN20" s="18"/>
      <c r="AO20" s="9"/>
      <c r="AP20" s="18"/>
      <c r="AQ20" s="9"/>
      <c r="AR20" s="18"/>
    </row>
    <row r="21" spans="1:44" s="8" customFormat="1" ht="12.75">
      <c r="A21" s="8" t="s">
        <v>15</v>
      </c>
      <c r="B21" s="8">
        <v>35</v>
      </c>
      <c r="C21" s="8" t="s">
        <v>51</v>
      </c>
      <c r="D21" s="16"/>
      <c r="E21" s="34">
        <f>(F21-H21)*2/F21*100</f>
        <v>2.983084158068583</v>
      </c>
      <c r="F21" s="17">
        <v>0.0080589090909091</v>
      </c>
      <c r="G21" s="17"/>
      <c r="H21" s="17">
        <f>SUM(H5:H19)</f>
        <v>0.00793870707070707</v>
      </c>
      <c r="I21" s="34">
        <f>(J21-L21)*2/J21*100</f>
        <v>10.456181305320687</v>
      </c>
      <c r="J21" s="17">
        <v>0.0056444705882353</v>
      </c>
      <c r="K21" s="17"/>
      <c r="L21" s="17">
        <f>SUM(L5:L19)</f>
        <v>0.005349372549019608</v>
      </c>
      <c r="M21" s="34">
        <f>(N21-P21)*2/N21*100</f>
        <v>15.966530054644975</v>
      </c>
      <c r="N21" s="17">
        <v>0.0066249696969697</v>
      </c>
      <c r="O21" s="17"/>
      <c r="P21" s="17">
        <f>SUM(P5:P19)</f>
        <v>0.006096080808080806</v>
      </c>
      <c r="Q21" s="34">
        <f>(R21-T21)*2/R21*100</f>
        <v>2.4372939359793486</v>
      </c>
      <c r="R21" s="17">
        <v>0.016443823529411764</v>
      </c>
      <c r="S21" s="17"/>
      <c r="T21" s="17">
        <f>SUM(T5:T19)</f>
        <v>0.016243431372549015</v>
      </c>
      <c r="U21" s="9"/>
      <c r="V21" s="17"/>
      <c r="W21" s="9"/>
      <c r="X21" s="17"/>
      <c r="Y21" s="9"/>
      <c r="Z21" s="17"/>
      <c r="AA21" s="9"/>
      <c r="AB21" s="17"/>
      <c r="AC21" s="9"/>
      <c r="AD21" s="18"/>
      <c r="AE21" s="9"/>
      <c r="AF21" s="18"/>
      <c r="AG21" s="9"/>
      <c r="AH21" s="18"/>
      <c r="AI21" s="9"/>
      <c r="AJ21" s="18"/>
      <c r="AK21" s="9"/>
      <c r="AL21" s="18"/>
      <c r="AM21" s="9"/>
      <c r="AN21" s="18"/>
      <c r="AO21" s="9"/>
      <c r="AP21" s="18"/>
      <c r="AQ21" s="9"/>
      <c r="AR21" s="18"/>
    </row>
    <row r="23" ht="12.75">
      <c r="C23" t="s">
        <v>179</v>
      </c>
    </row>
  </sheetData>
  <mergeCells count="4">
    <mergeCell ref="F2:H2"/>
    <mergeCell ref="J2:L2"/>
    <mergeCell ref="N2:P2"/>
    <mergeCell ref="R2:T2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2004-02-25T17:26:52Z</cp:lastPrinted>
  <dcterms:created xsi:type="dcterms:W3CDTF">2002-05-23T17:23:07Z</dcterms:created>
  <dcterms:modified xsi:type="dcterms:W3CDTF">2004-02-25T17:27:20Z</dcterms:modified>
  <cp:category/>
  <cp:version/>
  <cp:contentType/>
  <cp:contentStatus/>
</cp:coreProperties>
</file>