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64" activeTab="4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" sheetId="8" r:id="rId8"/>
    <sheet name="df c10" sheetId="9" r:id="rId9"/>
    <sheet name="df c2" sheetId="10" r:id="rId10"/>
    <sheet name="df c3" sheetId="11" r:id="rId11"/>
    <sheet name="df c4" sheetId="12" r:id="rId12"/>
    <sheet name="old feeds" sheetId="13" r:id="rId13"/>
  </sheets>
  <definedNames>
    <definedName name="_xlnm.Print_Titles" localSheetId="4">'emiss 2'!$B:$B</definedName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<sst xmlns="http://schemas.openxmlformats.org/spreadsheetml/2006/main" count="4091" uniqueCount="324">
  <si>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</si>
  <si>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</si>
  <si>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</si>
  <si>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</si>
  <si>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</si>
  <si>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</si>
  <si>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</si>
  <si>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</si>
  <si>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</si>
  <si>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</si>
  <si>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</si>
  <si>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</si>
  <si>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</si>
  <si>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Testing Firm</t>
  </si>
  <si>
    <t xml:space="preserve">    Condition Descr</t>
  </si>
  <si>
    <t xml:space="preserve">    Content</t>
  </si>
  <si>
    <t>Units</t>
  </si>
  <si>
    <t>PM</t>
  </si>
  <si>
    <t>gr/dscf</t>
  </si>
  <si>
    <t>y</t>
  </si>
  <si>
    <t>ppmv</t>
  </si>
  <si>
    <t>dscfm</t>
  </si>
  <si>
    <t>%</t>
  </si>
  <si>
    <t>°F</t>
  </si>
  <si>
    <t>nd</t>
  </si>
  <si>
    <t>Feedstream Description</t>
  </si>
  <si>
    <t>Heating Value</t>
  </si>
  <si>
    <t>Btu/lb</t>
  </si>
  <si>
    <t>Ash</t>
  </si>
  <si>
    <t>Chlorine</t>
  </si>
  <si>
    <t>HCl</t>
  </si>
  <si>
    <t>Cl2</t>
  </si>
  <si>
    <t>DRE</t>
  </si>
  <si>
    <t>lb/hr</t>
  </si>
  <si>
    <t>Run 1</t>
  </si>
  <si>
    <t>Run 2</t>
  </si>
  <si>
    <t>Run 3</t>
  </si>
  <si>
    <t>MMBtu/hr</t>
  </si>
  <si>
    <t>ug/dscm</t>
  </si>
  <si>
    <t>SVM</t>
  </si>
  <si>
    <t>LVM</t>
  </si>
  <si>
    <t>Stack Gas Flowrate</t>
  </si>
  <si>
    <t>Oxygen</t>
  </si>
  <si>
    <t>mg/dscm</t>
  </si>
  <si>
    <t>Stack Gas Emissions</t>
  </si>
  <si>
    <t>Moisture</t>
  </si>
  <si>
    <t>min</t>
  </si>
  <si>
    <t>Combustor Characteristics</t>
  </si>
  <si>
    <t>7% O2</t>
  </si>
  <si>
    <t>Process Information</t>
  </si>
  <si>
    <t>Supplemental Fuel</t>
  </si>
  <si>
    <t>POHC DRE</t>
  </si>
  <si>
    <t xml:space="preserve">    Testing Dates</t>
  </si>
  <si>
    <t>Capacity (MMBtu/hr)</t>
  </si>
  <si>
    <t>Est Total Firing Rate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</si>
  <si>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</si>
  <si>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</si>
  <si>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</si>
  <si>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</si>
  <si>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</si>
  <si>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</si>
  <si>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</si>
  <si>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</si>
  <si>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Comments</t>
  </si>
  <si>
    <t>PM, HCl/Cl2</t>
  </si>
  <si>
    <t>POHC Feedrate</t>
  </si>
  <si>
    <t>Emission Rate</t>
  </si>
  <si>
    <t xml:space="preserve">   O2</t>
  </si>
  <si>
    <t xml:space="preserve">   Moisture</t>
  </si>
  <si>
    <t>Total Chlorine</t>
  </si>
  <si>
    <t>Sampling Train</t>
  </si>
  <si>
    <t>Trial burn</t>
  </si>
  <si>
    <t>*</t>
  </si>
  <si>
    <t>HWC Burn Status (Date if Terminated)</t>
  </si>
  <si>
    <t xml:space="preserve">    Report Preparation</t>
  </si>
  <si>
    <t>CO (RA)</t>
  </si>
  <si>
    <t>NY</t>
  </si>
  <si>
    <t>Feed Rate</t>
  </si>
  <si>
    <t>Specific Gravity</t>
  </si>
  <si>
    <t>mg/kg</t>
  </si>
  <si>
    <t>Total</t>
  </si>
  <si>
    <t>Hazardous Wastes</t>
  </si>
  <si>
    <t>Fuel Oil</t>
  </si>
  <si>
    <t>PCDD/PCDF</t>
  </si>
  <si>
    <t>Facility Name and ID:</t>
  </si>
  <si>
    <t>Condition ID:</t>
  </si>
  <si>
    <t>Condition/Test Date:</t>
  </si>
  <si>
    <t>I-TEF</t>
  </si>
  <si>
    <t>Wght Fact</t>
  </si>
  <si>
    <t xml:space="preserve"> TEQ</t>
  </si>
  <si>
    <t>TEQ</t>
  </si>
  <si>
    <t>1/2 ND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</si>
  <si>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</si>
  <si>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</si>
  <si>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</si>
  <si>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</si>
  <si>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</si>
  <si>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</si>
  <si>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</si>
  <si>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</si>
  <si>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</si>
  <si>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</si>
  <si>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</si>
  <si>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</si>
  <si>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</si>
  <si>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</si>
  <si>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</si>
  <si>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</si>
  <si>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</si>
  <si>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</si>
  <si>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</si>
  <si>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</si>
  <si>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</si>
  <si>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</si>
  <si>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</si>
  <si>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</si>
  <si>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 xml:space="preserve"> </t>
  </si>
  <si>
    <t>Total HpCDF</t>
  </si>
  <si>
    <t>Gas sample volume (dscf)</t>
  </si>
  <si>
    <t>O2 (%)</t>
  </si>
  <si>
    <t>PCDD/PCDF (ng in sample)</t>
  </si>
  <si>
    <t>PCDD/PCDF (ng/dscm @ 7% O2)</t>
  </si>
  <si>
    <t>TEQ Cond Avg</t>
  </si>
  <si>
    <t>Total Cond Avg</t>
  </si>
  <si>
    <t>Detected in sample volume (ng)</t>
  </si>
  <si>
    <t>Niagara Falls</t>
  </si>
  <si>
    <t>Occidental Chemical Corp, Niagara Plant</t>
  </si>
  <si>
    <t>Incinerator</t>
  </si>
  <si>
    <t>QC/ABS/IWS</t>
  </si>
  <si>
    <t>Quench Chamber, Absorber/Condensor, Two Stage Ionizing Wet Scrubber.</t>
  </si>
  <si>
    <r>
      <t>Liquid Injection, Carbon steel shell w/ high temperature refractory lining. 12' 8" OD x 21' tall, Internal Volume=1017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</si>
  <si>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t>Liquid Organics, Waste water, Fuel Oil</t>
  </si>
  <si>
    <t>Fuel Oil, Natural Gas</t>
  </si>
  <si>
    <t>Focus Environmental Inc</t>
  </si>
  <si>
    <t>Focus/Galson Corp/RCRA Labnet</t>
  </si>
  <si>
    <t>Trial Burn Report, Occidental Chemical Corporation, Niagara Plant Liquid Waste Incinerator Burning Organic and Aqueous Wastes, January 1998</t>
  </si>
  <si>
    <t>October 13-17, 1997</t>
  </si>
  <si>
    <r>
      <t>PM, HCl/Cl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CO, SVOC, VOC, D/F</t>
    </r>
  </si>
  <si>
    <t>lbs/hr</t>
  </si>
  <si>
    <t>Phenol</t>
  </si>
  <si>
    <t>1,2 Dichlorobenzene</t>
  </si>
  <si>
    <t>1,2,4-Trichlorobenzene</t>
  </si>
  <si>
    <t>Tetrachlorethane</t>
  </si>
  <si>
    <t>&gt;</t>
  </si>
  <si>
    <t>D/F</t>
  </si>
  <si>
    <t>lb/min</t>
  </si>
  <si>
    <t>Organic Waste</t>
  </si>
  <si>
    <t>Aq. Waste, Nozzle 2</t>
  </si>
  <si>
    <t>Aq. Waste, Nozzle 1</t>
  </si>
  <si>
    <t>Tetrachloroethane</t>
  </si>
  <si>
    <t>OCC, Niagara Plant</t>
  </si>
  <si>
    <t>Oct 13-17, 1997</t>
  </si>
  <si>
    <t>Absorber/Condensor recycle liquid pH</t>
  </si>
  <si>
    <t>°C</t>
  </si>
  <si>
    <t>in H2O</t>
  </si>
  <si>
    <t>scfm</t>
  </si>
  <si>
    <t>kV</t>
  </si>
  <si>
    <t xml:space="preserve">Combustion chamber body temperature </t>
  </si>
  <si>
    <t xml:space="preserve">Combustion chamber exit temperature </t>
  </si>
  <si>
    <t xml:space="preserve">Combustion chamber pressure </t>
  </si>
  <si>
    <t>Combustion air flow rate</t>
  </si>
  <si>
    <t xml:space="preserve">Quench outlet gas temperature </t>
  </si>
  <si>
    <t>IWS unit 1 DC Voltage</t>
  </si>
  <si>
    <t>IWS unit 2 DC Voltage</t>
  </si>
  <si>
    <t>Trial Burn, Maximum Combined waste and fuel oil feed, minimum temperature, max stack gas flow, max Cl feed</t>
  </si>
  <si>
    <t>source</t>
  </si>
  <si>
    <t>process</t>
  </si>
  <si>
    <t>348C10</t>
  </si>
  <si>
    <t>df c10</t>
  </si>
  <si>
    <t>348C10 Trial Burn</t>
  </si>
  <si>
    <t>Condition Description</t>
  </si>
  <si>
    <t>Liquid Organics: Taft NAPL blended w/ 1,2 dichlorobenzene,1,2,4-trichlorobenzene, and tetrachlroethane.  Aqueous Liquid Waste: Durez waste blended w/ phenol</t>
  </si>
  <si>
    <t>348C1</t>
  </si>
  <si>
    <t/>
  </si>
  <si>
    <t>Arsenic</t>
  </si>
  <si>
    <t>Cadmium</t>
  </si>
  <si>
    <t>Chromium</t>
  </si>
  <si>
    <t>Chromium (Hex)</t>
  </si>
  <si>
    <t>Nickel</t>
  </si>
  <si>
    <t>348C2</t>
  </si>
  <si>
    <t>Antimony</t>
  </si>
  <si>
    <t>Barium</t>
  </si>
  <si>
    <t>Beryllium</t>
  </si>
  <si>
    <t>Lead</t>
  </si>
  <si>
    <t>Mercury</t>
  </si>
  <si>
    <t>Selenium</t>
  </si>
  <si>
    <t>Silver</t>
  </si>
  <si>
    <t>Thallium</t>
  </si>
  <si>
    <t>348C3</t>
  </si>
  <si>
    <t>HF</t>
  </si>
  <si>
    <t>348C4</t>
  </si>
  <si>
    <t>CO (MHRA)</t>
  </si>
  <si>
    <t>HC (MHRA)</t>
  </si>
  <si>
    <t>HC (RA)</t>
  </si>
  <si>
    <t>R1</t>
  </si>
  <si>
    <t>R2</t>
  </si>
  <si>
    <t>R3</t>
  </si>
  <si>
    <t>R4</t>
  </si>
  <si>
    <t>Cond Avg</t>
  </si>
  <si>
    <t>Stack Gas Emissions 2</t>
  </si>
  <si>
    <t>Cr Hex</t>
  </si>
  <si>
    <t>Stack gas flowrate</t>
  </si>
  <si>
    <t>Temperature</t>
  </si>
  <si>
    <t>Halogens</t>
  </si>
  <si>
    <t>Metals</t>
  </si>
  <si>
    <t>SVOC</t>
  </si>
  <si>
    <t>1,2-dichlorobenzene</t>
  </si>
  <si>
    <t>PCBs</t>
  </si>
  <si>
    <t>Tetrachloroethene</t>
  </si>
  <si>
    <t>Parachlorobenzotrifluoride</t>
  </si>
  <si>
    <t>4D 2378</t>
  </si>
  <si>
    <t>4D Other</t>
  </si>
  <si>
    <t>4D Total</t>
  </si>
  <si>
    <t>5D 12378</t>
  </si>
  <si>
    <t>5D Other</t>
  </si>
  <si>
    <t>5D Total</t>
  </si>
  <si>
    <t>6D 123478</t>
  </si>
  <si>
    <t>6D 123678</t>
  </si>
  <si>
    <t>6D 123789</t>
  </si>
  <si>
    <t>6D Other</t>
  </si>
  <si>
    <t>6D Total</t>
  </si>
  <si>
    <t>7D 1234678</t>
  </si>
  <si>
    <t>7D Other</t>
  </si>
  <si>
    <t>7D Total</t>
  </si>
  <si>
    <t>8D</t>
  </si>
  <si>
    <t>4F 2378</t>
  </si>
  <si>
    <t>4F Other</t>
  </si>
  <si>
    <t>4F Total</t>
  </si>
  <si>
    <t>5F 12378</t>
  </si>
  <si>
    <t>5F 23478</t>
  </si>
  <si>
    <t>5F Other</t>
  </si>
  <si>
    <t>5F Total</t>
  </si>
  <si>
    <t>6F 123478</t>
  </si>
  <si>
    <t>6F 123678</t>
  </si>
  <si>
    <t>6F 123789</t>
  </si>
  <si>
    <t>6F 234678</t>
  </si>
  <si>
    <t>6F Other</t>
  </si>
  <si>
    <t>6F Total</t>
  </si>
  <si>
    <t>7F 1234678</t>
  </si>
  <si>
    <t>7F 1234789</t>
  </si>
  <si>
    <t>7F Other</t>
  </si>
  <si>
    <t>7F Total</t>
  </si>
  <si>
    <t>8F</t>
  </si>
  <si>
    <t>Total PCDD/PCDF</t>
  </si>
  <si>
    <t>Wt Fact</t>
  </si>
  <si>
    <t>ng/dscm</t>
  </si>
  <si>
    <t>Full ND</t>
  </si>
  <si>
    <t>348C1R1</t>
  </si>
  <si>
    <t>34813</t>
  </si>
  <si>
    <t>ug/g</t>
  </si>
  <si>
    <t>SPIKE</t>
  </si>
  <si>
    <t>METALS (AS,CD,CR,NI)</t>
  </si>
  <si>
    <t>34811</t>
  </si>
  <si>
    <t>ND</t>
  </si>
  <si>
    <t>WASTE</t>
  </si>
  <si>
    <t>ORGANIC</t>
  </si>
  <si>
    <t>34812</t>
  </si>
  <si>
    <t>FUEL</t>
  </si>
  <si>
    <t>OIL</t>
  </si>
  <si>
    <t>Feedrate</t>
  </si>
  <si>
    <t>Heating value</t>
  </si>
  <si>
    <t>348C1R2</t>
  </si>
  <si>
    <t>348C1R3</t>
  </si>
  <si>
    <t>348C2R1</t>
  </si>
  <si>
    <t>348C2R2</t>
  </si>
  <si>
    <t>348C2R3</t>
  </si>
  <si>
    <t>348C2R4</t>
  </si>
  <si>
    <t>348C3R1</t>
  </si>
  <si>
    <t>348C3R2</t>
  </si>
  <si>
    <t>348C3R3</t>
  </si>
  <si>
    <t>348C4R1</t>
  </si>
  <si>
    <t>348C4R2</t>
  </si>
  <si>
    <t>348C4R3</t>
  </si>
  <si>
    <t>run</t>
  </si>
  <si>
    <t>cond id</t>
  </si>
  <si>
    <t>stream</t>
  </si>
  <si>
    <t>cond</t>
  </si>
  <si>
    <t>sub</t>
  </si>
  <si>
    <t>val</t>
  </si>
  <si>
    <t>unit</t>
  </si>
  <si>
    <t>Organic liquid</t>
  </si>
  <si>
    <t>Fuel oil</t>
  </si>
  <si>
    <t>Spike</t>
  </si>
  <si>
    <t>Feedstream Descr</t>
  </si>
  <si>
    <t>Feed Class 2</t>
  </si>
  <si>
    <t>ppmw</t>
  </si>
  <si>
    <t>HW</t>
  </si>
  <si>
    <t>MF</t>
  </si>
  <si>
    <t>Feedrate MTECs</t>
  </si>
  <si>
    <t>E1</t>
  </si>
  <si>
    <t>E2</t>
  </si>
  <si>
    <t>E3</t>
  </si>
  <si>
    <t>E4</t>
  </si>
  <si>
    <t>wt %</t>
  </si>
  <si>
    <t xml:space="preserve">    Cond Date</t>
  </si>
  <si>
    <t>df c2</t>
  </si>
  <si>
    <t>df c3</t>
  </si>
  <si>
    <t>df c4</t>
  </si>
  <si>
    <t>Combustor Class</t>
  </si>
  <si>
    <t>No</t>
  </si>
  <si>
    <t>Phase I ID No.</t>
  </si>
  <si>
    <t>Combustor Type</t>
  </si>
  <si>
    <t>APCS General Class</t>
  </si>
  <si>
    <t>APCS Detailed Acronym</t>
  </si>
  <si>
    <t>Liquid injection</t>
  </si>
  <si>
    <t>QC, LEWS, IWS</t>
  </si>
  <si>
    <t>Feedrate 1</t>
  </si>
  <si>
    <t>Feedstream 2</t>
  </si>
  <si>
    <t>Dec 12 - 14, 1994</t>
  </si>
  <si>
    <t>Dec 15-16, 1994</t>
  </si>
  <si>
    <t>Dec 17-18, 1994</t>
  </si>
  <si>
    <t>Preliminary Trial Burn of the Occidental Chemical Corporation Liquid Waste Incinerator Facility, Niagara Falls, New York, Test Report, MRI Project No. 3539-M(02), February 10, 1994</t>
  </si>
  <si>
    <t>MRI</t>
  </si>
  <si>
    <t>Dec 15-16, 1993</t>
  </si>
  <si>
    <t>Trial Burn of the Occidental Chemical Corporation Liquid Waste Incinerator Facility, Niagara Falls, New York, Test Report, MRI Project No. 3539-M(03), March 16, 1995</t>
  </si>
  <si>
    <t>Preliminary trial burn, NOMINAL CONDITIONS</t>
  </si>
  <si>
    <t>Trial burn, LOW COMB TEMP/HIGH WASTE FEED</t>
  </si>
  <si>
    <t>Trial burn, HIGH COMB TEMP/HIGH WASTE FEED</t>
  </si>
  <si>
    <t>emiss 1</t>
  </si>
  <si>
    <t>emiss 2</t>
  </si>
  <si>
    <t>feed 1</t>
  </si>
  <si>
    <t>feed 2</t>
  </si>
  <si>
    <t>N</t>
  </si>
  <si>
    <t>Thermal Feedrate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</si>
</sst>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000E+00"/>
    <numFmt numFmtId="178" formatCode="0.000E+00"/>
    <numFmt numFmtId="179" formatCode="0.00000E+00"/>
    <numFmt numFmtId="180" formatCode="0.000000E+00"/>
    <numFmt numFmtId="181" formatCode="0.0000000E+00"/>
    <numFmt numFmtId="182" formatCode="0.00000000E+00"/>
    <numFmt numFmtId="183" formatCode="0.E+00"/>
    <numFmt numFmtId="184" formatCode="0.0.E+00"/>
    <numFmt numFmtId="185" formatCode="0.00.E+00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_(* #,##0.0_);_(* \(#,##0.0\);_(* &quot;-&quot;_);_(@_)"/>
    <numFmt numFmtId="190" formatCode="_(* #,##0.00_);_(* \(#,##0.00\);_(* &quot;-&quot;_);_(@_)"/>
    <numFmt numFmtId="191" formatCode="0.0E+00"/>
    <numFmt numFmtId="192" formatCode="0E+00"/>
    <numFmt numFmtId="193" formatCode="dd\-mmm\-yy"/>
    <numFmt numFmtId="194" formatCode="0.00000%"/>
    <numFmt numFmtId="195" formatCode="mm/dd/yy"/>
  </numFmts>
  <fonts count="11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vertAlign val="subscript"/>
      <sz val="10"/>
      <name val="Arial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71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8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93" fontId="0" fillId="0" borderId="0" xfId="0" applyNumberFormat="1" applyFont="1" applyAlignment="1">
      <alignment/>
    </xf>
    <xf numFmtId="167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7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195" fontId="0" fillId="0" borderId="0" xfId="0" applyNumberFormat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Alignment="1">
      <alignment horizontal="left" vertical="top" wrapText="1"/>
    </xf>
    <xf numFmtId="165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167" fontId="0" fillId="0" borderId="0" xfId="0" applyNumberFormat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1" fontId="6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B1" sqref="B1"/>
    </sheetView>
  </sheetViews>
  <sheetFormatPr defaultColWidth="9.140625" defaultRowHeight="12.75"/>
  <sheetData>
    <row r="1" ht="12.75">
      <c r="A1" t="s">
        <v>165</v>
      </c>
    </row>
    <row r="2" ht="12.75">
      <c r="A2" t="s">
        <v>276</v>
      </c>
    </row>
    <row r="3" ht="12.75">
      <c r="A3" t="s">
        <v>318</v>
      </c>
    </row>
    <row r="4" ht="12.75">
      <c r="A4" t="s">
        <v>319</v>
      </c>
    </row>
    <row r="5" ht="12.75">
      <c r="A5" t="s">
        <v>320</v>
      </c>
    </row>
    <row r="6" ht="12.75">
      <c r="A6" t="s">
        <v>321</v>
      </c>
    </row>
    <row r="7" ht="12.75">
      <c r="A7" t="s">
        <v>166</v>
      </c>
    </row>
    <row r="8" ht="12.75">
      <c r="A8" t="s">
        <v>168</v>
      </c>
    </row>
    <row r="9" ht="12.75">
      <c r="A9" t="s">
        <v>295</v>
      </c>
    </row>
    <row r="10" ht="12.75">
      <c r="A10" t="s">
        <v>296</v>
      </c>
    </row>
    <row r="11" ht="12.75">
      <c r="A11" t="s">
        <v>297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39"/>
  <sheetViews>
    <sheetView workbookViewId="0" topLeftCell="C1">
      <selection activeCell="B31" sqref="B31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18.7109375" style="0" customWidth="1"/>
    <col min="4" max="4" width="7.00390625" style="75" customWidth="1"/>
    <col min="5" max="5" width="5.57421875" style="0" customWidth="1"/>
    <col min="7" max="7" width="7.7109375" style="77" customWidth="1"/>
    <col min="8" max="8" width="8.28125" style="77" customWidth="1"/>
    <col min="9" max="9" width="6.421875" style="0" customWidth="1"/>
    <col min="11" max="11" width="7.7109375" style="77" customWidth="1"/>
    <col min="12" max="12" width="8.28125" style="77" customWidth="1"/>
    <col min="13" max="13" width="5.8515625" style="0" customWidth="1"/>
    <col min="15" max="15" width="7.7109375" style="77" customWidth="1"/>
    <col min="16" max="16" width="8.28125" style="77" customWidth="1"/>
  </cols>
  <sheetData>
    <row r="1" ht="12.75">
      <c r="C1" s="2" t="s">
        <v>179</v>
      </c>
    </row>
    <row r="2" spans="6:16" ht="12.75">
      <c r="F2" s="97" t="s">
        <v>34</v>
      </c>
      <c r="G2" s="97"/>
      <c r="H2" s="97"/>
      <c r="J2" s="97" t="s">
        <v>35</v>
      </c>
      <c r="K2" s="97"/>
      <c r="L2" s="97"/>
      <c r="N2" s="97" t="s">
        <v>36</v>
      </c>
      <c r="O2" s="97"/>
      <c r="P2" s="97"/>
    </row>
    <row r="3" spans="3:16" ht="12.75">
      <c r="C3" t="s">
        <v>245</v>
      </c>
      <c r="D3" s="75" t="s">
        <v>87</v>
      </c>
      <c r="F3" s="67" t="s">
        <v>80</v>
      </c>
      <c r="G3" s="98" t="s">
        <v>80</v>
      </c>
      <c r="H3" s="98" t="s">
        <v>90</v>
      </c>
      <c r="J3" s="67" t="s">
        <v>80</v>
      </c>
      <c r="K3" s="98" t="s">
        <v>80</v>
      </c>
      <c r="L3" s="98" t="s">
        <v>90</v>
      </c>
      <c r="N3" s="67" t="s">
        <v>80</v>
      </c>
      <c r="O3" s="98" t="s">
        <v>80</v>
      </c>
      <c r="P3" s="98" t="s">
        <v>90</v>
      </c>
    </row>
    <row r="4" spans="4:16" ht="12.75">
      <c r="D4" s="75" t="s">
        <v>244</v>
      </c>
      <c r="F4" s="67" t="s">
        <v>246</v>
      </c>
      <c r="G4" s="98" t="s">
        <v>91</v>
      </c>
      <c r="H4" s="98" t="s">
        <v>91</v>
      </c>
      <c r="J4" s="67" t="s">
        <v>246</v>
      </c>
      <c r="K4" s="98" t="s">
        <v>91</v>
      </c>
      <c r="L4" s="98" t="s">
        <v>91</v>
      </c>
      <c r="N4" s="67" t="s">
        <v>246</v>
      </c>
      <c r="O4" s="98" t="s">
        <v>91</v>
      </c>
      <c r="P4" s="98" t="s">
        <v>91</v>
      </c>
    </row>
    <row r="5" spans="1:42" s="71" customFormat="1" ht="12.75">
      <c r="A5" s="71" t="s">
        <v>179</v>
      </c>
      <c r="B5" s="71">
        <v>1</v>
      </c>
      <c r="C5" s="71" t="s">
        <v>210</v>
      </c>
      <c r="D5" s="76">
        <v>1</v>
      </c>
      <c r="E5" s="72">
        <v>1</v>
      </c>
      <c r="F5" s="73">
        <v>0.012098289421341</v>
      </c>
      <c r="G5" s="73">
        <f>IF(E5=1,F5/2,F5)</f>
        <v>0.0060491447106705</v>
      </c>
      <c r="H5" s="73">
        <f>G5*$D5</f>
        <v>0.0060491447106705</v>
      </c>
      <c r="I5" s="72">
        <v>1</v>
      </c>
      <c r="J5" s="73">
        <v>0.012382017780024394</v>
      </c>
      <c r="K5" s="73">
        <f>IF(I5=1,J5/2,J5)</f>
        <v>0.006191008890012197</v>
      </c>
      <c r="L5" s="73">
        <f>K5*$D5</f>
        <v>0.006191008890012197</v>
      </c>
      <c r="M5" s="72">
        <v>1</v>
      </c>
      <c r="N5" s="73">
        <v>0.006393287600974482</v>
      </c>
      <c r="O5" s="73">
        <f>IF(M5=1,N5/2,N5)</f>
        <v>0.003196643800487241</v>
      </c>
      <c r="P5" s="73">
        <f>O5*$D5</f>
        <v>0.003196643800487241</v>
      </c>
      <c r="Q5" s="72"/>
      <c r="R5" s="73"/>
      <c r="S5" s="72"/>
      <c r="T5" s="73"/>
      <c r="U5" s="72"/>
      <c r="V5" s="73"/>
      <c r="W5" s="72"/>
      <c r="X5" s="73"/>
      <c r="Y5" s="72"/>
      <c r="Z5" s="73"/>
      <c r="AA5" s="72"/>
      <c r="AB5" s="74"/>
      <c r="AC5" s="72"/>
      <c r="AD5" s="74"/>
      <c r="AE5" s="72"/>
      <c r="AF5" s="74"/>
      <c r="AG5" s="72"/>
      <c r="AH5" s="74"/>
      <c r="AI5" s="72"/>
      <c r="AJ5" s="74"/>
      <c r="AK5" s="72"/>
      <c r="AL5" s="74"/>
      <c r="AM5" s="72"/>
      <c r="AN5" s="74"/>
      <c r="AO5" s="72"/>
      <c r="AP5" s="74"/>
    </row>
    <row r="6" spans="1:42" s="71" customFormat="1" ht="12.75">
      <c r="A6" s="71" t="s">
        <v>179</v>
      </c>
      <c r="B6" s="71">
        <v>2</v>
      </c>
      <c r="C6" s="71" t="s">
        <v>211</v>
      </c>
      <c r="D6" s="76">
        <v>0</v>
      </c>
      <c r="E6" s="72"/>
      <c r="F6" s="73">
        <v>0.19649290749833</v>
      </c>
      <c r="G6" s="73">
        <f aca="true" t="shared" si="0" ref="G6:G37">IF(E6=1,F6/2,F6)</f>
        <v>0.19649290749833</v>
      </c>
      <c r="H6" s="73">
        <f aca="true" t="shared" si="1" ref="H6:H37">G6*$D6</f>
        <v>0</v>
      </c>
      <c r="I6" s="72"/>
      <c r="J6" s="73">
        <v>0.212449357699366</v>
      </c>
      <c r="K6" s="73">
        <f aca="true" t="shared" si="2" ref="K6:K37">IF(I6=1,J6/2,J6)</f>
        <v>0.212449357699366</v>
      </c>
      <c r="L6" s="73">
        <f aca="true" t="shared" si="3" ref="L6:L37">K6*$D6</f>
        <v>0</v>
      </c>
      <c r="M6" s="72"/>
      <c r="N6" s="73">
        <v>0.14976134760866777</v>
      </c>
      <c r="O6" s="73">
        <f aca="true" t="shared" si="4" ref="O6:O37">IF(M6=1,N6/2,N6)</f>
        <v>0.14976134760866777</v>
      </c>
      <c r="P6" s="73">
        <f aca="true" t="shared" si="5" ref="P6:P37">O6*$D6</f>
        <v>0</v>
      </c>
      <c r="Q6" s="72"/>
      <c r="R6" s="73"/>
      <c r="S6" s="72"/>
      <c r="T6" s="73"/>
      <c r="U6" s="72"/>
      <c r="V6" s="73"/>
      <c r="W6" s="72"/>
      <c r="X6" s="73"/>
      <c r="Y6" s="72"/>
      <c r="Z6" s="73"/>
      <c r="AA6" s="72"/>
      <c r="AB6" s="74"/>
      <c r="AC6" s="72"/>
      <c r="AD6" s="74"/>
      <c r="AE6" s="72"/>
      <c r="AF6" s="74"/>
      <c r="AG6" s="72"/>
      <c r="AH6" s="74"/>
      <c r="AI6" s="72"/>
      <c r="AJ6" s="74"/>
      <c r="AK6" s="72"/>
      <c r="AL6" s="74"/>
      <c r="AM6" s="72"/>
      <c r="AN6" s="74"/>
      <c r="AO6" s="72"/>
      <c r="AP6" s="74"/>
    </row>
    <row r="7" spans="1:42" s="71" customFormat="1" ht="12.75">
      <c r="A7" s="71" t="s">
        <v>179</v>
      </c>
      <c r="B7" s="71">
        <v>3</v>
      </c>
      <c r="C7" s="71" t="s">
        <v>212</v>
      </c>
      <c r="D7" s="76">
        <v>0</v>
      </c>
      <c r="E7" s="72"/>
      <c r="F7" s="73">
        <v>0.20859119691967104</v>
      </c>
      <c r="G7" s="73">
        <f t="shared" si="0"/>
        <v>0.20859119691967104</v>
      </c>
      <c r="H7" s="73">
        <f t="shared" si="1"/>
        <v>0</v>
      </c>
      <c r="I7" s="72"/>
      <c r="J7" s="73">
        <v>0.22483137547939</v>
      </c>
      <c r="K7" s="73">
        <f t="shared" si="2"/>
        <v>0.22483137547939</v>
      </c>
      <c r="L7" s="73">
        <f t="shared" si="3"/>
        <v>0</v>
      </c>
      <c r="M7" s="72"/>
      <c r="N7" s="73">
        <v>0.15615463520964226</v>
      </c>
      <c r="O7" s="73">
        <f t="shared" si="4"/>
        <v>0.15615463520964226</v>
      </c>
      <c r="P7" s="73">
        <f t="shared" si="5"/>
        <v>0</v>
      </c>
      <c r="Q7" s="72"/>
      <c r="R7" s="73"/>
      <c r="S7" s="72"/>
      <c r="T7" s="73"/>
      <c r="U7" s="72"/>
      <c r="V7" s="73"/>
      <c r="W7" s="72"/>
      <c r="X7" s="73"/>
      <c r="Y7" s="72"/>
      <c r="Z7" s="73"/>
      <c r="AA7" s="72"/>
      <c r="AB7" s="74"/>
      <c r="AC7" s="72"/>
      <c r="AD7" s="74"/>
      <c r="AE7" s="72"/>
      <c r="AF7" s="74"/>
      <c r="AG7" s="72"/>
      <c r="AH7" s="74"/>
      <c r="AI7" s="72"/>
      <c r="AJ7" s="74"/>
      <c r="AK7" s="72"/>
      <c r="AL7" s="74"/>
      <c r="AM7" s="72"/>
      <c r="AN7" s="74"/>
      <c r="AO7" s="72"/>
      <c r="AP7" s="74"/>
    </row>
    <row r="8" spans="1:42" s="71" customFormat="1" ht="12.75">
      <c r="A8" s="71" t="s">
        <v>179</v>
      </c>
      <c r="B8" s="71">
        <v>4</v>
      </c>
      <c r="C8" s="71" t="s">
        <v>213</v>
      </c>
      <c r="D8" s="76">
        <v>0.5</v>
      </c>
      <c r="E8" s="72"/>
      <c r="F8" s="73">
        <v>0.009751638455994622</v>
      </c>
      <c r="G8" s="73">
        <f t="shared" si="0"/>
        <v>0.009751638455994622</v>
      </c>
      <c r="H8" s="73">
        <f t="shared" si="1"/>
        <v>0.004875819227997311</v>
      </c>
      <c r="I8" s="72">
        <v>1</v>
      </c>
      <c r="J8" s="73">
        <v>0.017323963472928867</v>
      </c>
      <c r="K8" s="73">
        <f t="shared" si="2"/>
        <v>0.008661981736464434</v>
      </c>
      <c r="L8" s="73">
        <f t="shared" si="3"/>
        <v>0.004330990868232217</v>
      </c>
      <c r="M8" s="72">
        <v>1</v>
      </c>
      <c r="N8" s="73">
        <v>0.0076945762277215</v>
      </c>
      <c r="O8" s="73">
        <f t="shared" si="4"/>
        <v>0.00384728811386075</v>
      </c>
      <c r="P8" s="73">
        <f t="shared" si="5"/>
        <v>0.001923644056930375</v>
      </c>
      <c r="Q8" s="72"/>
      <c r="R8" s="73"/>
      <c r="S8" s="72"/>
      <c r="T8" s="73"/>
      <c r="U8" s="72"/>
      <c r="V8" s="73"/>
      <c r="W8" s="72"/>
      <c r="X8" s="73"/>
      <c r="Y8" s="72"/>
      <c r="Z8" s="73"/>
      <c r="AA8" s="72"/>
      <c r="AB8" s="74"/>
      <c r="AC8" s="72"/>
      <c r="AD8" s="74"/>
      <c r="AE8" s="72"/>
      <c r="AF8" s="74"/>
      <c r="AG8" s="72"/>
      <c r="AH8" s="74"/>
      <c r="AI8" s="72"/>
      <c r="AJ8" s="74"/>
      <c r="AK8" s="72"/>
      <c r="AL8" s="74"/>
      <c r="AM8" s="72"/>
      <c r="AN8" s="74"/>
      <c r="AO8" s="72"/>
      <c r="AP8" s="74"/>
    </row>
    <row r="9" spans="1:42" s="71" customFormat="1" ht="12.75">
      <c r="A9" s="71" t="s">
        <v>179</v>
      </c>
      <c r="B9" s="71">
        <v>5</v>
      </c>
      <c r="C9" s="71" t="s">
        <v>214</v>
      </c>
      <c r="D9" s="76">
        <v>0</v>
      </c>
      <c r="E9" s="72"/>
      <c r="F9" s="73">
        <v>0.0971513499653368</v>
      </c>
      <c r="G9" s="73">
        <f t="shared" si="0"/>
        <v>0.0971513499653368</v>
      </c>
      <c r="H9" s="73">
        <f t="shared" si="1"/>
        <v>0</v>
      </c>
      <c r="I9" s="72"/>
      <c r="J9" s="73">
        <v>0.075541169877254</v>
      </c>
      <c r="K9" s="73">
        <f t="shared" si="2"/>
        <v>0.075541169877254</v>
      </c>
      <c r="L9" s="73">
        <f t="shared" si="3"/>
        <v>0</v>
      </c>
      <c r="M9" s="72"/>
      <c r="N9" s="73">
        <v>0.06925118604949353</v>
      </c>
      <c r="O9" s="73">
        <f t="shared" si="4"/>
        <v>0.06925118604949353</v>
      </c>
      <c r="P9" s="73">
        <f t="shared" si="5"/>
        <v>0</v>
      </c>
      <c r="Q9" s="72"/>
      <c r="R9" s="73"/>
      <c r="S9" s="72"/>
      <c r="T9" s="73"/>
      <c r="U9" s="72"/>
      <c r="V9" s="73"/>
      <c r="W9" s="72"/>
      <c r="X9" s="73"/>
      <c r="Y9" s="72"/>
      <c r="Z9" s="73"/>
      <c r="AA9" s="72"/>
      <c r="AB9" s="74"/>
      <c r="AC9" s="72"/>
      <c r="AD9" s="74"/>
      <c r="AE9" s="72"/>
      <c r="AF9" s="74"/>
      <c r="AG9" s="72"/>
      <c r="AH9" s="74"/>
      <c r="AI9" s="72"/>
      <c r="AJ9" s="74"/>
      <c r="AK9" s="72"/>
      <c r="AL9" s="74"/>
      <c r="AM9" s="72"/>
      <c r="AN9" s="74"/>
      <c r="AO9" s="72"/>
      <c r="AP9" s="74"/>
    </row>
    <row r="10" spans="1:42" s="71" customFormat="1" ht="12.75">
      <c r="A10" s="71" t="s">
        <v>179</v>
      </c>
      <c r="B10" s="71">
        <v>6</v>
      </c>
      <c r="C10" s="71" t="s">
        <v>215</v>
      </c>
      <c r="D10" s="76">
        <v>0</v>
      </c>
      <c r="E10" s="72"/>
      <c r="F10" s="73">
        <v>0.10690298842133142</v>
      </c>
      <c r="G10" s="73">
        <f t="shared" si="0"/>
        <v>0.10690298842133142</v>
      </c>
      <c r="H10" s="73">
        <f t="shared" si="1"/>
        <v>0</v>
      </c>
      <c r="I10" s="72"/>
      <c r="J10" s="73">
        <v>0.092865133350183</v>
      </c>
      <c r="K10" s="73">
        <f t="shared" si="2"/>
        <v>0.092865133350183</v>
      </c>
      <c r="L10" s="73">
        <f t="shared" si="3"/>
        <v>0</v>
      </c>
      <c r="M10" s="72"/>
      <c r="N10" s="73">
        <v>0.076945762277215</v>
      </c>
      <c r="O10" s="73">
        <f t="shared" si="4"/>
        <v>0.076945762277215</v>
      </c>
      <c r="P10" s="73">
        <f t="shared" si="5"/>
        <v>0</v>
      </c>
      <c r="Q10" s="72"/>
      <c r="R10" s="73"/>
      <c r="S10" s="72"/>
      <c r="T10" s="73"/>
      <c r="U10" s="72"/>
      <c r="V10" s="73"/>
      <c r="W10" s="72"/>
      <c r="X10" s="73"/>
      <c r="Y10" s="72"/>
      <c r="Z10" s="73"/>
      <c r="AA10" s="72"/>
      <c r="AB10" s="74"/>
      <c r="AC10" s="72"/>
      <c r="AD10" s="74"/>
      <c r="AE10" s="72"/>
      <c r="AF10" s="74"/>
      <c r="AG10" s="72"/>
      <c r="AH10" s="74"/>
      <c r="AI10" s="72"/>
      <c r="AJ10" s="74"/>
      <c r="AK10" s="72"/>
      <c r="AL10" s="74"/>
      <c r="AM10" s="72"/>
      <c r="AN10" s="74"/>
      <c r="AO10" s="72"/>
      <c r="AP10" s="74"/>
    </row>
    <row r="11" spans="1:42" s="71" customFormat="1" ht="12.75">
      <c r="A11" s="71" t="s">
        <v>179</v>
      </c>
      <c r="B11" s="71">
        <v>7</v>
      </c>
      <c r="C11" s="71" t="s">
        <v>216</v>
      </c>
      <c r="D11" s="76">
        <v>0.1</v>
      </c>
      <c r="E11" s="72">
        <v>1</v>
      </c>
      <c r="F11" s="73">
        <v>0.012567619614410181</v>
      </c>
      <c r="G11" s="73">
        <f t="shared" si="0"/>
        <v>0.0062838098072050905</v>
      </c>
      <c r="H11" s="73">
        <f t="shared" si="1"/>
        <v>0.0006283809807205091</v>
      </c>
      <c r="I11" s="72"/>
      <c r="J11" s="73">
        <v>0.011404490060548785</v>
      </c>
      <c r="K11" s="73">
        <f t="shared" si="2"/>
        <v>0.011404490060548785</v>
      </c>
      <c r="L11" s="73">
        <f t="shared" si="3"/>
        <v>0.0011404490060548786</v>
      </c>
      <c r="M11" s="72">
        <v>1</v>
      </c>
      <c r="N11" s="73">
        <v>0.008373509424285164</v>
      </c>
      <c r="O11" s="73">
        <f t="shared" si="4"/>
        <v>0.004186754712142582</v>
      </c>
      <c r="P11" s="73">
        <f t="shared" si="5"/>
        <v>0.00041867547121425823</v>
      </c>
      <c r="Q11" s="72"/>
      <c r="R11" s="73"/>
      <c r="S11" s="72"/>
      <c r="T11" s="73"/>
      <c r="U11" s="72"/>
      <c r="V11" s="73"/>
      <c r="W11" s="72"/>
      <c r="X11" s="73"/>
      <c r="Y11" s="72"/>
      <c r="Z11" s="73"/>
      <c r="AA11" s="72"/>
      <c r="AB11" s="74"/>
      <c r="AC11" s="72"/>
      <c r="AD11" s="74"/>
      <c r="AE11" s="72"/>
      <c r="AF11" s="74"/>
      <c r="AG11" s="72"/>
      <c r="AH11" s="74"/>
      <c r="AI11" s="72"/>
      <c r="AJ11" s="74"/>
      <c r="AK11" s="72"/>
      <c r="AL11" s="74"/>
      <c r="AM11" s="72"/>
      <c r="AN11" s="74"/>
      <c r="AO11" s="72"/>
      <c r="AP11" s="74"/>
    </row>
    <row r="12" spans="1:42" s="71" customFormat="1" ht="12.75">
      <c r="A12" s="71" t="s">
        <v>179</v>
      </c>
      <c r="B12" s="71">
        <v>8</v>
      </c>
      <c r="C12" s="71" t="s">
        <v>217</v>
      </c>
      <c r="D12" s="76">
        <v>0.1</v>
      </c>
      <c r="E12" s="72">
        <v>1</v>
      </c>
      <c r="F12" s="73">
        <v>0.007509283089108159</v>
      </c>
      <c r="G12" s="73">
        <f t="shared" si="0"/>
        <v>0.0037546415445540793</v>
      </c>
      <c r="H12" s="73">
        <f t="shared" si="1"/>
        <v>0.00037546415445540793</v>
      </c>
      <c r="I12" s="72">
        <v>1</v>
      </c>
      <c r="J12" s="73">
        <v>0.011784639729233742</v>
      </c>
      <c r="K12" s="73">
        <f t="shared" si="2"/>
        <v>0.005892319864616871</v>
      </c>
      <c r="L12" s="73">
        <f t="shared" si="3"/>
        <v>0.0005892319864616871</v>
      </c>
      <c r="M12" s="72">
        <v>1</v>
      </c>
      <c r="N12" s="73">
        <v>0.04463985767406077</v>
      </c>
      <c r="O12" s="73">
        <f t="shared" si="4"/>
        <v>0.022319928837030385</v>
      </c>
      <c r="P12" s="73">
        <f t="shared" si="5"/>
        <v>0.0022319928837030386</v>
      </c>
      <c r="Q12" s="72"/>
      <c r="R12" s="73"/>
      <c r="S12" s="72"/>
      <c r="T12" s="73"/>
      <c r="U12" s="72"/>
      <c r="V12" s="73"/>
      <c r="W12" s="72"/>
      <c r="X12" s="73"/>
      <c r="Y12" s="72"/>
      <c r="Z12" s="73"/>
      <c r="AA12" s="72"/>
      <c r="AB12" s="74"/>
      <c r="AC12" s="72"/>
      <c r="AD12" s="74"/>
      <c r="AE12" s="72"/>
      <c r="AF12" s="74"/>
      <c r="AG12" s="72"/>
      <c r="AH12" s="74"/>
      <c r="AI12" s="72"/>
      <c r="AJ12" s="74"/>
      <c r="AK12" s="72"/>
      <c r="AL12" s="74"/>
      <c r="AM12" s="72"/>
      <c r="AN12" s="74"/>
      <c r="AO12" s="72"/>
      <c r="AP12" s="74"/>
    </row>
    <row r="13" spans="1:42" s="71" customFormat="1" ht="12.75">
      <c r="A13" s="71" t="s">
        <v>179</v>
      </c>
      <c r="B13" s="71">
        <v>9</v>
      </c>
      <c r="C13" s="71" t="s">
        <v>218</v>
      </c>
      <c r="D13" s="76">
        <v>0.1</v>
      </c>
      <c r="E13" s="72">
        <v>1</v>
      </c>
      <c r="F13" s="73">
        <v>0.005032262625687065</v>
      </c>
      <c r="G13" s="73">
        <f t="shared" si="0"/>
        <v>0.0025161313128435323</v>
      </c>
      <c r="H13" s="73">
        <f t="shared" si="1"/>
        <v>0.00025161313128435327</v>
      </c>
      <c r="I13" s="72"/>
      <c r="J13" s="73">
        <v>0.13142317117394314</v>
      </c>
      <c r="K13" s="73">
        <f t="shared" si="2"/>
        <v>0.13142317117394314</v>
      </c>
      <c r="L13" s="73">
        <f t="shared" si="3"/>
        <v>0.013142317117394315</v>
      </c>
      <c r="M13" s="72">
        <v>1</v>
      </c>
      <c r="N13" s="73">
        <v>0.0077511539941018</v>
      </c>
      <c r="O13" s="73">
        <f t="shared" si="4"/>
        <v>0.0038755769970509</v>
      </c>
      <c r="P13" s="73">
        <f t="shared" si="5"/>
        <v>0.00038755769970509005</v>
      </c>
      <c r="Q13" s="72"/>
      <c r="R13" s="73"/>
      <c r="S13" s="72"/>
      <c r="T13" s="73"/>
      <c r="U13" s="72"/>
      <c r="V13" s="73"/>
      <c r="W13" s="72"/>
      <c r="X13" s="73"/>
      <c r="Y13" s="72"/>
      <c r="Z13" s="73"/>
      <c r="AA13" s="72"/>
      <c r="AB13" s="74"/>
      <c r="AC13" s="72"/>
      <c r="AD13" s="74"/>
      <c r="AE13" s="72"/>
      <c r="AF13" s="74"/>
      <c r="AG13" s="72"/>
      <c r="AH13" s="74"/>
      <c r="AI13" s="72"/>
      <c r="AJ13" s="74"/>
      <c r="AK13" s="72"/>
      <c r="AL13" s="74"/>
      <c r="AM13" s="72"/>
      <c r="AN13" s="74"/>
      <c r="AO13" s="72"/>
      <c r="AP13" s="74"/>
    </row>
    <row r="14" spans="1:42" s="71" customFormat="1" ht="12.75">
      <c r="A14" s="71" t="s">
        <v>179</v>
      </c>
      <c r="B14" s="71">
        <v>10</v>
      </c>
      <c r="C14" s="71" t="s">
        <v>219</v>
      </c>
      <c r="D14" s="76">
        <v>0</v>
      </c>
      <c r="E14" s="72"/>
      <c r="F14" s="73">
        <v>0.029646023862208253</v>
      </c>
      <c r="G14" s="73">
        <f t="shared" si="0"/>
        <v>0.029646023862208253</v>
      </c>
      <c r="H14" s="73">
        <f t="shared" si="1"/>
        <v>0</v>
      </c>
      <c r="I14" s="72"/>
      <c r="J14" s="73">
        <v>-0.0845561477346403</v>
      </c>
      <c r="K14" s="73">
        <f t="shared" si="2"/>
        <v>-0.0845561477346403</v>
      </c>
      <c r="L14" s="73">
        <f t="shared" si="3"/>
        <v>0</v>
      </c>
      <c r="M14" s="72"/>
      <c r="N14" s="73">
        <v>-0.0417543915886652</v>
      </c>
      <c r="O14" s="73">
        <f t="shared" si="4"/>
        <v>-0.0417543915886652</v>
      </c>
      <c r="P14" s="73">
        <f t="shared" si="5"/>
        <v>0</v>
      </c>
      <c r="Q14" s="72"/>
      <c r="R14" s="73"/>
      <c r="S14" s="72"/>
      <c r="T14" s="73"/>
      <c r="U14" s="72"/>
      <c r="V14" s="73"/>
      <c r="W14" s="72"/>
      <c r="X14" s="73"/>
      <c r="Y14" s="72"/>
      <c r="Z14" s="73"/>
      <c r="AA14" s="72"/>
      <c r="AB14" s="74"/>
      <c r="AC14" s="72"/>
      <c r="AD14" s="74"/>
      <c r="AE14" s="72"/>
      <c r="AF14" s="74"/>
      <c r="AG14" s="72"/>
      <c r="AH14" s="74"/>
      <c r="AI14" s="72"/>
      <c r="AJ14" s="74"/>
      <c r="AK14" s="72"/>
      <c r="AL14" s="74"/>
      <c r="AM14" s="72"/>
      <c r="AN14" s="74"/>
      <c r="AO14" s="72"/>
      <c r="AP14" s="74"/>
    </row>
    <row r="15" spans="1:42" s="71" customFormat="1" ht="12.75">
      <c r="A15" s="71" t="s">
        <v>179</v>
      </c>
      <c r="B15" s="71">
        <v>11</v>
      </c>
      <c r="C15" s="71" t="s">
        <v>220</v>
      </c>
      <c r="D15" s="76">
        <v>0</v>
      </c>
      <c r="E15" s="72"/>
      <c r="F15" s="73">
        <v>0.05475518919141366</v>
      </c>
      <c r="G15" s="73">
        <f t="shared" si="0"/>
        <v>0.05475518919141366</v>
      </c>
      <c r="H15" s="73">
        <f t="shared" si="1"/>
        <v>0</v>
      </c>
      <c r="I15" s="72"/>
      <c r="J15" s="73">
        <v>0.07005615322908539</v>
      </c>
      <c r="K15" s="73">
        <f t="shared" si="2"/>
        <v>0.07005615322908539</v>
      </c>
      <c r="L15" s="73">
        <f t="shared" si="3"/>
        <v>0</v>
      </c>
      <c r="M15" s="72"/>
      <c r="N15" s="73">
        <v>0.019010129503782534</v>
      </c>
      <c r="O15" s="73">
        <f t="shared" si="4"/>
        <v>0.019010129503782534</v>
      </c>
      <c r="P15" s="73">
        <f t="shared" si="5"/>
        <v>0</v>
      </c>
      <c r="Q15" s="72"/>
      <c r="R15" s="73"/>
      <c r="S15" s="72"/>
      <c r="T15" s="73"/>
      <c r="U15" s="72"/>
      <c r="V15" s="73"/>
      <c r="W15" s="72"/>
      <c r="X15" s="73"/>
      <c r="Y15" s="72"/>
      <c r="Z15" s="73"/>
      <c r="AA15" s="72"/>
      <c r="AB15" s="74"/>
      <c r="AC15" s="72"/>
      <c r="AD15" s="74"/>
      <c r="AE15" s="72"/>
      <c r="AF15" s="74"/>
      <c r="AG15" s="72"/>
      <c r="AH15" s="74"/>
      <c r="AI15" s="72"/>
      <c r="AJ15" s="74"/>
      <c r="AK15" s="72"/>
      <c r="AL15" s="74"/>
      <c r="AM15" s="72"/>
      <c r="AN15" s="74"/>
      <c r="AO15" s="72"/>
      <c r="AP15" s="74"/>
    </row>
    <row r="16" spans="1:42" s="71" customFormat="1" ht="12.75">
      <c r="A16" s="71" t="s">
        <v>179</v>
      </c>
      <c r="B16" s="71">
        <v>12</v>
      </c>
      <c r="C16" s="71" t="s">
        <v>221</v>
      </c>
      <c r="D16" s="76">
        <v>0.01</v>
      </c>
      <c r="E16" s="72"/>
      <c r="F16" s="73">
        <v>0.11055333436742563</v>
      </c>
      <c r="G16" s="73">
        <f t="shared" si="0"/>
        <v>0.11055333436742563</v>
      </c>
      <c r="H16" s="73">
        <f t="shared" si="1"/>
        <v>0.0011055333436742563</v>
      </c>
      <c r="I16" s="72"/>
      <c r="J16" s="73">
        <v>0.06299623081065042</v>
      </c>
      <c r="K16" s="73">
        <f t="shared" si="2"/>
        <v>0.06299623081065042</v>
      </c>
      <c r="L16" s="73">
        <f t="shared" si="3"/>
        <v>0.0006299623081065043</v>
      </c>
      <c r="M16" s="72"/>
      <c r="N16" s="73">
        <v>0.019519329401205283</v>
      </c>
      <c r="O16" s="73">
        <f t="shared" si="4"/>
        <v>0.019519329401205283</v>
      </c>
      <c r="P16" s="73">
        <f t="shared" si="5"/>
        <v>0.00019519329401205282</v>
      </c>
      <c r="Q16" s="72"/>
      <c r="R16" s="73"/>
      <c r="S16" s="72"/>
      <c r="T16" s="73"/>
      <c r="U16" s="72"/>
      <c r="V16" s="73"/>
      <c r="W16" s="72"/>
      <c r="X16" s="73"/>
      <c r="Y16" s="72"/>
      <c r="Z16" s="73"/>
      <c r="AA16" s="72"/>
      <c r="AB16" s="74"/>
      <c r="AC16" s="72"/>
      <c r="AD16" s="74"/>
      <c r="AE16" s="72"/>
      <c r="AF16" s="74"/>
      <c r="AG16" s="72"/>
      <c r="AH16" s="74"/>
      <c r="AI16" s="72"/>
      <c r="AJ16" s="74"/>
      <c r="AK16" s="72"/>
      <c r="AL16" s="74"/>
      <c r="AM16" s="72"/>
      <c r="AN16" s="74"/>
      <c r="AO16" s="72"/>
      <c r="AP16" s="74"/>
    </row>
    <row r="17" spans="1:42" s="71" customFormat="1" ht="12.75">
      <c r="A17" s="71" t="s">
        <v>179</v>
      </c>
      <c r="B17" s="71">
        <v>13</v>
      </c>
      <c r="C17" s="71" t="s">
        <v>222</v>
      </c>
      <c r="D17" s="76">
        <v>0</v>
      </c>
      <c r="E17" s="72"/>
      <c r="F17" s="73">
        <v>0.09230160463695443</v>
      </c>
      <c r="G17" s="73">
        <f t="shared" si="0"/>
        <v>0.09230160463695443</v>
      </c>
      <c r="H17" s="73">
        <f t="shared" si="1"/>
        <v>0</v>
      </c>
      <c r="I17" s="72"/>
      <c r="J17" s="73">
        <v>0.050505598839573174</v>
      </c>
      <c r="K17" s="73">
        <f t="shared" si="2"/>
        <v>0.050505598839573174</v>
      </c>
      <c r="L17" s="73">
        <f t="shared" si="3"/>
        <v>0</v>
      </c>
      <c r="M17" s="72"/>
      <c r="N17" s="73">
        <v>0</v>
      </c>
      <c r="O17" s="73">
        <f t="shared" si="4"/>
        <v>0</v>
      </c>
      <c r="P17" s="73">
        <f t="shared" si="5"/>
        <v>0</v>
      </c>
      <c r="Q17" s="72"/>
      <c r="R17" s="73"/>
      <c r="S17" s="72"/>
      <c r="T17" s="73"/>
      <c r="U17" s="72"/>
      <c r="V17" s="73"/>
      <c r="W17" s="72"/>
      <c r="X17" s="73"/>
      <c r="Y17" s="72"/>
      <c r="Z17" s="73"/>
      <c r="AA17" s="72"/>
      <c r="AB17" s="74"/>
      <c r="AC17" s="72"/>
      <c r="AD17" s="74"/>
      <c r="AE17" s="72"/>
      <c r="AF17" s="74"/>
      <c r="AG17" s="72"/>
      <c r="AH17" s="74"/>
      <c r="AI17" s="72"/>
      <c r="AJ17" s="74"/>
      <c r="AK17" s="72"/>
      <c r="AL17" s="74"/>
      <c r="AM17" s="72"/>
      <c r="AN17" s="74"/>
      <c r="AO17" s="72"/>
      <c r="AP17" s="74"/>
    </row>
    <row r="18" spans="1:42" s="71" customFormat="1" ht="12.75">
      <c r="A18" s="71" t="s">
        <v>179</v>
      </c>
      <c r="B18" s="71">
        <v>14</v>
      </c>
      <c r="C18" s="71" t="s">
        <v>223</v>
      </c>
      <c r="D18" s="76">
        <v>0</v>
      </c>
      <c r="E18" s="72"/>
      <c r="F18" s="73">
        <v>0.20285493900438</v>
      </c>
      <c r="G18" s="73">
        <f t="shared" si="0"/>
        <v>0.20285493900438</v>
      </c>
      <c r="H18" s="73">
        <f t="shared" si="1"/>
        <v>0</v>
      </c>
      <c r="I18" s="72"/>
      <c r="J18" s="73">
        <v>0.1135018296502236</v>
      </c>
      <c r="K18" s="73">
        <f t="shared" si="2"/>
        <v>0.1135018296502236</v>
      </c>
      <c r="L18" s="73">
        <f t="shared" si="3"/>
        <v>0</v>
      </c>
      <c r="M18" s="72"/>
      <c r="N18" s="73">
        <v>0.019519329401205283</v>
      </c>
      <c r="O18" s="73">
        <f t="shared" si="4"/>
        <v>0.019519329401205283</v>
      </c>
      <c r="P18" s="73">
        <f t="shared" si="5"/>
        <v>0</v>
      </c>
      <c r="Q18" s="72"/>
      <c r="R18" s="73"/>
      <c r="S18" s="72"/>
      <c r="T18" s="73"/>
      <c r="U18" s="72"/>
      <c r="V18" s="73"/>
      <c r="W18" s="72"/>
      <c r="X18" s="73"/>
      <c r="Y18" s="72"/>
      <c r="Z18" s="73"/>
      <c r="AA18" s="72"/>
      <c r="AB18" s="74"/>
      <c r="AC18" s="72"/>
      <c r="AD18" s="74"/>
      <c r="AE18" s="72"/>
      <c r="AF18" s="74"/>
      <c r="AG18" s="72"/>
      <c r="AH18" s="74"/>
      <c r="AI18" s="72"/>
      <c r="AJ18" s="74"/>
      <c r="AK18" s="72"/>
      <c r="AL18" s="74"/>
      <c r="AM18" s="72"/>
      <c r="AN18" s="74"/>
      <c r="AO18" s="72"/>
      <c r="AP18" s="74"/>
    </row>
    <row r="19" spans="1:42" s="71" customFormat="1" ht="12.75">
      <c r="A19" s="71" t="s">
        <v>179</v>
      </c>
      <c r="B19" s="71">
        <v>15</v>
      </c>
      <c r="C19" s="71" t="s">
        <v>224</v>
      </c>
      <c r="D19" s="76">
        <v>0.001</v>
      </c>
      <c r="E19" s="72"/>
      <c r="F19" s="73">
        <v>0.5157417343838867</v>
      </c>
      <c r="G19" s="73">
        <f t="shared" si="0"/>
        <v>0.5157417343838867</v>
      </c>
      <c r="H19" s="73">
        <f t="shared" si="1"/>
        <v>0.0005157417343838867</v>
      </c>
      <c r="I19" s="72"/>
      <c r="J19" s="73">
        <v>0.3372470632190855</v>
      </c>
      <c r="K19" s="73">
        <f t="shared" si="2"/>
        <v>0.3372470632190855</v>
      </c>
      <c r="L19" s="73">
        <f t="shared" si="3"/>
        <v>0.0003372470632190855</v>
      </c>
      <c r="M19" s="72"/>
      <c r="N19" s="73">
        <v>0.052108122836261</v>
      </c>
      <c r="O19" s="73">
        <f t="shared" si="4"/>
        <v>0.052108122836261</v>
      </c>
      <c r="P19" s="73">
        <f t="shared" si="5"/>
        <v>5.2108122836260996E-05</v>
      </c>
      <c r="Q19" s="72"/>
      <c r="R19" s="73"/>
      <c r="S19" s="72"/>
      <c r="T19" s="73"/>
      <c r="U19" s="72"/>
      <c r="V19" s="73"/>
      <c r="W19" s="72"/>
      <c r="X19" s="73"/>
      <c r="Y19" s="72"/>
      <c r="Z19" s="73"/>
      <c r="AA19" s="72"/>
      <c r="AB19" s="74"/>
      <c r="AC19" s="72"/>
      <c r="AD19" s="74"/>
      <c r="AE19" s="72"/>
      <c r="AF19" s="74"/>
      <c r="AG19" s="72"/>
      <c r="AH19" s="74"/>
      <c r="AI19" s="72"/>
      <c r="AJ19" s="74"/>
      <c r="AK19" s="72"/>
      <c r="AL19" s="74"/>
      <c r="AM19" s="72"/>
      <c r="AN19" s="74"/>
      <c r="AO19" s="72"/>
      <c r="AP19" s="74"/>
    </row>
    <row r="20" spans="1:42" s="71" customFormat="1" ht="12.75">
      <c r="A20" s="71" t="s">
        <v>179</v>
      </c>
      <c r="B20" s="71">
        <v>16</v>
      </c>
      <c r="C20" s="71" t="s">
        <v>225</v>
      </c>
      <c r="D20" s="76">
        <v>0.1</v>
      </c>
      <c r="E20" s="72">
        <v>1</v>
      </c>
      <c r="F20" s="73">
        <v>0.031288679537950656</v>
      </c>
      <c r="G20" s="73">
        <f t="shared" si="0"/>
        <v>0.015644339768975328</v>
      </c>
      <c r="H20" s="73">
        <f t="shared" si="1"/>
        <v>0.001564433976897533</v>
      </c>
      <c r="I20" s="72"/>
      <c r="J20" s="73">
        <v>0.04024155778507928</v>
      </c>
      <c r="K20" s="73">
        <f t="shared" si="2"/>
        <v>0.04024155778507928</v>
      </c>
      <c r="L20" s="73">
        <f t="shared" si="3"/>
        <v>0.004024155778507928</v>
      </c>
      <c r="M20" s="72"/>
      <c r="N20" s="73">
        <v>0.031740126939351195</v>
      </c>
      <c r="O20" s="73">
        <f t="shared" si="4"/>
        <v>0.031740126939351195</v>
      </c>
      <c r="P20" s="73">
        <f t="shared" si="5"/>
        <v>0.00317401269393512</v>
      </c>
      <c r="Q20" s="72"/>
      <c r="R20" s="73"/>
      <c r="S20" s="72"/>
      <c r="T20" s="73"/>
      <c r="U20" s="72"/>
      <c r="V20" s="73"/>
      <c r="W20" s="72"/>
      <c r="X20" s="73"/>
      <c r="Y20" s="72"/>
      <c r="Z20" s="73"/>
      <c r="AA20" s="72"/>
      <c r="AB20" s="74"/>
      <c r="AC20" s="72"/>
      <c r="AD20" s="74"/>
      <c r="AE20" s="72"/>
      <c r="AF20" s="74"/>
      <c r="AG20" s="72"/>
      <c r="AH20" s="74"/>
      <c r="AI20" s="72"/>
      <c r="AJ20" s="74"/>
      <c r="AK20" s="72"/>
      <c r="AL20" s="74"/>
      <c r="AM20" s="72"/>
      <c r="AN20" s="74"/>
      <c r="AO20" s="72"/>
      <c r="AP20" s="74"/>
    </row>
    <row r="21" spans="1:42" s="71" customFormat="1" ht="12.75">
      <c r="A21" s="71" t="s">
        <v>179</v>
      </c>
      <c r="B21" s="71">
        <v>17</v>
      </c>
      <c r="C21" s="71" t="s">
        <v>226</v>
      </c>
      <c r="D21" s="76">
        <v>0</v>
      </c>
      <c r="E21" s="72"/>
      <c r="F21" s="73">
        <v>2.7221151198017</v>
      </c>
      <c r="G21" s="73">
        <f t="shared" si="0"/>
        <v>2.7221151198017</v>
      </c>
      <c r="H21" s="73">
        <f t="shared" si="1"/>
        <v>0</v>
      </c>
      <c r="I21" s="72"/>
      <c r="J21" s="73">
        <v>2.36556277403545</v>
      </c>
      <c r="K21" s="73">
        <f t="shared" si="2"/>
        <v>2.36556277403545</v>
      </c>
      <c r="L21" s="73">
        <f t="shared" si="3"/>
        <v>0</v>
      </c>
      <c r="M21" s="72"/>
      <c r="N21" s="73">
        <v>2.248343858186947</v>
      </c>
      <c r="O21" s="73">
        <f t="shared" si="4"/>
        <v>2.248343858186947</v>
      </c>
      <c r="P21" s="73">
        <f t="shared" si="5"/>
        <v>0</v>
      </c>
      <c r="Q21" s="72"/>
      <c r="R21" s="73"/>
      <c r="S21" s="72"/>
      <c r="T21" s="73"/>
      <c r="U21" s="72"/>
      <c r="V21" s="73"/>
      <c r="W21" s="72"/>
      <c r="X21" s="73"/>
      <c r="Y21" s="72"/>
      <c r="Z21" s="73"/>
      <c r="AA21" s="72"/>
      <c r="AB21" s="74"/>
      <c r="AC21" s="72"/>
      <c r="AD21" s="74"/>
      <c r="AE21" s="72"/>
      <c r="AF21" s="74"/>
      <c r="AG21" s="72"/>
      <c r="AH21" s="74"/>
      <c r="AI21" s="72"/>
      <c r="AJ21" s="74"/>
      <c r="AK21" s="72"/>
      <c r="AL21" s="74"/>
      <c r="AM21" s="72"/>
      <c r="AN21" s="74"/>
      <c r="AO21" s="72"/>
      <c r="AP21" s="74"/>
    </row>
    <row r="22" spans="1:42" s="71" customFormat="1" ht="12.75">
      <c r="A22" s="71" t="s">
        <v>179</v>
      </c>
      <c r="B22" s="71">
        <v>18</v>
      </c>
      <c r="C22" s="71" t="s">
        <v>227</v>
      </c>
      <c r="D22" s="76">
        <v>0</v>
      </c>
      <c r="E22" s="72"/>
      <c r="F22" s="73">
        <v>2.7534037993396576</v>
      </c>
      <c r="G22" s="73">
        <f t="shared" si="0"/>
        <v>2.7534037993396576</v>
      </c>
      <c r="H22" s="73">
        <f t="shared" si="1"/>
        <v>0</v>
      </c>
      <c r="I22" s="72"/>
      <c r="J22" s="73">
        <v>2.4058043318205287</v>
      </c>
      <c r="K22" s="73">
        <f t="shared" si="2"/>
        <v>2.4058043318205287</v>
      </c>
      <c r="L22" s="73">
        <f t="shared" si="3"/>
        <v>0</v>
      </c>
      <c r="M22" s="72"/>
      <c r="N22" s="73">
        <v>2.2800839851263</v>
      </c>
      <c r="O22" s="73">
        <f t="shared" si="4"/>
        <v>2.2800839851263</v>
      </c>
      <c r="P22" s="73">
        <f t="shared" si="5"/>
        <v>0</v>
      </c>
      <c r="Q22" s="72"/>
      <c r="R22" s="73"/>
      <c r="S22" s="72"/>
      <c r="T22" s="73"/>
      <c r="U22" s="72"/>
      <c r="V22" s="73"/>
      <c r="W22" s="72"/>
      <c r="X22" s="73"/>
      <c r="Y22" s="72"/>
      <c r="Z22" s="73"/>
      <c r="AA22" s="72"/>
      <c r="AB22" s="74"/>
      <c r="AC22" s="72"/>
      <c r="AD22" s="74"/>
      <c r="AE22" s="72"/>
      <c r="AF22" s="74"/>
      <c r="AG22" s="72"/>
      <c r="AH22" s="74"/>
      <c r="AI22" s="72"/>
      <c r="AJ22" s="74"/>
      <c r="AK22" s="72"/>
      <c r="AL22" s="74"/>
      <c r="AM22" s="72"/>
      <c r="AN22" s="74"/>
      <c r="AO22" s="72"/>
      <c r="AP22" s="74"/>
    </row>
    <row r="23" spans="1:42" s="71" customFormat="1" ht="12.75">
      <c r="A23" s="71" t="s">
        <v>179</v>
      </c>
      <c r="B23" s="71">
        <v>19</v>
      </c>
      <c r="C23" s="71" t="s">
        <v>228</v>
      </c>
      <c r="D23" s="76">
        <v>0.05</v>
      </c>
      <c r="E23" s="72"/>
      <c r="F23" s="73">
        <v>0.11107481235972483</v>
      </c>
      <c r="G23" s="73">
        <f t="shared" si="0"/>
        <v>0.11107481235972483</v>
      </c>
      <c r="H23" s="73">
        <f t="shared" si="1"/>
        <v>0.005553740617986242</v>
      </c>
      <c r="I23" s="72"/>
      <c r="J23" s="73">
        <v>0.10589883627652444</v>
      </c>
      <c r="K23" s="73">
        <f t="shared" si="2"/>
        <v>0.10589883627652444</v>
      </c>
      <c r="L23" s="73">
        <f t="shared" si="3"/>
        <v>0.005294941813826223</v>
      </c>
      <c r="M23" s="72"/>
      <c r="N23" s="73">
        <v>0.08486664957045774</v>
      </c>
      <c r="O23" s="73">
        <f t="shared" si="4"/>
        <v>0.08486664957045774</v>
      </c>
      <c r="P23" s="73">
        <f t="shared" si="5"/>
        <v>0.004243332478522887</v>
      </c>
      <c r="Q23" s="72"/>
      <c r="R23" s="73"/>
      <c r="S23" s="72"/>
      <c r="T23" s="73"/>
      <c r="U23" s="72"/>
      <c r="V23" s="73"/>
      <c r="W23" s="72"/>
      <c r="X23" s="73"/>
      <c r="Y23" s="72"/>
      <c r="Z23" s="73"/>
      <c r="AA23" s="72"/>
      <c r="AB23" s="74"/>
      <c r="AC23" s="72"/>
      <c r="AD23" s="74"/>
      <c r="AE23" s="72"/>
      <c r="AF23" s="74"/>
      <c r="AG23" s="72"/>
      <c r="AH23" s="74"/>
      <c r="AI23" s="72"/>
      <c r="AJ23" s="74"/>
      <c r="AK23" s="72"/>
      <c r="AL23" s="74"/>
      <c r="AM23" s="72"/>
      <c r="AN23" s="74"/>
      <c r="AO23" s="72"/>
      <c r="AP23" s="74"/>
    </row>
    <row r="24" spans="1:42" s="71" customFormat="1" ht="12.75">
      <c r="A24" s="71" t="s">
        <v>179</v>
      </c>
      <c r="B24" s="71">
        <v>20</v>
      </c>
      <c r="C24" s="71" t="s">
        <v>229</v>
      </c>
      <c r="D24" s="76">
        <v>0.5</v>
      </c>
      <c r="E24" s="72"/>
      <c r="F24" s="73">
        <v>0.023831544248072416</v>
      </c>
      <c r="G24" s="73">
        <f t="shared" si="0"/>
        <v>0.023831544248072416</v>
      </c>
      <c r="H24" s="73">
        <f t="shared" si="1"/>
        <v>0.011915772124036208</v>
      </c>
      <c r="I24" s="72">
        <v>1</v>
      </c>
      <c r="J24" s="73">
        <v>0.004936514983351831</v>
      </c>
      <c r="K24" s="73">
        <f t="shared" si="2"/>
        <v>0.0024682574916759154</v>
      </c>
      <c r="L24" s="73">
        <f t="shared" si="3"/>
        <v>0.0012341287458379577</v>
      </c>
      <c r="M24" s="72">
        <v>1</v>
      </c>
      <c r="N24" s="73">
        <v>0.022970573150403892</v>
      </c>
      <c r="O24" s="73">
        <f t="shared" si="4"/>
        <v>0.011485286575201946</v>
      </c>
      <c r="P24" s="73">
        <f t="shared" si="5"/>
        <v>0.005742643287600973</v>
      </c>
      <c r="Q24" s="72"/>
      <c r="R24" s="73"/>
      <c r="S24" s="72"/>
      <c r="T24" s="73"/>
      <c r="U24" s="72"/>
      <c r="V24" s="73"/>
      <c r="W24" s="72"/>
      <c r="X24" s="73"/>
      <c r="Y24" s="72"/>
      <c r="Z24" s="73"/>
      <c r="AA24" s="72"/>
      <c r="AB24" s="74"/>
      <c r="AC24" s="72"/>
      <c r="AD24" s="74"/>
      <c r="AE24" s="72"/>
      <c r="AF24" s="74"/>
      <c r="AG24" s="72"/>
      <c r="AH24" s="74"/>
      <c r="AI24" s="72"/>
      <c r="AJ24" s="74"/>
      <c r="AK24" s="72"/>
      <c r="AL24" s="74"/>
      <c r="AM24" s="72"/>
      <c r="AN24" s="74"/>
      <c r="AO24" s="72"/>
      <c r="AP24" s="74"/>
    </row>
    <row r="25" spans="1:42" s="71" customFormat="1" ht="12.75">
      <c r="A25" s="71" t="s">
        <v>179</v>
      </c>
      <c r="B25" s="71">
        <v>21</v>
      </c>
      <c r="C25" s="71" t="s">
        <v>230</v>
      </c>
      <c r="D25" s="76">
        <v>0</v>
      </c>
      <c r="E25" s="72"/>
      <c r="F25" s="73">
        <v>1.304372902137933</v>
      </c>
      <c r="G25" s="73">
        <f t="shared" si="0"/>
        <v>1.304372902137933</v>
      </c>
      <c r="H25" s="73">
        <f t="shared" si="1"/>
        <v>0</v>
      </c>
      <c r="I25" s="72"/>
      <c r="J25" s="73">
        <v>1.0187522356897176</v>
      </c>
      <c r="K25" s="73">
        <f t="shared" si="2"/>
        <v>1.0187522356897176</v>
      </c>
      <c r="L25" s="73">
        <f t="shared" si="3"/>
        <v>0</v>
      </c>
      <c r="M25" s="72"/>
      <c r="N25" s="73">
        <v>0.8539848057443261</v>
      </c>
      <c r="O25" s="73">
        <f t="shared" si="4"/>
        <v>0.8539848057443261</v>
      </c>
      <c r="P25" s="73">
        <f t="shared" si="5"/>
        <v>0</v>
      </c>
      <c r="Q25" s="72"/>
      <c r="R25" s="73"/>
      <c r="S25" s="72"/>
      <c r="T25" s="73"/>
      <c r="U25" s="72"/>
      <c r="V25" s="73"/>
      <c r="W25" s="72"/>
      <c r="X25" s="73"/>
      <c r="Y25" s="72"/>
      <c r="Z25" s="73"/>
      <c r="AA25" s="72"/>
      <c r="AB25" s="74"/>
      <c r="AC25" s="72"/>
      <c r="AD25" s="74"/>
      <c r="AE25" s="72"/>
      <c r="AF25" s="74"/>
      <c r="AG25" s="72"/>
      <c r="AH25" s="74"/>
      <c r="AI25" s="72"/>
      <c r="AJ25" s="74"/>
      <c r="AK25" s="72"/>
      <c r="AL25" s="74"/>
      <c r="AM25" s="72"/>
      <c r="AN25" s="74"/>
      <c r="AO25" s="72"/>
      <c r="AP25" s="74"/>
    </row>
    <row r="26" spans="1:42" s="71" customFormat="1" ht="12.75">
      <c r="A26" s="71" t="s">
        <v>179</v>
      </c>
      <c r="B26" s="71">
        <v>22</v>
      </c>
      <c r="C26" s="71" t="s">
        <v>231</v>
      </c>
      <c r="D26" s="76">
        <v>0</v>
      </c>
      <c r="E26" s="72"/>
      <c r="F26" s="73">
        <v>1.4392792587457302</v>
      </c>
      <c r="G26" s="73">
        <f t="shared" si="0"/>
        <v>1.4392792587457302</v>
      </c>
      <c r="H26" s="73">
        <f t="shared" si="1"/>
        <v>0</v>
      </c>
      <c r="I26" s="72"/>
      <c r="J26" s="73">
        <v>1.1295875869496</v>
      </c>
      <c r="K26" s="73">
        <f t="shared" si="2"/>
        <v>1.1295875869496</v>
      </c>
      <c r="L26" s="73">
        <f t="shared" si="3"/>
        <v>0</v>
      </c>
      <c r="M26" s="72"/>
      <c r="N26" s="73">
        <v>0.9618220284651877</v>
      </c>
      <c r="O26" s="73">
        <f t="shared" si="4"/>
        <v>0.9618220284651877</v>
      </c>
      <c r="P26" s="73">
        <f t="shared" si="5"/>
        <v>0</v>
      </c>
      <c r="Q26" s="72"/>
      <c r="R26" s="73"/>
      <c r="S26" s="72"/>
      <c r="T26" s="73"/>
      <c r="U26" s="72"/>
      <c r="V26" s="73"/>
      <c r="W26" s="72"/>
      <c r="X26" s="73"/>
      <c r="Y26" s="72"/>
      <c r="Z26" s="73"/>
      <c r="AA26" s="72"/>
      <c r="AB26" s="74"/>
      <c r="AC26" s="72"/>
      <c r="AD26" s="74"/>
      <c r="AE26" s="72"/>
      <c r="AF26" s="74"/>
      <c r="AG26" s="72"/>
      <c r="AH26" s="74"/>
      <c r="AI26" s="72"/>
      <c r="AJ26" s="74"/>
      <c r="AK26" s="72"/>
      <c r="AL26" s="74"/>
      <c r="AM26" s="72"/>
      <c r="AN26" s="74"/>
      <c r="AO26" s="72"/>
      <c r="AP26" s="74"/>
    </row>
    <row r="27" spans="1:42" s="71" customFormat="1" ht="12.75">
      <c r="A27" s="71" t="s">
        <v>179</v>
      </c>
      <c r="B27" s="71">
        <v>23</v>
      </c>
      <c r="C27" s="71" t="s">
        <v>232</v>
      </c>
      <c r="D27" s="76">
        <v>0.1</v>
      </c>
      <c r="E27" s="72"/>
      <c r="F27" s="73">
        <v>0.10586003243673305</v>
      </c>
      <c r="G27" s="73">
        <f t="shared" si="0"/>
        <v>0.10586003243673305</v>
      </c>
      <c r="H27" s="73">
        <f t="shared" si="1"/>
        <v>0.010586003243673306</v>
      </c>
      <c r="I27" s="72"/>
      <c r="J27" s="73">
        <v>0.13413852595026426</v>
      </c>
      <c r="K27" s="73">
        <f t="shared" si="2"/>
        <v>0.13413852595026426</v>
      </c>
      <c r="L27" s="73">
        <f t="shared" si="3"/>
        <v>0.013413852595026428</v>
      </c>
      <c r="M27" s="72"/>
      <c r="N27" s="73">
        <v>0.09505064751891268</v>
      </c>
      <c r="O27" s="73">
        <f t="shared" si="4"/>
        <v>0.09505064751891268</v>
      </c>
      <c r="P27" s="73">
        <f t="shared" si="5"/>
        <v>0.009505064751891269</v>
      </c>
      <c r="Q27" s="72"/>
      <c r="R27" s="73"/>
      <c r="S27" s="72"/>
      <c r="T27" s="73"/>
      <c r="U27" s="72"/>
      <c r="V27" s="73"/>
      <c r="W27" s="72"/>
      <c r="X27" s="73"/>
      <c r="Y27" s="72"/>
      <c r="Z27" s="73"/>
      <c r="AA27" s="72"/>
      <c r="AB27" s="74"/>
      <c r="AC27" s="72"/>
      <c r="AD27" s="74"/>
      <c r="AE27" s="72"/>
      <c r="AF27" s="74"/>
      <c r="AG27" s="72"/>
      <c r="AH27" s="74"/>
      <c r="AI27" s="72"/>
      <c r="AJ27" s="74"/>
      <c r="AK27" s="72"/>
      <c r="AL27" s="74"/>
      <c r="AM27" s="72"/>
      <c r="AN27" s="74"/>
      <c r="AO27" s="72"/>
      <c r="AP27" s="74"/>
    </row>
    <row r="28" spans="1:42" s="71" customFormat="1" ht="12.75">
      <c r="A28" s="71" t="s">
        <v>179</v>
      </c>
      <c r="B28" s="71">
        <v>24</v>
      </c>
      <c r="C28" s="71" t="s">
        <v>233</v>
      </c>
      <c r="D28" s="76">
        <v>0.1</v>
      </c>
      <c r="E28" s="72"/>
      <c r="F28" s="73">
        <v>0.0651847490373972</v>
      </c>
      <c r="G28" s="73">
        <f t="shared" si="0"/>
        <v>0.0651847490373972</v>
      </c>
      <c r="H28" s="73">
        <f t="shared" si="1"/>
        <v>0.00651847490373972</v>
      </c>
      <c r="I28" s="72"/>
      <c r="J28" s="73">
        <v>0.08308985615542684</v>
      </c>
      <c r="K28" s="73">
        <f t="shared" si="2"/>
        <v>0.08308985615542684</v>
      </c>
      <c r="L28" s="73">
        <f t="shared" si="3"/>
        <v>0.008308985615542684</v>
      </c>
      <c r="M28" s="72"/>
      <c r="N28" s="73">
        <v>0.05770932170791126</v>
      </c>
      <c r="O28" s="73">
        <f t="shared" si="4"/>
        <v>0.05770932170791126</v>
      </c>
      <c r="P28" s="73">
        <f t="shared" si="5"/>
        <v>0.005770932170791126</v>
      </c>
      <c r="Q28" s="72"/>
      <c r="R28" s="73"/>
      <c r="S28" s="72"/>
      <c r="T28" s="73"/>
      <c r="U28" s="72"/>
      <c r="V28" s="73"/>
      <c r="W28" s="72"/>
      <c r="X28" s="73"/>
      <c r="Y28" s="72"/>
      <c r="Z28" s="73"/>
      <c r="AA28" s="72"/>
      <c r="AB28" s="74"/>
      <c r="AC28" s="72"/>
      <c r="AD28" s="74"/>
      <c r="AE28" s="72"/>
      <c r="AF28" s="74"/>
      <c r="AG28" s="72"/>
      <c r="AH28" s="74"/>
      <c r="AI28" s="72"/>
      <c r="AJ28" s="74"/>
      <c r="AK28" s="72"/>
      <c r="AL28" s="74"/>
      <c r="AM28" s="72"/>
      <c r="AN28" s="74"/>
      <c r="AO28" s="72"/>
      <c r="AP28" s="74"/>
    </row>
    <row r="29" spans="1:42" s="71" customFormat="1" ht="12.75">
      <c r="A29" s="71" t="s">
        <v>179</v>
      </c>
      <c r="B29" s="71">
        <v>25</v>
      </c>
      <c r="C29" s="71" t="s">
        <v>234</v>
      </c>
      <c r="D29" s="76">
        <v>0.1</v>
      </c>
      <c r="E29" s="72">
        <v>1</v>
      </c>
      <c r="F29" s="73">
        <v>0.004515999413310877</v>
      </c>
      <c r="G29" s="73">
        <f t="shared" si="0"/>
        <v>0.0022579997066554387</v>
      </c>
      <c r="H29" s="73">
        <f t="shared" si="1"/>
        <v>0.00022579997066554387</v>
      </c>
      <c r="I29" s="72"/>
      <c r="J29" s="73">
        <v>0.015151679651872</v>
      </c>
      <c r="K29" s="73">
        <f t="shared" si="2"/>
        <v>0.015151679651872</v>
      </c>
      <c r="L29" s="73">
        <f t="shared" si="3"/>
        <v>0.0015151679651872001</v>
      </c>
      <c r="M29" s="72">
        <v>1</v>
      </c>
      <c r="N29" s="73">
        <v>0.006449865367354789</v>
      </c>
      <c r="O29" s="73">
        <f t="shared" si="4"/>
        <v>0.0032249326836773944</v>
      </c>
      <c r="P29" s="73">
        <f t="shared" si="5"/>
        <v>0.00032249326836773947</v>
      </c>
      <c r="Q29" s="72"/>
      <c r="R29" s="73"/>
      <c r="S29" s="72"/>
      <c r="T29" s="73"/>
      <c r="U29" s="72"/>
      <c r="V29" s="73"/>
      <c r="W29" s="72"/>
      <c r="X29" s="73"/>
      <c r="Y29" s="72"/>
      <c r="Z29" s="73"/>
      <c r="AA29" s="72"/>
      <c r="AB29" s="74"/>
      <c r="AC29" s="72"/>
      <c r="AD29" s="74"/>
      <c r="AE29" s="72"/>
      <c r="AF29" s="74"/>
      <c r="AG29" s="72"/>
      <c r="AH29" s="74"/>
      <c r="AI29" s="72"/>
      <c r="AJ29" s="74"/>
      <c r="AK29" s="72"/>
      <c r="AL29" s="74"/>
      <c r="AM29" s="72"/>
      <c r="AN29" s="74"/>
      <c r="AO29" s="72"/>
      <c r="AP29" s="74"/>
    </row>
    <row r="30" spans="1:42" s="71" customFormat="1" ht="12.75">
      <c r="A30" s="71" t="s">
        <v>179</v>
      </c>
      <c r="B30" s="71">
        <v>26</v>
      </c>
      <c r="C30" s="71" t="s">
        <v>235</v>
      </c>
      <c r="D30" s="76">
        <v>0.1</v>
      </c>
      <c r="E30" s="72">
        <v>1</v>
      </c>
      <c r="F30" s="73">
        <v>0.022475701468094553</v>
      </c>
      <c r="G30" s="73">
        <f t="shared" si="0"/>
        <v>0.011237850734047277</v>
      </c>
      <c r="H30" s="73">
        <f t="shared" si="1"/>
        <v>0.0011237850734047278</v>
      </c>
      <c r="I30" s="72"/>
      <c r="J30" s="73">
        <v>0.02769661871847562</v>
      </c>
      <c r="K30" s="73">
        <f t="shared" si="2"/>
        <v>0.02769661871847562</v>
      </c>
      <c r="L30" s="73">
        <f t="shared" si="3"/>
        <v>0.002769661871847562</v>
      </c>
      <c r="M30" s="72">
        <v>1</v>
      </c>
      <c r="N30" s="73">
        <v>0.012107642005385303</v>
      </c>
      <c r="O30" s="73">
        <f t="shared" si="4"/>
        <v>0.006053821002692652</v>
      </c>
      <c r="P30" s="73">
        <f t="shared" si="5"/>
        <v>0.0006053821002692652</v>
      </c>
      <c r="Q30" s="72"/>
      <c r="R30" s="73"/>
      <c r="S30" s="72"/>
      <c r="T30" s="73"/>
      <c r="U30" s="72"/>
      <c r="V30" s="73"/>
      <c r="W30" s="72"/>
      <c r="X30" s="73"/>
      <c r="Y30" s="72"/>
      <c r="Z30" s="73"/>
      <c r="AA30" s="72"/>
      <c r="AB30" s="74"/>
      <c r="AC30" s="72"/>
      <c r="AD30" s="74"/>
      <c r="AE30" s="72"/>
      <c r="AF30" s="74"/>
      <c r="AG30" s="72"/>
      <c r="AH30" s="74"/>
      <c r="AI30" s="72"/>
      <c r="AJ30" s="74"/>
      <c r="AK30" s="72"/>
      <c r="AL30" s="74"/>
      <c r="AM30" s="72"/>
      <c r="AN30" s="74"/>
      <c r="AO30" s="72"/>
      <c r="AP30" s="74"/>
    </row>
    <row r="31" spans="1:42" s="71" customFormat="1" ht="12.75">
      <c r="A31" s="71" t="s">
        <v>179</v>
      </c>
      <c r="B31" s="71">
        <v>27</v>
      </c>
      <c r="C31" s="71" t="s">
        <v>236</v>
      </c>
      <c r="D31" s="76">
        <v>0</v>
      </c>
      <c r="E31" s="72"/>
      <c r="F31" s="73">
        <v>0.4120927686345023</v>
      </c>
      <c r="G31" s="73">
        <f t="shared" si="0"/>
        <v>0.4120927686345023</v>
      </c>
      <c r="H31" s="73">
        <f t="shared" si="1"/>
        <v>0</v>
      </c>
      <c r="I31" s="72"/>
      <c r="J31" s="73">
        <v>0.4459155613674574</v>
      </c>
      <c r="K31" s="73">
        <f t="shared" si="2"/>
        <v>0.4459155613674574</v>
      </c>
      <c r="L31" s="73">
        <f t="shared" si="3"/>
        <v>0</v>
      </c>
      <c r="M31" s="72"/>
      <c r="N31" s="73">
        <v>0.30223842800359</v>
      </c>
      <c r="O31" s="73">
        <f t="shared" si="4"/>
        <v>0.30223842800359</v>
      </c>
      <c r="P31" s="73">
        <f t="shared" si="5"/>
        <v>0</v>
      </c>
      <c r="Q31" s="72"/>
      <c r="R31" s="73"/>
      <c r="S31" s="72"/>
      <c r="T31" s="73"/>
      <c r="U31" s="72"/>
      <c r="V31" s="73"/>
      <c r="W31" s="72"/>
      <c r="X31" s="73"/>
      <c r="Y31" s="72"/>
      <c r="Z31" s="73"/>
      <c r="AA31" s="72"/>
      <c r="AB31" s="74"/>
      <c r="AC31" s="72"/>
      <c r="AD31" s="74"/>
      <c r="AE31" s="72"/>
      <c r="AF31" s="74"/>
      <c r="AG31" s="72"/>
      <c r="AH31" s="74"/>
      <c r="AI31" s="72"/>
      <c r="AJ31" s="74"/>
      <c r="AK31" s="72"/>
      <c r="AL31" s="74"/>
      <c r="AM31" s="72"/>
      <c r="AN31" s="74"/>
      <c r="AO31" s="72"/>
      <c r="AP31" s="74"/>
    </row>
    <row r="32" spans="1:42" s="71" customFormat="1" ht="12.75">
      <c r="A32" s="71" t="s">
        <v>179</v>
      </c>
      <c r="B32" s="71">
        <v>28</v>
      </c>
      <c r="C32" s="71" t="s">
        <v>237</v>
      </c>
      <c r="D32" s="76">
        <v>0</v>
      </c>
      <c r="E32" s="72"/>
      <c r="F32" s="73">
        <v>0.6101292509900379</v>
      </c>
      <c r="G32" s="73">
        <f t="shared" si="0"/>
        <v>0.6101292509900379</v>
      </c>
      <c r="H32" s="73">
        <f t="shared" si="1"/>
        <v>0</v>
      </c>
      <c r="I32" s="72"/>
      <c r="J32" s="73">
        <v>0.7059922418434961</v>
      </c>
      <c r="K32" s="73">
        <f t="shared" si="2"/>
        <v>0.7059922418434961</v>
      </c>
      <c r="L32" s="73">
        <f t="shared" si="3"/>
        <v>0</v>
      </c>
      <c r="M32" s="72"/>
      <c r="N32" s="73">
        <v>0.47355590460315417</v>
      </c>
      <c r="O32" s="73">
        <f t="shared" si="4"/>
        <v>0.47355590460315417</v>
      </c>
      <c r="P32" s="73">
        <f t="shared" si="5"/>
        <v>0</v>
      </c>
      <c r="Q32" s="72"/>
      <c r="R32" s="73"/>
      <c r="S32" s="72"/>
      <c r="T32" s="73"/>
      <c r="U32" s="72"/>
      <c r="V32" s="73"/>
      <c r="W32" s="72"/>
      <c r="X32" s="73"/>
      <c r="Y32" s="72"/>
      <c r="Z32" s="73"/>
      <c r="AA32" s="72"/>
      <c r="AB32" s="74"/>
      <c r="AC32" s="72"/>
      <c r="AD32" s="74"/>
      <c r="AE32" s="72"/>
      <c r="AF32" s="74"/>
      <c r="AG32" s="72"/>
      <c r="AH32" s="74"/>
      <c r="AI32" s="72"/>
      <c r="AJ32" s="74"/>
      <c r="AK32" s="72"/>
      <c r="AL32" s="74"/>
      <c r="AM32" s="72"/>
      <c r="AN32" s="74"/>
      <c r="AO32" s="72"/>
      <c r="AP32" s="74"/>
    </row>
    <row r="33" spans="1:42" s="71" customFormat="1" ht="12.75">
      <c r="A33" s="71" t="s">
        <v>179</v>
      </c>
      <c r="B33" s="71">
        <v>29</v>
      </c>
      <c r="C33" s="71" t="s">
        <v>238</v>
      </c>
      <c r="D33" s="76">
        <v>0.01</v>
      </c>
      <c r="E33" s="72"/>
      <c r="F33" s="73">
        <v>0.2560456942188962</v>
      </c>
      <c r="G33" s="73">
        <f t="shared" si="0"/>
        <v>0.2560456942188962</v>
      </c>
      <c r="H33" s="73">
        <f t="shared" si="1"/>
        <v>0.0025604569421889623</v>
      </c>
      <c r="I33" s="72"/>
      <c r="J33" s="73">
        <v>0.36928824957967493</v>
      </c>
      <c r="K33" s="73">
        <f t="shared" si="2"/>
        <v>0.36928824957967493</v>
      </c>
      <c r="L33" s="73">
        <f t="shared" si="3"/>
        <v>0.0036928824957967493</v>
      </c>
      <c r="M33" s="72"/>
      <c r="N33" s="73">
        <v>0.1997195153224772</v>
      </c>
      <c r="O33" s="73">
        <f t="shared" si="4"/>
        <v>0.1997195153224772</v>
      </c>
      <c r="P33" s="73">
        <f t="shared" si="5"/>
        <v>0.001997195153224772</v>
      </c>
      <c r="Q33" s="72"/>
      <c r="R33" s="73"/>
      <c r="S33" s="72"/>
      <c r="T33" s="73"/>
      <c r="U33" s="72"/>
      <c r="V33" s="73"/>
      <c r="W33" s="72"/>
      <c r="X33" s="73"/>
      <c r="Y33" s="72"/>
      <c r="Z33" s="73"/>
      <c r="AA33" s="72"/>
      <c r="AB33" s="74"/>
      <c r="AC33" s="72"/>
      <c r="AD33" s="74"/>
      <c r="AE33" s="72"/>
      <c r="AF33" s="74"/>
      <c r="AG33" s="72"/>
      <c r="AH33" s="74"/>
      <c r="AI33" s="72"/>
      <c r="AJ33" s="74"/>
      <c r="AK33" s="72"/>
      <c r="AL33" s="74"/>
      <c r="AM33" s="72"/>
      <c r="AN33" s="74"/>
      <c r="AO33" s="72"/>
      <c r="AP33" s="74"/>
    </row>
    <row r="34" spans="1:42" s="71" customFormat="1" ht="12.75">
      <c r="A34" s="71" t="s">
        <v>179</v>
      </c>
      <c r="B34" s="71">
        <v>30</v>
      </c>
      <c r="C34" s="71" t="s">
        <v>239</v>
      </c>
      <c r="D34" s="76">
        <v>0.01</v>
      </c>
      <c r="E34" s="72"/>
      <c r="F34" s="73">
        <v>0.019920459305828583</v>
      </c>
      <c r="G34" s="73">
        <f t="shared" si="0"/>
        <v>0.019920459305828583</v>
      </c>
      <c r="H34" s="73">
        <f t="shared" si="1"/>
        <v>0.00019920459305828583</v>
      </c>
      <c r="I34" s="72">
        <v>1</v>
      </c>
      <c r="J34" s="73">
        <v>0.045020582191404486</v>
      </c>
      <c r="K34" s="73">
        <f t="shared" si="2"/>
        <v>0.022510291095702243</v>
      </c>
      <c r="L34" s="73">
        <f t="shared" si="3"/>
        <v>0.00022510291095702244</v>
      </c>
      <c r="M34" s="72">
        <v>1</v>
      </c>
      <c r="N34" s="73">
        <v>0.02138639569175535</v>
      </c>
      <c r="O34" s="73">
        <f t="shared" si="4"/>
        <v>0.010693197845877675</v>
      </c>
      <c r="P34" s="73">
        <f t="shared" si="5"/>
        <v>0.00010693197845877675</v>
      </c>
      <c r="Q34" s="72"/>
      <c r="R34" s="73"/>
      <c r="S34" s="72"/>
      <c r="T34" s="73"/>
      <c r="U34" s="72"/>
      <c r="V34" s="73"/>
      <c r="W34" s="72"/>
      <c r="X34" s="73"/>
      <c r="Y34" s="72"/>
      <c r="Z34" s="73"/>
      <c r="AA34" s="72"/>
      <c r="AB34" s="74"/>
      <c r="AC34" s="72"/>
      <c r="AD34" s="74"/>
      <c r="AE34" s="72"/>
      <c r="AF34" s="74"/>
      <c r="AG34" s="72"/>
      <c r="AH34" s="74"/>
      <c r="AI34" s="72"/>
      <c r="AJ34" s="74"/>
      <c r="AK34" s="72"/>
      <c r="AL34" s="74"/>
      <c r="AM34" s="72"/>
      <c r="AN34" s="74"/>
      <c r="AO34" s="72"/>
      <c r="AP34" s="74"/>
    </row>
    <row r="35" spans="1:42" s="71" customFormat="1" ht="12.75">
      <c r="A35" s="71" t="s">
        <v>179</v>
      </c>
      <c r="B35" s="71">
        <v>31</v>
      </c>
      <c r="C35" s="71" t="s">
        <v>240</v>
      </c>
      <c r="D35" s="76">
        <v>0</v>
      </c>
      <c r="E35" s="72"/>
      <c r="F35" s="73">
        <v>0.09897652293838388</v>
      </c>
      <c r="G35" s="73">
        <f t="shared" si="0"/>
        <v>0.09897652293838388</v>
      </c>
      <c r="H35" s="73">
        <f t="shared" si="1"/>
        <v>0</v>
      </c>
      <c r="I35" s="72"/>
      <c r="J35" s="73">
        <v>0.11627149152207111</v>
      </c>
      <c r="K35" s="73">
        <f t="shared" si="2"/>
        <v>0.11627149152207111</v>
      </c>
      <c r="L35" s="73">
        <f t="shared" si="3"/>
        <v>0</v>
      </c>
      <c r="M35" s="72"/>
      <c r="N35" s="73">
        <v>0.05499358892165665</v>
      </c>
      <c r="O35" s="73">
        <f t="shared" si="4"/>
        <v>0.05499358892165665</v>
      </c>
      <c r="P35" s="73">
        <f t="shared" si="5"/>
        <v>0</v>
      </c>
      <c r="Q35" s="72"/>
      <c r="R35" s="73"/>
      <c r="S35" s="72"/>
      <c r="T35" s="73"/>
      <c r="U35" s="72"/>
      <c r="V35" s="73"/>
      <c r="W35" s="72"/>
      <c r="X35" s="73"/>
      <c r="Y35" s="72"/>
      <c r="Z35" s="73"/>
      <c r="AA35" s="72"/>
      <c r="AB35" s="74"/>
      <c r="AC35" s="72"/>
      <c r="AD35" s="74"/>
      <c r="AE35" s="72"/>
      <c r="AF35" s="74"/>
      <c r="AG35" s="72"/>
      <c r="AH35" s="74"/>
      <c r="AI35" s="72"/>
      <c r="AJ35" s="74"/>
      <c r="AK35" s="72"/>
      <c r="AL35" s="74"/>
      <c r="AM35" s="72"/>
      <c r="AN35" s="74"/>
      <c r="AO35" s="72"/>
      <c r="AP35" s="74"/>
    </row>
    <row r="36" spans="1:42" s="71" customFormat="1" ht="12.75">
      <c r="A36" s="71" t="s">
        <v>179</v>
      </c>
      <c r="B36" s="71">
        <v>32</v>
      </c>
      <c r="C36" s="71" t="s">
        <v>241</v>
      </c>
      <c r="D36" s="76">
        <v>0</v>
      </c>
      <c r="E36" s="72"/>
      <c r="F36" s="73">
        <v>0.3749426764631087</v>
      </c>
      <c r="G36" s="73">
        <f t="shared" si="0"/>
        <v>0.3749426764631087</v>
      </c>
      <c r="H36" s="73">
        <f t="shared" si="1"/>
        <v>0</v>
      </c>
      <c r="I36" s="72"/>
      <c r="J36" s="73">
        <v>0.53058032329315</v>
      </c>
      <c r="K36" s="73">
        <f t="shared" si="2"/>
        <v>0.53058032329315</v>
      </c>
      <c r="L36" s="73">
        <f t="shared" si="3"/>
        <v>0</v>
      </c>
      <c r="M36" s="72"/>
      <c r="N36" s="73">
        <v>0.27609949993589</v>
      </c>
      <c r="O36" s="73">
        <f t="shared" si="4"/>
        <v>0.27609949993589</v>
      </c>
      <c r="P36" s="73">
        <f t="shared" si="5"/>
        <v>0</v>
      </c>
      <c r="Q36" s="72"/>
      <c r="R36" s="73"/>
      <c r="S36" s="72"/>
      <c r="T36" s="73"/>
      <c r="U36" s="72"/>
      <c r="V36" s="73"/>
      <c r="W36" s="72"/>
      <c r="X36" s="73"/>
      <c r="Y36" s="72"/>
      <c r="Z36" s="73"/>
      <c r="AA36" s="72"/>
      <c r="AB36" s="74"/>
      <c r="AC36" s="72"/>
      <c r="AD36" s="74"/>
      <c r="AE36" s="72"/>
      <c r="AF36" s="74"/>
      <c r="AG36" s="72"/>
      <c r="AH36" s="74"/>
      <c r="AI36" s="72"/>
      <c r="AJ36" s="74"/>
      <c r="AK36" s="72"/>
      <c r="AL36" s="74"/>
      <c r="AM36" s="72"/>
      <c r="AN36" s="74"/>
      <c r="AO36" s="72"/>
      <c r="AP36" s="74"/>
    </row>
    <row r="37" spans="1:42" s="71" customFormat="1" ht="12.75">
      <c r="A37" s="71" t="s">
        <v>179</v>
      </c>
      <c r="B37" s="71">
        <v>33</v>
      </c>
      <c r="C37" s="71" t="s">
        <v>242</v>
      </c>
      <c r="D37" s="76">
        <v>0.001</v>
      </c>
      <c r="E37" s="72"/>
      <c r="F37" s="73">
        <v>0.12254732819030673</v>
      </c>
      <c r="G37" s="73">
        <f t="shared" si="0"/>
        <v>0.12254732819030673</v>
      </c>
      <c r="H37" s="73">
        <f t="shared" si="1"/>
        <v>0.00012254732819030672</v>
      </c>
      <c r="I37" s="72"/>
      <c r="J37" s="73">
        <v>0.26447555521367894</v>
      </c>
      <c r="K37" s="73">
        <f t="shared" si="2"/>
        <v>0.26447555521367894</v>
      </c>
      <c r="L37" s="73">
        <f t="shared" si="3"/>
        <v>0.0002644755552136789</v>
      </c>
      <c r="M37" s="72"/>
      <c r="N37" s="73">
        <v>0.09222175919989742</v>
      </c>
      <c r="O37" s="73">
        <f t="shared" si="4"/>
        <v>0.09222175919989742</v>
      </c>
      <c r="P37" s="73">
        <f t="shared" si="5"/>
        <v>9.222175919989742E-05</v>
      </c>
      <c r="Q37" s="72"/>
      <c r="R37" s="73"/>
      <c r="S37" s="72"/>
      <c r="T37" s="73"/>
      <c r="U37" s="72"/>
      <c r="V37" s="73"/>
      <c r="W37" s="72"/>
      <c r="X37" s="73"/>
      <c r="Y37" s="72"/>
      <c r="Z37" s="73"/>
      <c r="AA37" s="72"/>
      <c r="AB37" s="74"/>
      <c r="AC37" s="72"/>
      <c r="AD37" s="74"/>
      <c r="AE37" s="72"/>
      <c r="AF37" s="74"/>
      <c r="AG37" s="72"/>
      <c r="AH37" s="74"/>
      <c r="AI37" s="72"/>
      <c r="AJ37" s="74"/>
      <c r="AK37" s="72"/>
      <c r="AL37" s="74"/>
      <c r="AM37" s="72"/>
      <c r="AN37" s="74"/>
      <c r="AO37" s="72"/>
      <c r="AP37" s="74"/>
    </row>
    <row r="38" spans="1:42" s="71" customFormat="1" ht="12.75">
      <c r="A38" s="71" t="s">
        <v>179</v>
      </c>
      <c r="B38" s="71">
        <v>34</v>
      </c>
      <c r="C38" s="71" t="s">
        <v>243</v>
      </c>
      <c r="D38" s="76"/>
      <c r="E38" s="72"/>
      <c r="F38" s="73">
        <v>6.389148361649523</v>
      </c>
      <c r="G38" s="73">
        <f>SUM(G37,G36,G32,G26,G22,G19,G18,G15,G10,G7)</f>
        <v>6.389148361649523</v>
      </c>
      <c r="H38" s="73"/>
      <c r="I38" s="72"/>
      <c r="J38" s="73">
        <v>5.874941594048416</v>
      </c>
      <c r="K38" s="73">
        <f>SUM(K37,K36,K32,K26,K22,K19,K18,K15,K10,K7)</f>
        <v>5.874941594048421</v>
      </c>
      <c r="L38" s="73"/>
      <c r="M38" s="72"/>
      <c r="N38" s="73">
        <v>4.407521156558533</v>
      </c>
      <c r="O38" s="73">
        <f>SUM(O37,O36,O32,O26,O22,O19,O18,O15,O10,O7)</f>
        <v>4.407521156558535</v>
      </c>
      <c r="P38" s="73"/>
      <c r="Q38" s="72"/>
      <c r="R38" s="73"/>
      <c r="S38" s="72"/>
      <c r="T38" s="73"/>
      <c r="U38" s="72"/>
      <c r="V38" s="73"/>
      <c r="W38" s="72"/>
      <c r="X38" s="73"/>
      <c r="Y38" s="72"/>
      <c r="Z38" s="73"/>
      <c r="AA38" s="72"/>
      <c r="AB38" s="74"/>
      <c r="AC38" s="72"/>
      <c r="AD38" s="74"/>
      <c r="AE38" s="72"/>
      <c r="AF38" s="74"/>
      <c r="AG38" s="72"/>
      <c r="AH38" s="74"/>
      <c r="AI38" s="72"/>
      <c r="AJ38" s="74"/>
      <c r="AK38" s="72"/>
      <c r="AL38" s="74"/>
      <c r="AM38" s="72"/>
      <c r="AN38" s="74"/>
      <c r="AO38" s="72"/>
      <c r="AP38" s="74"/>
    </row>
    <row r="39" spans="1:42" s="71" customFormat="1" ht="12.75">
      <c r="A39" s="71" t="s">
        <v>179</v>
      </c>
      <c r="B39" s="71">
        <v>35</v>
      </c>
      <c r="C39" s="71" t="s">
        <v>90</v>
      </c>
      <c r="D39" s="76"/>
      <c r="E39" s="93">
        <f>(F39-H39)*2/F39*100</f>
        <v>31.739514241518563</v>
      </c>
      <c r="F39" s="73">
        <v>0.06439053805512557</v>
      </c>
      <c r="G39" s="73"/>
      <c r="H39" s="73">
        <f>SUM(H5:H37)</f>
        <v>0.054171916057027064</v>
      </c>
      <c r="I39" s="93">
        <f>(J39-L39)*2/J39*100</f>
        <v>31.55433775014997</v>
      </c>
      <c r="J39" s="73">
        <v>0.07967502598872539</v>
      </c>
      <c r="K39" s="73"/>
      <c r="L39" s="73">
        <f>SUM(L5:L37)</f>
        <v>0.0671045625872243</v>
      </c>
      <c r="M39" s="93">
        <f>(N39-P39)*2/N39*100</f>
        <v>54.40955665867323</v>
      </c>
      <c r="N39" s="73">
        <v>0.0549019895178869</v>
      </c>
      <c r="O39" s="73"/>
      <c r="P39" s="73">
        <f>SUM(P5:P37)</f>
        <v>0.03996602497115014</v>
      </c>
      <c r="Q39" s="72"/>
      <c r="R39" s="73"/>
      <c r="S39" s="72"/>
      <c r="T39" s="73"/>
      <c r="U39" s="72"/>
      <c r="V39" s="73"/>
      <c r="W39" s="72"/>
      <c r="X39" s="73"/>
      <c r="Y39" s="72"/>
      <c r="Z39" s="73"/>
      <c r="AA39" s="72"/>
      <c r="AB39" s="74"/>
      <c r="AC39" s="72"/>
      <c r="AD39" s="74"/>
      <c r="AE39" s="72"/>
      <c r="AF39" s="74"/>
      <c r="AG39" s="72"/>
      <c r="AH39" s="74"/>
      <c r="AI39" s="72"/>
      <c r="AJ39" s="74"/>
      <c r="AK39" s="72"/>
      <c r="AL39" s="74"/>
      <c r="AM39" s="72"/>
      <c r="AN39" s="74"/>
      <c r="AO39" s="72"/>
      <c r="AP39" s="74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P39"/>
  <sheetViews>
    <sheetView workbookViewId="0" topLeftCell="C1">
      <selection activeCell="B31" sqref="B31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16.28125" style="0" customWidth="1"/>
    <col min="4" max="4" width="7.00390625" style="75" customWidth="1"/>
    <col min="5" max="5" width="5.57421875" style="0" customWidth="1"/>
    <col min="7" max="7" width="7.7109375" style="77" customWidth="1"/>
    <col min="8" max="8" width="8.28125" style="77" customWidth="1"/>
    <col min="9" max="9" width="6.00390625" style="0" customWidth="1"/>
    <col min="11" max="11" width="7.7109375" style="77" customWidth="1"/>
    <col min="12" max="12" width="8.28125" style="77" customWidth="1"/>
    <col min="13" max="13" width="7.57421875" style="0" customWidth="1"/>
    <col min="15" max="15" width="7.7109375" style="77" customWidth="1"/>
    <col min="16" max="16" width="8.28125" style="77" customWidth="1"/>
  </cols>
  <sheetData>
    <row r="1" ht="12.75">
      <c r="C1" s="2" t="s">
        <v>188</v>
      </c>
    </row>
    <row r="2" spans="6:16" ht="12.75">
      <c r="F2" s="97" t="s">
        <v>34</v>
      </c>
      <c r="G2" s="97"/>
      <c r="H2" s="97"/>
      <c r="J2" s="97" t="s">
        <v>35</v>
      </c>
      <c r="K2" s="97"/>
      <c r="L2" s="97"/>
      <c r="N2" s="97" t="s">
        <v>36</v>
      </c>
      <c r="O2" s="97"/>
      <c r="P2" s="97"/>
    </row>
    <row r="3" spans="3:16" ht="12.75">
      <c r="C3" t="s">
        <v>245</v>
      </c>
      <c r="D3" s="75" t="s">
        <v>87</v>
      </c>
      <c r="F3" s="67" t="s">
        <v>80</v>
      </c>
      <c r="G3" s="98" t="s">
        <v>80</v>
      </c>
      <c r="H3" s="98" t="s">
        <v>90</v>
      </c>
      <c r="J3" s="67" t="s">
        <v>80</v>
      </c>
      <c r="K3" s="98" t="s">
        <v>80</v>
      </c>
      <c r="L3" s="98" t="s">
        <v>90</v>
      </c>
      <c r="N3" s="67" t="s">
        <v>80</v>
      </c>
      <c r="O3" s="98" t="s">
        <v>80</v>
      </c>
      <c r="P3" s="98" t="s">
        <v>90</v>
      </c>
    </row>
    <row r="4" spans="4:16" ht="12.75">
      <c r="D4" s="75" t="s">
        <v>244</v>
      </c>
      <c r="F4" s="67" t="s">
        <v>246</v>
      </c>
      <c r="G4" s="98" t="s">
        <v>91</v>
      </c>
      <c r="H4" s="98" t="s">
        <v>91</v>
      </c>
      <c r="J4" s="67" t="s">
        <v>246</v>
      </c>
      <c r="K4" s="98" t="s">
        <v>91</v>
      </c>
      <c r="L4" s="98" t="s">
        <v>91</v>
      </c>
      <c r="N4" s="67" t="s">
        <v>246</v>
      </c>
      <c r="O4" s="98" t="s">
        <v>91</v>
      </c>
      <c r="P4" s="98" t="s">
        <v>91</v>
      </c>
    </row>
    <row r="5" spans="1:42" s="71" customFormat="1" ht="12.75">
      <c r="A5" s="71" t="s">
        <v>188</v>
      </c>
      <c r="B5" s="71">
        <v>1</v>
      </c>
      <c r="C5" s="71" t="s">
        <v>210</v>
      </c>
      <c r="D5" s="76">
        <v>1</v>
      </c>
      <c r="E5" s="72"/>
      <c r="F5" s="73">
        <v>0.0076345184903508</v>
      </c>
      <c r="G5" s="73">
        <f>IF(E5=1,F5/2,F5)</f>
        <v>0.0076345184903508</v>
      </c>
      <c r="H5" s="73">
        <f>G5*$D5</f>
        <v>0.0076345184903508</v>
      </c>
      <c r="I5" s="72">
        <v>1</v>
      </c>
      <c r="J5" s="73">
        <v>0.00934276401564537</v>
      </c>
      <c r="K5" s="73">
        <f>IF(I5=1,J5/2,J5)</f>
        <v>0.004671382007822685</v>
      </c>
      <c r="L5" s="73">
        <f>K5*$D5</f>
        <v>0.004671382007822685</v>
      </c>
      <c r="M5" s="72">
        <v>1</v>
      </c>
      <c r="N5" s="73">
        <v>0.008980320612729763</v>
      </c>
      <c r="O5" s="73">
        <f>IF(M5=1,N5/2,N5)</f>
        <v>0.004490160306364881</v>
      </c>
      <c r="P5" s="73">
        <f>O5*$D5</f>
        <v>0.004490160306364881</v>
      </c>
      <c r="Q5" s="72"/>
      <c r="R5" s="73"/>
      <c r="S5" s="72"/>
      <c r="T5" s="73"/>
      <c r="U5" s="72"/>
      <c r="V5" s="73"/>
      <c r="W5" s="72"/>
      <c r="X5" s="73"/>
      <c r="Y5" s="72"/>
      <c r="Z5" s="73"/>
      <c r="AA5" s="72"/>
      <c r="AB5" s="74"/>
      <c r="AC5" s="72"/>
      <c r="AD5" s="74"/>
      <c r="AE5" s="72"/>
      <c r="AF5" s="74"/>
      <c r="AG5" s="72"/>
      <c r="AH5" s="74"/>
      <c r="AI5" s="72"/>
      <c r="AJ5" s="74"/>
      <c r="AK5" s="72"/>
      <c r="AL5" s="74"/>
      <c r="AM5" s="72"/>
      <c r="AN5" s="74"/>
      <c r="AO5" s="72"/>
      <c r="AP5" s="74"/>
    </row>
    <row r="6" spans="1:42" s="71" customFormat="1" ht="12.75">
      <c r="A6" s="71" t="s">
        <v>188</v>
      </c>
      <c r="B6" s="71">
        <v>2</v>
      </c>
      <c r="C6" s="71" t="s">
        <v>211</v>
      </c>
      <c r="D6" s="76">
        <v>0</v>
      </c>
      <c r="E6" s="72"/>
      <c r="F6" s="73">
        <v>0.14370061134796375</v>
      </c>
      <c r="G6" s="73">
        <f aca="true" t="shared" si="0" ref="G6:G37">IF(E6=1,F6/2,F6)</f>
        <v>0.14370061134796375</v>
      </c>
      <c r="H6" s="73">
        <f aca="true" t="shared" si="1" ref="H6:H37">G6*$D6</f>
        <v>0</v>
      </c>
      <c r="I6" s="72"/>
      <c r="J6" s="73">
        <v>0.15312007822685786</v>
      </c>
      <c r="K6" s="73">
        <f aca="true" t="shared" si="2" ref="K6:K37">IF(I6=1,J6/2,J6)</f>
        <v>0.15312007822685786</v>
      </c>
      <c r="L6" s="73">
        <f aca="true" t="shared" si="3" ref="L6:L37">K6*$D6</f>
        <v>0</v>
      </c>
      <c r="M6" s="72"/>
      <c r="N6" s="73">
        <v>0.07099367887376912</v>
      </c>
      <c r="O6" s="73">
        <f aca="true" t="shared" si="4" ref="O6:O37">IF(M6=1,N6/2,N6)</f>
        <v>0.07099367887376912</v>
      </c>
      <c r="P6" s="73">
        <f aca="true" t="shared" si="5" ref="P6:P37">O6*$D6</f>
        <v>0</v>
      </c>
      <c r="Q6" s="72"/>
      <c r="R6" s="73"/>
      <c r="S6" s="72"/>
      <c r="T6" s="73"/>
      <c r="U6" s="72"/>
      <c r="V6" s="73"/>
      <c r="W6" s="72"/>
      <c r="X6" s="73"/>
      <c r="Y6" s="72"/>
      <c r="Z6" s="73"/>
      <c r="AA6" s="72"/>
      <c r="AB6" s="74"/>
      <c r="AC6" s="72"/>
      <c r="AD6" s="74"/>
      <c r="AE6" s="72"/>
      <c r="AF6" s="74"/>
      <c r="AG6" s="72"/>
      <c r="AH6" s="74"/>
      <c r="AI6" s="72"/>
      <c r="AJ6" s="74"/>
      <c r="AK6" s="72"/>
      <c r="AL6" s="74"/>
      <c r="AM6" s="72"/>
      <c r="AN6" s="74"/>
      <c r="AO6" s="72"/>
      <c r="AP6" s="74"/>
    </row>
    <row r="7" spans="1:42" s="71" customFormat="1" ht="12.75">
      <c r="A7" s="71" t="s">
        <v>188</v>
      </c>
      <c r="B7" s="71">
        <v>3</v>
      </c>
      <c r="C7" s="71" t="s">
        <v>212</v>
      </c>
      <c r="D7" s="76">
        <v>0</v>
      </c>
      <c r="E7" s="72"/>
      <c r="F7" s="73">
        <v>0.15133512983831454</v>
      </c>
      <c r="G7" s="73">
        <f t="shared" si="0"/>
        <v>0.15133512983831454</v>
      </c>
      <c r="H7" s="73">
        <f t="shared" si="1"/>
        <v>0</v>
      </c>
      <c r="I7" s="72"/>
      <c r="J7" s="73">
        <v>0.16246284224250324</v>
      </c>
      <c r="K7" s="73">
        <f t="shared" si="2"/>
        <v>0.16246284224250324</v>
      </c>
      <c r="L7" s="73">
        <f t="shared" si="3"/>
        <v>0</v>
      </c>
      <c r="M7" s="72"/>
      <c r="N7" s="73">
        <v>0.07997399948649887</v>
      </c>
      <c r="O7" s="73">
        <f t="shared" si="4"/>
        <v>0.07997399948649887</v>
      </c>
      <c r="P7" s="73">
        <f t="shared" si="5"/>
        <v>0</v>
      </c>
      <c r="Q7" s="72"/>
      <c r="R7" s="73"/>
      <c r="S7" s="72"/>
      <c r="T7" s="73"/>
      <c r="U7" s="72"/>
      <c r="V7" s="73"/>
      <c r="W7" s="72"/>
      <c r="X7" s="73"/>
      <c r="Y7" s="72"/>
      <c r="Z7" s="73"/>
      <c r="AA7" s="72"/>
      <c r="AB7" s="74"/>
      <c r="AC7" s="72"/>
      <c r="AD7" s="74"/>
      <c r="AE7" s="72"/>
      <c r="AF7" s="74"/>
      <c r="AG7" s="72"/>
      <c r="AH7" s="74"/>
      <c r="AI7" s="72"/>
      <c r="AJ7" s="74"/>
      <c r="AK7" s="72"/>
      <c r="AL7" s="74"/>
      <c r="AM7" s="72"/>
      <c r="AN7" s="74"/>
      <c r="AO7" s="72"/>
      <c r="AP7" s="74"/>
    </row>
    <row r="8" spans="1:42" s="71" customFormat="1" ht="12.75">
      <c r="A8" s="71" t="s">
        <v>188</v>
      </c>
      <c r="B8" s="71">
        <v>4</v>
      </c>
      <c r="C8" s="71" t="s">
        <v>213</v>
      </c>
      <c r="D8" s="76">
        <v>0.5</v>
      </c>
      <c r="E8" s="72">
        <v>1</v>
      </c>
      <c r="F8" s="73">
        <v>0.002520746341784463</v>
      </c>
      <c r="G8" s="73">
        <f t="shared" si="0"/>
        <v>0.0012603731708922315</v>
      </c>
      <c r="H8" s="73">
        <f t="shared" si="1"/>
        <v>0.0006301865854461158</v>
      </c>
      <c r="I8" s="72">
        <v>1</v>
      </c>
      <c r="J8" s="73">
        <v>0.002830443285528031</v>
      </c>
      <c r="K8" s="73">
        <f t="shared" si="2"/>
        <v>0.0014152216427640156</v>
      </c>
      <c r="L8" s="73">
        <f t="shared" si="3"/>
        <v>0.0007076108213820078</v>
      </c>
      <c r="M8" s="72">
        <v>1</v>
      </c>
      <c r="N8" s="73">
        <v>0.008667573128704349</v>
      </c>
      <c r="O8" s="73">
        <f t="shared" si="4"/>
        <v>0.004333786564352174</v>
      </c>
      <c r="P8" s="73">
        <f t="shared" si="5"/>
        <v>0.002166893282176087</v>
      </c>
      <c r="Q8" s="72"/>
      <c r="R8" s="73"/>
      <c r="S8" s="72"/>
      <c r="T8" s="73"/>
      <c r="U8" s="72"/>
      <c r="V8" s="73"/>
      <c r="W8" s="72"/>
      <c r="X8" s="73"/>
      <c r="Y8" s="72"/>
      <c r="Z8" s="73"/>
      <c r="AA8" s="72"/>
      <c r="AB8" s="74"/>
      <c r="AC8" s="72"/>
      <c r="AD8" s="74"/>
      <c r="AE8" s="72"/>
      <c r="AF8" s="74"/>
      <c r="AG8" s="72"/>
      <c r="AH8" s="74"/>
      <c r="AI8" s="72"/>
      <c r="AJ8" s="74"/>
      <c r="AK8" s="72"/>
      <c r="AL8" s="74"/>
      <c r="AM8" s="72"/>
      <c r="AN8" s="74"/>
      <c r="AO8" s="72"/>
      <c r="AP8" s="74"/>
    </row>
    <row r="9" spans="1:42" s="71" customFormat="1" ht="12.75">
      <c r="A9" s="71" t="s">
        <v>188</v>
      </c>
      <c r="B9" s="71">
        <v>5</v>
      </c>
      <c r="C9" s="71" t="s">
        <v>214</v>
      </c>
      <c r="D9" s="76">
        <v>0</v>
      </c>
      <c r="E9" s="72"/>
      <c r="F9" s="73">
        <v>0.0462678925314632</v>
      </c>
      <c r="G9" s="73">
        <f t="shared" si="0"/>
        <v>0.0462678925314632</v>
      </c>
      <c r="H9" s="73">
        <f t="shared" si="1"/>
        <v>0</v>
      </c>
      <c r="I9" s="72"/>
      <c r="J9" s="73">
        <v>0.058841003911342886</v>
      </c>
      <c r="K9" s="73">
        <f t="shared" si="2"/>
        <v>0.058841003911342886</v>
      </c>
      <c r="L9" s="73">
        <f t="shared" si="3"/>
        <v>0</v>
      </c>
      <c r="M9" s="72"/>
      <c r="N9" s="73">
        <v>0</v>
      </c>
      <c r="O9" s="73">
        <f t="shared" si="4"/>
        <v>0</v>
      </c>
      <c r="P9" s="73">
        <f t="shared" si="5"/>
        <v>0</v>
      </c>
      <c r="Q9" s="72"/>
      <c r="R9" s="73"/>
      <c r="S9" s="72"/>
      <c r="T9" s="73"/>
      <c r="U9" s="72"/>
      <c r="V9" s="73"/>
      <c r="W9" s="72"/>
      <c r="X9" s="73"/>
      <c r="Y9" s="72"/>
      <c r="Z9" s="73"/>
      <c r="AA9" s="72"/>
      <c r="AB9" s="74"/>
      <c r="AC9" s="72"/>
      <c r="AD9" s="74"/>
      <c r="AE9" s="72"/>
      <c r="AF9" s="74"/>
      <c r="AG9" s="72"/>
      <c r="AH9" s="74"/>
      <c r="AI9" s="72"/>
      <c r="AJ9" s="74"/>
      <c r="AK9" s="72"/>
      <c r="AL9" s="74"/>
      <c r="AM9" s="72"/>
      <c r="AN9" s="74"/>
      <c r="AO9" s="72"/>
      <c r="AP9" s="74"/>
    </row>
    <row r="10" spans="1:42" s="71" customFormat="1" ht="12.75">
      <c r="A10" s="71" t="s">
        <v>188</v>
      </c>
      <c r="B10" s="71">
        <v>6</v>
      </c>
      <c r="C10" s="71" t="s">
        <v>215</v>
      </c>
      <c r="D10" s="76">
        <v>0</v>
      </c>
      <c r="E10" s="72"/>
      <c r="F10" s="73">
        <v>0.048788638873247664</v>
      </c>
      <c r="G10" s="73">
        <f t="shared" si="0"/>
        <v>0.048788638873247664</v>
      </c>
      <c r="H10" s="73">
        <f t="shared" si="1"/>
        <v>0</v>
      </c>
      <c r="I10" s="72"/>
      <c r="J10" s="73">
        <v>0.061671447196871</v>
      </c>
      <c r="K10" s="73">
        <f t="shared" si="2"/>
        <v>0.061671447196871</v>
      </c>
      <c r="L10" s="73">
        <f t="shared" si="3"/>
        <v>0</v>
      </c>
      <c r="M10" s="72">
        <v>1</v>
      </c>
      <c r="N10" s="73">
        <v>0.008667573128704349</v>
      </c>
      <c r="O10" s="73">
        <f t="shared" si="4"/>
        <v>0.004333786564352174</v>
      </c>
      <c r="P10" s="73">
        <f t="shared" si="5"/>
        <v>0</v>
      </c>
      <c r="Q10" s="72"/>
      <c r="R10" s="73"/>
      <c r="S10" s="72"/>
      <c r="T10" s="73"/>
      <c r="U10" s="72"/>
      <c r="V10" s="73"/>
      <c r="W10" s="72"/>
      <c r="X10" s="73"/>
      <c r="Y10" s="72"/>
      <c r="Z10" s="73"/>
      <c r="AA10" s="72"/>
      <c r="AB10" s="74"/>
      <c r="AC10" s="72"/>
      <c r="AD10" s="74"/>
      <c r="AE10" s="72"/>
      <c r="AF10" s="74"/>
      <c r="AG10" s="72"/>
      <c r="AH10" s="74"/>
      <c r="AI10" s="72"/>
      <c r="AJ10" s="74"/>
      <c r="AK10" s="72"/>
      <c r="AL10" s="74"/>
      <c r="AM10" s="72"/>
      <c r="AN10" s="74"/>
      <c r="AO10" s="72"/>
      <c r="AP10" s="74"/>
    </row>
    <row r="11" spans="1:42" s="71" customFormat="1" ht="12.75">
      <c r="A11" s="71" t="s">
        <v>188</v>
      </c>
      <c r="B11" s="71">
        <v>7</v>
      </c>
      <c r="C11" s="71" t="s">
        <v>216</v>
      </c>
      <c r="D11" s="76">
        <v>0.1</v>
      </c>
      <c r="E11" s="72">
        <v>1</v>
      </c>
      <c r="F11" s="73">
        <v>0.0062341038560261</v>
      </c>
      <c r="G11" s="73">
        <f t="shared" si="0"/>
        <v>0.00311705192801305</v>
      </c>
      <c r="H11" s="73">
        <f t="shared" si="1"/>
        <v>0.00031170519280130504</v>
      </c>
      <c r="I11" s="72">
        <v>1</v>
      </c>
      <c r="J11" s="73">
        <v>0.0063052151238592</v>
      </c>
      <c r="K11" s="73">
        <f t="shared" si="2"/>
        <v>0.0031526075619296</v>
      </c>
      <c r="L11" s="73">
        <f t="shared" si="3"/>
        <v>0.00031526075619296</v>
      </c>
      <c r="M11" s="72">
        <v>1</v>
      </c>
      <c r="N11" s="73">
        <v>0.008488860280689825</v>
      </c>
      <c r="O11" s="73">
        <f t="shared" si="4"/>
        <v>0.004244430140344912</v>
      </c>
      <c r="P11" s="73">
        <f t="shared" si="5"/>
        <v>0.0004244430140344913</v>
      </c>
      <c r="Q11" s="72"/>
      <c r="R11" s="73"/>
      <c r="S11" s="72"/>
      <c r="T11" s="73"/>
      <c r="U11" s="72"/>
      <c r="V11" s="73"/>
      <c r="W11" s="72"/>
      <c r="X11" s="73"/>
      <c r="Y11" s="72"/>
      <c r="Z11" s="73"/>
      <c r="AA11" s="72"/>
      <c r="AB11" s="74"/>
      <c r="AC11" s="72"/>
      <c r="AD11" s="74"/>
      <c r="AE11" s="72"/>
      <c r="AF11" s="74"/>
      <c r="AG11" s="72"/>
      <c r="AH11" s="74"/>
      <c r="AI11" s="72"/>
      <c r="AJ11" s="74"/>
      <c r="AK11" s="72"/>
      <c r="AL11" s="74"/>
      <c r="AM11" s="72"/>
      <c r="AN11" s="74"/>
      <c r="AO11" s="72"/>
      <c r="AP11" s="74"/>
    </row>
    <row r="12" spans="1:42" s="71" customFormat="1" ht="12.75">
      <c r="A12" s="71" t="s">
        <v>188</v>
      </c>
      <c r="B12" s="71">
        <v>8</v>
      </c>
      <c r="C12" s="71" t="s">
        <v>217</v>
      </c>
      <c r="D12" s="76">
        <v>0.1</v>
      </c>
      <c r="E12" s="72">
        <v>1</v>
      </c>
      <c r="F12" s="73">
        <v>0.0056016585372988</v>
      </c>
      <c r="G12" s="73">
        <f t="shared" si="0"/>
        <v>0.0028008292686494</v>
      </c>
      <c r="H12" s="73">
        <f t="shared" si="1"/>
        <v>0.00028008292686494</v>
      </c>
      <c r="I12" s="72">
        <v>1</v>
      </c>
      <c r="J12" s="73">
        <v>0.005430769230769229</v>
      </c>
      <c r="K12" s="73">
        <f t="shared" si="2"/>
        <v>0.0027153846153846143</v>
      </c>
      <c r="L12" s="73">
        <f t="shared" si="3"/>
        <v>0.00027153846153846146</v>
      </c>
      <c r="M12" s="72">
        <v>1</v>
      </c>
      <c r="N12" s="73">
        <v>0.007639974252620844</v>
      </c>
      <c r="O12" s="73">
        <f t="shared" si="4"/>
        <v>0.003819987126310422</v>
      </c>
      <c r="P12" s="73">
        <f t="shared" si="5"/>
        <v>0.0003819987126310422</v>
      </c>
      <c r="Q12" s="72"/>
      <c r="R12" s="73"/>
      <c r="S12" s="72"/>
      <c r="T12" s="73"/>
      <c r="U12" s="72"/>
      <c r="V12" s="73"/>
      <c r="W12" s="72"/>
      <c r="X12" s="73"/>
      <c r="Y12" s="72"/>
      <c r="Z12" s="73"/>
      <c r="AA12" s="72"/>
      <c r="AB12" s="74"/>
      <c r="AC12" s="72"/>
      <c r="AD12" s="74"/>
      <c r="AE12" s="72"/>
      <c r="AF12" s="74"/>
      <c r="AG12" s="72"/>
      <c r="AH12" s="74"/>
      <c r="AI12" s="72"/>
      <c r="AJ12" s="74"/>
      <c r="AK12" s="72"/>
      <c r="AL12" s="74"/>
      <c r="AM12" s="72"/>
      <c r="AN12" s="74"/>
      <c r="AO12" s="72"/>
      <c r="AP12" s="74"/>
    </row>
    <row r="13" spans="1:42" s="71" customFormat="1" ht="12.75">
      <c r="A13" s="71" t="s">
        <v>188</v>
      </c>
      <c r="B13" s="71">
        <v>9</v>
      </c>
      <c r="C13" s="71" t="s">
        <v>218</v>
      </c>
      <c r="D13" s="76">
        <v>0.1</v>
      </c>
      <c r="E13" s="72">
        <v>1</v>
      </c>
      <c r="F13" s="73">
        <v>0.006188929190402714</v>
      </c>
      <c r="G13" s="73">
        <f t="shared" si="0"/>
        <v>0.003094464595201357</v>
      </c>
      <c r="H13" s="73">
        <f t="shared" si="1"/>
        <v>0.0003094464595201357</v>
      </c>
      <c r="I13" s="72">
        <v>1</v>
      </c>
      <c r="J13" s="73">
        <v>0.0037923337679269882</v>
      </c>
      <c r="K13" s="73">
        <f t="shared" si="2"/>
        <v>0.0018961668839634941</v>
      </c>
      <c r="L13" s="73">
        <f t="shared" si="3"/>
        <v>0.00018961668839634943</v>
      </c>
      <c r="M13" s="72">
        <v>1</v>
      </c>
      <c r="N13" s="73">
        <v>0.0084441820686862</v>
      </c>
      <c r="O13" s="73">
        <f t="shared" si="4"/>
        <v>0.0042220910343431</v>
      </c>
      <c r="P13" s="73">
        <f t="shared" si="5"/>
        <v>0.00042220910343431005</v>
      </c>
      <c r="Q13" s="72"/>
      <c r="R13" s="73"/>
      <c r="S13" s="72"/>
      <c r="T13" s="73"/>
      <c r="U13" s="72"/>
      <c r="V13" s="73"/>
      <c r="W13" s="72"/>
      <c r="X13" s="73"/>
      <c r="Y13" s="72"/>
      <c r="Z13" s="73"/>
      <c r="AA13" s="72"/>
      <c r="AB13" s="74"/>
      <c r="AC13" s="72"/>
      <c r="AD13" s="74"/>
      <c r="AE13" s="72"/>
      <c r="AF13" s="74"/>
      <c r="AG13" s="72"/>
      <c r="AH13" s="74"/>
      <c r="AI13" s="72"/>
      <c r="AJ13" s="74"/>
      <c r="AK13" s="72"/>
      <c r="AL13" s="74"/>
      <c r="AM13" s="72"/>
      <c r="AN13" s="74"/>
      <c r="AO13" s="72"/>
      <c r="AP13" s="74"/>
    </row>
    <row r="14" spans="1:42" s="71" customFormat="1" ht="12.75">
      <c r="A14" s="71" t="s">
        <v>188</v>
      </c>
      <c r="B14" s="71">
        <v>10</v>
      </c>
      <c r="C14" s="71" t="s">
        <v>219</v>
      </c>
      <c r="D14" s="76">
        <v>0</v>
      </c>
      <c r="E14" s="72"/>
      <c r="F14" s="73">
        <v>-0.0102094744308833</v>
      </c>
      <c r="G14" s="73">
        <f t="shared" si="0"/>
        <v>-0.0102094744308833</v>
      </c>
      <c r="H14" s="73">
        <f t="shared" si="1"/>
        <v>0</v>
      </c>
      <c r="I14" s="72"/>
      <c r="J14" s="73">
        <v>0.025938826597131676</v>
      </c>
      <c r="K14" s="73">
        <f t="shared" si="2"/>
        <v>0.025938826597131676</v>
      </c>
      <c r="L14" s="73">
        <f t="shared" si="3"/>
        <v>0</v>
      </c>
      <c r="M14" s="72"/>
      <c r="N14" s="73">
        <v>-0.012152473664987541</v>
      </c>
      <c r="O14" s="73">
        <f t="shared" si="4"/>
        <v>-0.012152473664987541</v>
      </c>
      <c r="P14" s="73">
        <f t="shared" si="5"/>
        <v>0</v>
      </c>
      <c r="Q14" s="72"/>
      <c r="R14" s="73"/>
      <c r="S14" s="72"/>
      <c r="T14" s="73"/>
      <c r="U14" s="72"/>
      <c r="V14" s="73"/>
      <c r="W14" s="72"/>
      <c r="X14" s="73"/>
      <c r="Y14" s="72"/>
      <c r="Z14" s="73"/>
      <c r="AA14" s="72"/>
      <c r="AB14" s="74"/>
      <c r="AC14" s="72"/>
      <c r="AD14" s="74"/>
      <c r="AE14" s="72"/>
      <c r="AF14" s="74"/>
      <c r="AG14" s="72"/>
      <c r="AH14" s="74"/>
      <c r="AI14" s="72"/>
      <c r="AJ14" s="74"/>
      <c r="AK14" s="72"/>
      <c r="AL14" s="74"/>
      <c r="AM14" s="72"/>
      <c r="AN14" s="74"/>
      <c r="AO14" s="72"/>
      <c r="AP14" s="74"/>
    </row>
    <row r="15" spans="1:42" s="71" customFormat="1" ht="12.75">
      <c r="A15" s="71" t="s">
        <v>188</v>
      </c>
      <c r="B15" s="71">
        <v>11</v>
      </c>
      <c r="C15" s="71" t="s">
        <v>220</v>
      </c>
      <c r="D15" s="76">
        <v>0</v>
      </c>
      <c r="E15" s="72"/>
      <c r="F15" s="73">
        <v>0.0078152171528443</v>
      </c>
      <c r="G15" s="73">
        <f t="shared" si="0"/>
        <v>0.0078152171528443</v>
      </c>
      <c r="H15" s="73">
        <f t="shared" si="1"/>
        <v>0</v>
      </c>
      <c r="I15" s="72"/>
      <c r="J15" s="73">
        <v>0.041467144719687</v>
      </c>
      <c r="K15" s="73">
        <f t="shared" si="2"/>
        <v>0.041467144719687</v>
      </c>
      <c r="L15" s="73">
        <f t="shared" si="3"/>
        <v>0</v>
      </c>
      <c r="M15" s="72"/>
      <c r="N15" s="73">
        <v>0.01242054293700932</v>
      </c>
      <c r="O15" s="73">
        <f t="shared" si="4"/>
        <v>0.01242054293700932</v>
      </c>
      <c r="P15" s="73">
        <f t="shared" si="5"/>
        <v>0</v>
      </c>
      <c r="Q15" s="72"/>
      <c r="R15" s="73"/>
      <c r="S15" s="72"/>
      <c r="T15" s="73"/>
      <c r="U15" s="72"/>
      <c r="V15" s="73"/>
      <c r="W15" s="72"/>
      <c r="X15" s="73"/>
      <c r="Y15" s="72"/>
      <c r="Z15" s="73"/>
      <c r="AA15" s="72"/>
      <c r="AB15" s="74"/>
      <c r="AC15" s="72"/>
      <c r="AD15" s="74"/>
      <c r="AE15" s="72"/>
      <c r="AF15" s="74"/>
      <c r="AG15" s="72"/>
      <c r="AH15" s="74"/>
      <c r="AI15" s="72"/>
      <c r="AJ15" s="74"/>
      <c r="AK15" s="72"/>
      <c r="AL15" s="74"/>
      <c r="AM15" s="72"/>
      <c r="AN15" s="74"/>
      <c r="AO15" s="72"/>
      <c r="AP15" s="74"/>
    </row>
    <row r="16" spans="1:42" s="71" customFormat="1" ht="12.75">
      <c r="A16" s="71" t="s">
        <v>188</v>
      </c>
      <c r="B16" s="71">
        <v>12</v>
      </c>
      <c r="C16" s="71" t="s">
        <v>221</v>
      </c>
      <c r="D16" s="76">
        <v>0.01</v>
      </c>
      <c r="E16" s="72">
        <v>1</v>
      </c>
      <c r="F16" s="73">
        <v>0.022451808814818605</v>
      </c>
      <c r="G16" s="73">
        <f t="shared" si="0"/>
        <v>0.011225904407409303</v>
      </c>
      <c r="H16" s="73">
        <f t="shared" si="1"/>
        <v>0.00011225904407409303</v>
      </c>
      <c r="I16" s="72">
        <v>1</v>
      </c>
      <c r="J16" s="73">
        <v>0.026187353324641456</v>
      </c>
      <c r="K16" s="73">
        <f t="shared" si="2"/>
        <v>0.013093676662320728</v>
      </c>
      <c r="L16" s="73">
        <f t="shared" si="3"/>
        <v>0.00013093676662320728</v>
      </c>
      <c r="M16" s="72">
        <v>1</v>
      </c>
      <c r="N16" s="73">
        <v>0.025109155146040424</v>
      </c>
      <c r="O16" s="73">
        <f t="shared" si="4"/>
        <v>0.012554577573020212</v>
      </c>
      <c r="P16" s="73">
        <f t="shared" si="5"/>
        <v>0.00012554577573020212</v>
      </c>
      <c r="Q16" s="72"/>
      <c r="R16" s="73"/>
      <c r="S16" s="72"/>
      <c r="T16" s="73"/>
      <c r="U16" s="72"/>
      <c r="V16" s="73"/>
      <c r="W16" s="72"/>
      <c r="X16" s="73"/>
      <c r="Y16" s="72"/>
      <c r="Z16" s="73"/>
      <c r="AA16" s="72"/>
      <c r="AB16" s="74"/>
      <c r="AC16" s="72"/>
      <c r="AD16" s="74"/>
      <c r="AE16" s="72"/>
      <c r="AF16" s="74"/>
      <c r="AG16" s="72"/>
      <c r="AH16" s="74"/>
      <c r="AI16" s="72"/>
      <c r="AJ16" s="74"/>
      <c r="AK16" s="72"/>
      <c r="AL16" s="74"/>
      <c r="AM16" s="72"/>
      <c r="AN16" s="74"/>
      <c r="AO16" s="72"/>
      <c r="AP16" s="74"/>
    </row>
    <row r="17" spans="1:42" s="71" customFormat="1" ht="12.75">
      <c r="A17" s="71" t="s">
        <v>188</v>
      </c>
      <c r="B17" s="71">
        <v>13</v>
      </c>
      <c r="C17" s="71" t="s">
        <v>222</v>
      </c>
      <c r="D17" s="76">
        <v>0</v>
      </c>
      <c r="E17" s="72"/>
      <c r="F17" s="73">
        <v>-0.006595501181013114</v>
      </c>
      <c r="G17" s="73">
        <f t="shared" si="0"/>
        <v>-0.006595501181013114</v>
      </c>
      <c r="H17" s="73">
        <f t="shared" si="1"/>
        <v>0</v>
      </c>
      <c r="I17" s="72"/>
      <c r="J17" s="73">
        <v>0.0026233376792698833</v>
      </c>
      <c r="K17" s="73">
        <f t="shared" si="2"/>
        <v>0.0026233376792698833</v>
      </c>
      <c r="L17" s="73">
        <f t="shared" si="3"/>
        <v>0</v>
      </c>
      <c r="M17" s="72"/>
      <c r="N17" s="73">
        <v>-0.0013403463601089176</v>
      </c>
      <c r="O17" s="73">
        <f t="shared" si="4"/>
        <v>-0.0013403463601089176</v>
      </c>
      <c r="P17" s="73">
        <f t="shared" si="5"/>
        <v>0</v>
      </c>
      <c r="Q17" s="72"/>
      <c r="R17" s="73"/>
      <c r="S17" s="72"/>
      <c r="T17" s="73"/>
      <c r="U17" s="72"/>
      <c r="V17" s="73"/>
      <c r="W17" s="72"/>
      <c r="X17" s="73"/>
      <c r="Y17" s="72"/>
      <c r="Z17" s="73"/>
      <c r="AA17" s="72"/>
      <c r="AB17" s="74"/>
      <c r="AC17" s="72"/>
      <c r="AD17" s="74"/>
      <c r="AE17" s="72"/>
      <c r="AF17" s="74"/>
      <c r="AG17" s="72"/>
      <c r="AH17" s="74"/>
      <c r="AI17" s="72"/>
      <c r="AJ17" s="74"/>
      <c r="AK17" s="72"/>
      <c r="AL17" s="74"/>
      <c r="AM17" s="72"/>
      <c r="AN17" s="74"/>
      <c r="AO17" s="72"/>
      <c r="AP17" s="74"/>
    </row>
    <row r="18" spans="1:42" s="71" customFormat="1" ht="12.75">
      <c r="A18" s="71" t="s">
        <v>188</v>
      </c>
      <c r="B18" s="71">
        <v>14</v>
      </c>
      <c r="C18" s="71" t="s">
        <v>223</v>
      </c>
      <c r="D18" s="76">
        <v>0</v>
      </c>
      <c r="E18" s="72"/>
      <c r="F18" s="73">
        <v>0.01585630763380549</v>
      </c>
      <c r="G18" s="73">
        <f t="shared" si="0"/>
        <v>0.01585630763380549</v>
      </c>
      <c r="H18" s="73">
        <f t="shared" si="1"/>
        <v>0</v>
      </c>
      <c r="I18" s="72"/>
      <c r="J18" s="73">
        <v>0.02881069100391134</v>
      </c>
      <c r="K18" s="73">
        <f t="shared" si="2"/>
        <v>0.02881069100391134</v>
      </c>
      <c r="L18" s="73">
        <f t="shared" si="3"/>
        <v>0</v>
      </c>
      <c r="M18" s="72"/>
      <c r="N18" s="73">
        <v>0.023768808785931506</v>
      </c>
      <c r="O18" s="73">
        <f t="shared" si="4"/>
        <v>0.023768808785931506</v>
      </c>
      <c r="P18" s="73">
        <f t="shared" si="5"/>
        <v>0</v>
      </c>
      <c r="Q18" s="72"/>
      <c r="R18" s="73"/>
      <c r="S18" s="72"/>
      <c r="T18" s="73"/>
      <c r="U18" s="72"/>
      <c r="V18" s="73"/>
      <c r="W18" s="72"/>
      <c r="X18" s="73"/>
      <c r="Y18" s="72"/>
      <c r="Z18" s="73"/>
      <c r="AA18" s="72"/>
      <c r="AB18" s="74"/>
      <c r="AC18" s="72"/>
      <c r="AD18" s="74"/>
      <c r="AE18" s="72"/>
      <c r="AF18" s="74"/>
      <c r="AG18" s="72"/>
      <c r="AH18" s="74"/>
      <c r="AI18" s="72"/>
      <c r="AJ18" s="74"/>
      <c r="AK18" s="72"/>
      <c r="AL18" s="74"/>
      <c r="AM18" s="72"/>
      <c r="AN18" s="74"/>
      <c r="AO18" s="72"/>
      <c r="AP18" s="74"/>
    </row>
    <row r="19" spans="1:42" s="71" customFormat="1" ht="12.75">
      <c r="A19" s="71" t="s">
        <v>188</v>
      </c>
      <c r="B19" s="71">
        <v>15</v>
      </c>
      <c r="C19" s="71" t="s">
        <v>224</v>
      </c>
      <c r="D19" s="76">
        <v>0.001</v>
      </c>
      <c r="E19" s="72"/>
      <c r="F19" s="73">
        <v>0.12242334383935297</v>
      </c>
      <c r="G19" s="73">
        <f t="shared" si="0"/>
        <v>0.12242334383935297</v>
      </c>
      <c r="H19" s="73">
        <f t="shared" si="1"/>
        <v>0.00012242334383935296</v>
      </c>
      <c r="I19" s="72"/>
      <c r="J19" s="73">
        <v>0.048784876140808335</v>
      </c>
      <c r="K19" s="73">
        <f t="shared" si="2"/>
        <v>0.048784876140808335</v>
      </c>
      <c r="L19" s="73">
        <f t="shared" si="3"/>
        <v>4.878487614080833E-05</v>
      </c>
      <c r="M19" s="72"/>
      <c r="N19" s="73">
        <v>0.1429702784116181</v>
      </c>
      <c r="O19" s="73">
        <f t="shared" si="4"/>
        <v>0.1429702784116181</v>
      </c>
      <c r="P19" s="73">
        <f t="shared" si="5"/>
        <v>0.0001429702784116181</v>
      </c>
      <c r="Q19" s="72"/>
      <c r="R19" s="73"/>
      <c r="S19" s="72"/>
      <c r="T19" s="73"/>
      <c r="U19" s="72"/>
      <c r="V19" s="73"/>
      <c r="W19" s="72"/>
      <c r="X19" s="73"/>
      <c r="Y19" s="72"/>
      <c r="Z19" s="73"/>
      <c r="AA19" s="72"/>
      <c r="AB19" s="74"/>
      <c r="AC19" s="72"/>
      <c r="AD19" s="74"/>
      <c r="AE19" s="72"/>
      <c r="AF19" s="74"/>
      <c r="AG19" s="72"/>
      <c r="AH19" s="74"/>
      <c r="AI19" s="72"/>
      <c r="AJ19" s="74"/>
      <c r="AK19" s="72"/>
      <c r="AL19" s="74"/>
      <c r="AM19" s="72"/>
      <c r="AN19" s="74"/>
      <c r="AO19" s="72"/>
      <c r="AP19" s="74"/>
    </row>
    <row r="20" spans="1:42" s="71" customFormat="1" ht="12.75">
      <c r="A20" s="71" t="s">
        <v>188</v>
      </c>
      <c r="B20" s="71">
        <v>16</v>
      </c>
      <c r="C20" s="71" t="s">
        <v>225</v>
      </c>
      <c r="D20" s="76">
        <v>0.1</v>
      </c>
      <c r="E20" s="72"/>
      <c r="F20" s="73">
        <v>0.020238250199273108</v>
      </c>
      <c r="G20" s="73">
        <f t="shared" si="0"/>
        <v>0.020238250199273108</v>
      </c>
      <c r="H20" s="73">
        <f t="shared" si="1"/>
        <v>0.002023825019927311</v>
      </c>
      <c r="I20" s="72"/>
      <c r="J20" s="73">
        <v>0.021999217731421116</v>
      </c>
      <c r="K20" s="73">
        <f t="shared" si="2"/>
        <v>0.021999217731421116</v>
      </c>
      <c r="L20" s="73">
        <f t="shared" si="3"/>
        <v>0.0021999217731421116</v>
      </c>
      <c r="M20" s="72"/>
      <c r="N20" s="73">
        <v>0.02220507136580444</v>
      </c>
      <c r="O20" s="73">
        <f t="shared" si="4"/>
        <v>0.02220507136580444</v>
      </c>
      <c r="P20" s="73">
        <f t="shared" si="5"/>
        <v>0.002220507136580444</v>
      </c>
      <c r="Q20" s="72"/>
      <c r="R20" s="73"/>
      <c r="S20" s="72"/>
      <c r="T20" s="73"/>
      <c r="U20" s="72"/>
      <c r="V20" s="73"/>
      <c r="W20" s="72"/>
      <c r="X20" s="73"/>
      <c r="Y20" s="72"/>
      <c r="Z20" s="73"/>
      <c r="AA20" s="72"/>
      <c r="AB20" s="74"/>
      <c r="AC20" s="72"/>
      <c r="AD20" s="74"/>
      <c r="AE20" s="72"/>
      <c r="AF20" s="74"/>
      <c r="AG20" s="72"/>
      <c r="AH20" s="74"/>
      <c r="AI20" s="72"/>
      <c r="AJ20" s="74"/>
      <c r="AK20" s="72"/>
      <c r="AL20" s="74"/>
      <c r="AM20" s="72"/>
      <c r="AN20" s="74"/>
      <c r="AO20" s="72"/>
      <c r="AP20" s="74"/>
    </row>
    <row r="21" spans="1:42" s="71" customFormat="1" ht="12.75">
      <c r="A21" s="71" t="s">
        <v>188</v>
      </c>
      <c r="B21" s="71">
        <v>17</v>
      </c>
      <c r="C21" s="71" t="s">
        <v>226</v>
      </c>
      <c r="D21" s="76">
        <v>0</v>
      </c>
      <c r="E21" s="72"/>
      <c r="F21" s="73">
        <v>1.886132639107256</v>
      </c>
      <c r="G21" s="73">
        <f t="shared" si="0"/>
        <v>1.886132639107256</v>
      </c>
      <c r="H21" s="73">
        <f t="shared" si="1"/>
        <v>0</v>
      </c>
      <c r="I21" s="72"/>
      <c r="J21" s="73">
        <v>1.5980268578878747</v>
      </c>
      <c r="K21" s="73">
        <f t="shared" si="2"/>
        <v>1.5980268578878747</v>
      </c>
      <c r="L21" s="73">
        <f t="shared" si="3"/>
        <v>0</v>
      </c>
      <c r="M21" s="72"/>
      <c r="N21" s="73">
        <v>1.0187972683188</v>
      </c>
      <c r="O21" s="73">
        <f t="shared" si="4"/>
        <v>1.0187972683188</v>
      </c>
      <c r="P21" s="73">
        <f t="shared" si="5"/>
        <v>0</v>
      </c>
      <c r="Q21" s="72"/>
      <c r="R21" s="73"/>
      <c r="S21" s="72"/>
      <c r="T21" s="73"/>
      <c r="U21" s="72"/>
      <c r="V21" s="73"/>
      <c r="W21" s="72"/>
      <c r="X21" s="73"/>
      <c r="Y21" s="72"/>
      <c r="Z21" s="73"/>
      <c r="AA21" s="72"/>
      <c r="AB21" s="74"/>
      <c r="AC21" s="72"/>
      <c r="AD21" s="74"/>
      <c r="AE21" s="72"/>
      <c r="AF21" s="74"/>
      <c r="AG21" s="72"/>
      <c r="AH21" s="74"/>
      <c r="AI21" s="72"/>
      <c r="AJ21" s="74"/>
      <c r="AK21" s="72"/>
      <c r="AL21" s="74"/>
      <c r="AM21" s="72"/>
      <c r="AN21" s="74"/>
      <c r="AO21" s="72"/>
      <c r="AP21" s="74"/>
    </row>
    <row r="22" spans="1:42" s="71" customFormat="1" ht="12.75">
      <c r="A22" s="71" t="s">
        <v>188</v>
      </c>
      <c r="B22" s="71">
        <v>18</v>
      </c>
      <c r="C22" s="71" t="s">
        <v>227</v>
      </c>
      <c r="D22" s="76">
        <v>0</v>
      </c>
      <c r="E22" s="72"/>
      <c r="F22" s="73">
        <v>1.906370889306529</v>
      </c>
      <c r="G22" s="73">
        <f t="shared" si="0"/>
        <v>1.906370889306529</v>
      </c>
      <c r="H22" s="73">
        <f t="shared" si="1"/>
        <v>0</v>
      </c>
      <c r="I22" s="72"/>
      <c r="J22" s="73">
        <v>1.6200260756193</v>
      </c>
      <c r="K22" s="73">
        <f t="shared" si="2"/>
        <v>1.6200260756193</v>
      </c>
      <c r="L22" s="73">
        <f t="shared" si="3"/>
        <v>0</v>
      </c>
      <c r="M22" s="72"/>
      <c r="N22" s="73">
        <v>1.0410023396846</v>
      </c>
      <c r="O22" s="73">
        <f t="shared" si="4"/>
        <v>1.0410023396846</v>
      </c>
      <c r="P22" s="73">
        <f t="shared" si="5"/>
        <v>0</v>
      </c>
      <c r="Q22" s="72"/>
      <c r="R22" s="73"/>
      <c r="S22" s="72"/>
      <c r="T22" s="73"/>
      <c r="U22" s="72"/>
      <c r="V22" s="73"/>
      <c r="W22" s="72"/>
      <c r="X22" s="73"/>
      <c r="Y22" s="72"/>
      <c r="Z22" s="73"/>
      <c r="AA22" s="72"/>
      <c r="AB22" s="74"/>
      <c r="AC22" s="72"/>
      <c r="AD22" s="74"/>
      <c r="AE22" s="72"/>
      <c r="AF22" s="74"/>
      <c r="AG22" s="72"/>
      <c r="AH22" s="74"/>
      <c r="AI22" s="72"/>
      <c r="AJ22" s="74"/>
      <c r="AK22" s="72"/>
      <c r="AL22" s="74"/>
      <c r="AM22" s="72"/>
      <c r="AN22" s="74"/>
      <c r="AO22" s="72"/>
      <c r="AP22" s="74"/>
    </row>
    <row r="23" spans="1:42" s="71" customFormat="1" ht="12.75">
      <c r="A23" s="71" t="s">
        <v>188</v>
      </c>
      <c r="B23" s="71">
        <v>19</v>
      </c>
      <c r="C23" s="71" t="s">
        <v>228</v>
      </c>
      <c r="D23" s="76">
        <v>0.05</v>
      </c>
      <c r="E23" s="72"/>
      <c r="F23" s="73">
        <v>0.03763049646427344</v>
      </c>
      <c r="G23" s="73">
        <f t="shared" si="0"/>
        <v>0.03763049646427344</v>
      </c>
      <c r="H23" s="73">
        <f t="shared" si="1"/>
        <v>0.001881524823213672</v>
      </c>
      <c r="I23" s="72"/>
      <c r="J23" s="73">
        <v>0.0429398956975228</v>
      </c>
      <c r="K23" s="73">
        <f t="shared" si="2"/>
        <v>0.0429398956975228</v>
      </c>
      <c r="L23" s="73">
        <f t="shared" si="3"/>
        <v>0.0021469947848761404</v>
      </c>
      <c r="M23" s="72"/>
      <c r="N23" s="73">
        <v>0.04467821200363066</v>
      </c>
      <c r="O23" s="73">
        <f t="shared" si="4"/>
        <v>0.04467821200363066</v>
      </c>
      <c r="P23" s="73">
        <f t="shared" si="5"/>
        <v>0.002233910600181533</v>
      </c>
      <c r="Q23" s="72"/>
      <c r="R23" s="73"/>
      <c r="S23" s="72"/>
      <c r="T23" s="73"/>
      <c r="U23" s="72"/>
      <c r="V23" s="73"/>
      <c r="W23" s="72"/>
      <c r="X23" s="73"/>
      <c r="Y23" s="72"/>
      <c r="Z23" s="73"/>
      <c r="AA23" s="72"/>
      <c r="AB23" s="74"/>
      <c r="AC23" s="72"/>
      <c r="AD23" s="74"/>
      <c r="AE23" s="72"/>
      <c r="AF23" s="74"/>
      <c r="AG23" s="72"/>
      <c r="AH23" s="74"/>
      <c r="AI23" s="72"/>
      <c r="AJ23" s="74"/>
      <c r="AK23" s="72"/>
      <c r="AL23" s="74"/>
      <c r="AM23" s="72"/>
      <c r="AN23" s="74"/>
      <c r="AO23" s="72"/>
      <c r="AP23" s="74"/>
    </row>
    <row r="24" spans="1:42" s="71" customFormat="1" ht="12.75">
      <c r="A24" s="71" t="s">
        <v>188</v>
      </c>
      <c r="B24" s="71">
        <v>20</v>
      </c>
      <c r="C24" s="71" t="s">
        <v>229</v>
      </c>
      <c r="D24" s="76">
        <v>0.5</v>
      </c>
      <c r="E24" s="72"/>
      <c r="F24" s="73">
        <v>0.013145827696402846</v>
      </c>
      <c r="G24" s="73">
        <f t="shared" si="0"/>
        <v>0.013145827696402846</v>
      </c>
      <c r="H24" s="73">
        <f t="shared" si="1"/>
        <v>0.006572913848201423</v>
      </c>
      <c r="I24" s="72"/>
      <c r="J24" s="73">
        <v>0.025220860495436762</v>
      </c>
      <c r="K24" s="73">
        <f t="shared" si="2"/>
        <v>0.025220860495436762</v>
      </c>
      <c r="L24" s="73">
        <f t="shared" si="3"/>
        <v>0.012610430247718381</v>
      </c>
      <c r="M24" s="72">
        <v>1</v>
      </c>
      <c r="N24" s="73">
        <v>0.014176396668752</v>
      </c>
      <c r="O24" s="73">
        <f t="shared" si="4"/>
        <v>0.007088198334376</v>
      </c>
      <c r="P24" s="73">
        <f t="shared" si="5"/>
        <v>0.003544099167188</v>
      </c>
      <c r="Q24" s="72"/>
      <c r="R24" s="73"/>
      <c r="S24" s="72"/>
      <c r="T24" s="73"/>
      <c r="U24" s="72"/>
      <c r="V24" s="73"/>
      <c r="W24" s="72"/>
      <c r="X24" s="73"/>
      <c r="Y24" s="72"/>
      <c r="Z24" s="73"/>
      <c r="AA24" s="72"/>
      <c r="AB24" s="74"/>
      <c r="AC24" s="72"/>
      <c r="AD24" s="74"/>
      <c r="AE24" s="72"/>
      <c r="AF24" s="74"/>
      <c r="AG24" s="72"/>
      <c r="AH24" s="74"/>
      <c r="AI24" s="72"/>
      <c r="AJ24" s="74"/>
      <c r="AK24" s="72"/>
      <c r="AL24" s="74"/>
      <c r="AM24" s="72"/>
      <c r="AN24" s="74"/>
      <c r="AO24" s="72"/>
      <c r="AP24" s="74"/>
    </row>
    <row r="25" spans="1:42" s="71" customFormat="1" ht="12.75">
      <c r="A25" s="71" t="s">
        <v>188</v>
      </c>
      <c r="B25" s="71">
        <v>21</v>
      </c>
      <c r="C25" s="71" t="s">
        <v>230</v>
      </c>
      <c r="D25" s="76">
        <v>0</v>
      </c>
      <c r="E25" s="72"/>
      <c r="F25" s="73">
        <v>0.5726340614419329</v>
      </c>
      <c r="G25" s="73">
        <f t="shared" si="0"/>
        <v>0.5726340614419329</v>
      </c>
      <c r="H25" s="73">
        <f t="shared" si="1"/>
        <v>0</v>
      </c>
      <c r="I25" s="72"/>
      <c r="J25" s="73">
        <v>0.41508565840938716</v>
      </c>
      <c r="K25" s="73">
        <f t="shared" si="2"/>
        <v>0.41508565840938716</v>
      </c>
      <c r="L25" s="73">
        <f t="shared" si="3"/>
        <v>0</v>
      </c>
      <c r="M25" s="72"/>
      <c r="N25" s="73">
        <v>0.3213569754785143</v>
      </c>
      <c r="O25" s="73">
        <f t="shared" si="4"/>
        <v>0.3213569754785143</v>
      </c>
      <c r="P25" s="73">
        <f t="shared" si="5"/>
        <v>0</v>
      </c>
      <c r="Q25" s="72"/>
      <c r="R25" s="73"/>
      <c r="S25" s="72"/>
      <c r="T25" s="73"/>
      <c r="U25" s="72"/>
      <c r="V25" s="73"/>
      <c r="W25" s="72"/>
      <c r="X25" s="73"/>
      <c r="Y25" s="72"/>
      <c r="Z25" s="73"/>
      <c r="AA25" s="72"/>
      <c r="AB25" s="74"/>
      <c r="AC25" s="72"/>
      <c r="AD25" s="74"/>
      <c r="AE25" s="72"/>
      <c r="AF25" s="74"/>
      <c r="AG25" s="72"/>
      <c r="AH25" s="74"/>
      <c r="AI25" s="72"/>
      <c r="AJ25" s="74"/>
      <c r="AK25" s="72"/>
      <c r="AL25" s="74"/>
      <c r="AM25" s="72"/>
      <c r="AN25" s="74"/>
      <c r="AO25" s="72"/>
      <c r="AP25" s="74"/>
    </row>
    <row r="26" spans="1:42" s="71" customFormat="1" ht="12.75">
      <c r="A26" s="71" t="s">
        <v>188</v>
      </c>
      <c r="B26" s="71">
        <v>22</v>
      </c>
      <c r="C26" s="71" t="s">
        <v>231</v>
      </c>
      <c r="D26" s="76">
        <v>0</v>
      </c>
      <c r="E26" s="72"/>
      <c r="F26" s="73">
        <v>0.62341038560261</v>
      </c>
      <c r="G26" s="73">
        <f t="shared" si="0"/>
        <v>0.62341038560261</v>
      </c>
      <c r="H26" s="73">
        <f t="shared" si="1"/>
        <v>0</v>
      </c>
      <c r="I26" s="72"/>
      <c r="J26" s="73">
        <v>0.48324641460234674</v>
      </c>
      <c r="K26" s="73">
        <f t="shared" si="2"/>
        <v>0.48324641460234674</v>
      </c>
      <c r="L26" s="73">
        <f t="shared" si="3"/>
        <v>0</v>
      </c>
      <c r="M26" s="72"/>
      <c r="N26" s="73">
        <v>0.38021158415089695</v>
      </c>
      <c r="O26" s="73">
        <f t="shared" si="4"/>
        <v>0.38021158415089695</v>
      </c>
      <c r="P26" s="73">
        <f t="shared" si="5"/>
        <v>0</v>
      </c>
      <c r="Q26" s="72"/>
      <c r="R26" s="73"/>
      <c r="S26" s="72"/>
      <c r="T26" s="73"/>
      <c r="U26" s="72"/>
      <c r="V26" s="73"/>
      <c r="W26" s="72"/>
      <c r="X26" s="73"/>
      <c r="Y26" s="72"/>
      <c r="Z26" s="73"/>
      <c r="AA26" s="72"/>
      <c r="AB26" s="74"/>
      <c r="AC26" s="72"/>
      <c r="AD26" s="74"/>
      <c r="AE26" s="72"/>
      <c r="AF26" s="74"/>
      <c r="AG26" s="72"/>
      <c r="AH26" s="74"/>
      <c r="AI26" s="72"/>
      <c r="AJ26" s="74"/>
      <c r="AK26" s="72"/>
      <c r="AL26" s="74"/>
      <c r="AM26" s="72"/>
      <c r="AN26" s="74"/>
      <c r="AO26" s="72"/>
      <c r="AP26" s="74"/>
    </row>
    <row r="27" spans="1:42" s="71" customFormat="1" ht="12.75">
      <c r="A27" s="71" t="s">
        <v>188</v>
      </c>
      <c r="B27" s="71">
        <v>23</v>
      </c>
      <c r="C27" s="71" t="s">
        <v>232</v>
      </c>
      <c r="D27" s="76">
        <v>0.1</v>
      </c>
      <c r="E27" s="72"/>
      <c r="F27" s="73">
        <v>0.04142516837663714</v>
      </c>
      <c r="G27" s="73">
        <f t="shared" si="0"/>
        <v>0.04142516837663714</v>
      </c>
      <c r="H27" s="73">
        <f t="shared" si="1"/>
        <v>0.004142516837663714</v>
      </c>
      <c r="I27" s="72"/>
      <c r="J27" s="73">
        <v>0.04441264667535854</v>
      </c>
      <c r="K27" s="73">
        <f t="shared" si="2"/>
        <v>0.04441264667535854</v>
      </c>
      <c r="L27" s="73">
        <f t="shared" si="3"/>
        <v>0.004441264667535854</v>
      </c>
      <c r="M27" s="72"/>
      <c r="N27" s="73">
        <v>0.05361385440435679</v>
      </c>
      <c r="O27" s="73">
        <f t="shared" si="4"/>
        <v>0.05361385440435679</v>
      </c>
      <c r="P27" s="73">
        <f t="shared" si="5"/>
        <v>0.005361385440435679</v>
      </c>
      <c r="Q27" s="72"/>
      <c r="R27" s="73"/>
      <c r="S27" s="72"/>
      <c r="T27" s="73"/>
      <c r="U27" s="72"/>
      <c r="V27" s="73"/>
      <c r="W27" s="72"/>
      <c r="X27" s="73"/>
      <c r="Y27" s="72"/>
      <c r="Z27" s="73"/>
      <c r="AA27" s="72"/>
      <c r="AB27" s="74"/>
      <c r="AC27" s="72"/>
      <c r="AD27" s="74"/>
      <c r="AE27" s="72"/>
      <c r="AF27" s="74"/>
      <c r="AG27" s="72"/>
      <c r="AH27" s="74"/>
      <c r="AI27" s="72"/>
      <c r="AJ27" s="74"/>
      <c r="AK27" s="72"/>
      <c r="AL27" s="74"/>
      <c r="AM27" s="72"/>
      <c r="AN27" s="74"/>
      <c r="AO27" s="72"/>
      <c r="AP27" s="74"/>
    </row>
    <row r="28" spans="1:42" s="71" customFormat="1" ht="12.75">
      <c r="A28" s="71" t="s">
        <v>188</v>
      </c>
      <c r="B28" s="71">
        <v>24</v>
      </c>
      <c r="C28" s="71" t="s">
        <v>233</v>
      </c>
      <c r="D28" s="76">
        <v>0.1</v>
      </c>
      <c r="E28" s="72"/>
      <c r="F28" s="73">
        <v>0.02407809677726019</v>
      </c>
      <c r="G28" s="73">
        <f t="shared" si="0"/>
        <v>0.02407809677726019</v>
      </c>
      <c r="H28" s="73">
        <f t="shared" si="1"/>
        <v>0.0024078096777260193</v>
      </c>
      <c r="I28" s="72"/>
      <c r="J28" s="73">
        <v>0.030743676662320727</v>
      </c>
      <c r="K28" s="73">
        <f t="shared" si="2"/>
        <v>0.030743676662320727</v>
      </c>
      <c r="L28" s="73">
        <f t="shared" si="3"/>
        <v>0.0030743676662320727</v>
      </c>
      <c r="M28" s="72"/>
      <c r="N28" s="73">
        <v>0.037753089143068</v>
      </c>
      <c r="O28" s="73">
        <f t="shared" si="4"/>
        <v>0.037753089143068</v>
      </c>
      <c r="P28" s="73">
        <f t="shared" si="5"/>
        <v>0.0037753089143068</v>
      </c>
      <c r="Q28" s="72"/>
      <c r="R28" s="73"/>
      <c r="S28" s="72"/>
      <c r="T28" s="73"/>
      <c r="U28" s="72"/>
      <c r="V28" s="73"/>
      <c r="W28" s="72"/>
      <c r="X28" s="73"/>
      <c r="Y28" s="72"/>
      <c r="Z28" s="73"/>
      <c r="AA28" s="72"/>
      <c r="AB28" s="74"/>
      <c r="AC28" s="72"/>
      <c r="AD28" s="74"/>
      <c r="AE28" s="72"/>
      <c r="AF28" s="74"/>
      <c r="AG28" s="72"/>
      <c r="AH28" s="74"/>
      <c r="AI28" s="72"/>
      <c r="AJ28" s="74"/>
      <c r="AK28" s="72"/>
      <c r="AL28" s="74"/>
      <c r="AM28" s="72"/>
      <c r="AN28" s="74"/>
      <c r="AO28" s="72"/>
      <c r="AP28" s="74"/>
    </row>
    <row r="29" spans="1:42" s="71" customFormat="1" ht="12.75">
      <c r="A29" s="71" t="s">
        <v>188</v>
      </c>
      <c r="B29" s="71">
        <v>25</v>
      </c>
      <c r="C29" s="71" t="s">
        <v>234</v>
      </c>
      <c r="D29" s="76">
        <v>0.1</v>
      </c>
      <c r="E29" s="72">
        <v>1</v>
      </c>
      <c r="F29" s="73">
        <v>0.004061202439541635</v>
      </c>
      <c r="G29" s="73">
        <f t="shared" si="0"/>
        <v>0.0020306012197708174</v>
      </c>
      <c r="H29" s="73">
        <f t="shared" si="1"/>
        <v>0.00020306012197708175</v>
      </c>
      <c r="I29" s="72">
        <v>1</v>
      </c>
      <c r="J29" s="73">
        <v>0.0030881747066492824</v>
      </c>
      <c r="K29" s="73">
        <f t="shared" si="2"/>
        <v>0.0015440873533246412</v>
      </c>
      <c r="L29" s="73">
        <f t="shared" si="3"/>
        <v>0.00015440873533246414</v>
      </c>
      <c r="M29" s="72"/>
      <c r="N29" s="73">
        <v>0.00473589047238485</v>
      </c>
      <c r="O29" s="73">
        <f t="shared" si="4"/>
        <v>0.00473589047238485</v>
      </c>
      <c r="P29" s="73">
        <f t="shared" si="5"/>
        <v>0.00047358904723848505</v>
      </c>
      <c r="Q29" s="72"/>
      <c r="R29" s="73"/>
      <c r="S29" s="72"/>
      <c r="T29" s="73"/>
      <c r="U29" s="72"/>
      <c r="V29" s="73"/>
      <c r="W29" s="72"/>
      <c r="X29" s="73"/>
      <c r="Y29" s="72"/>
      <c r="Z29" s="73"/>
      <c r="AA29" s="72"/>
      <c r="AB29" s="74"/>
      <c r="AC29" s="72"/>
      <c r="AD29" s="74"/>
      <c r="AE29" s="72"/>
      <c r="AF29" s="74"/>
      <c r="AG29" s="72"/>
      <c r="AH29" s="74"/>
      <c r="AI29" s="72"/>
      <c r="AJ29" s="74"/>
      <c r="AK29" s="72"/>
      <c r="AL29" s="74"/>
      <c r="AM29" s="72"/>
      <c r="AN29" s="74"/>
      <c r="AO29" s="72"/>
      <c r="AP29" s="74"/>
    </row>
    <row r="30" spans="1:42" s="71" customFormat="1" ht="12.75">
      <c r="A30" s="71" t="s">
        <v>188</v>
      </c>
      <c r="B30" s="71">
        <v>26</v>
      </c>
      <c r="C30" s="71" t="s">
        <v>235</v>
      </c>
      <c r="D30" s="76">
        <v>0.1</v>
      </c>
      <c r="E30" s="72"/>
      <c r="F30" s="73">
        <v>0.007453819827857282</v>
      </c>
      <c r="G30" s="73">
        <f t="shared" si="0"/>
        <v>0.007453819827857282</v>
      </c>
      <c r="H30" s="73">
        <f t="shared" si="1"/>
        <v>0.0007453819827857283</v>
      </c>
      <c r="I30" s="72"/>
      <c r="J30" s="73">
        <v>0.01831734028683181</v>
      </c>
      <c r="K30" s="73">
        <f t="shared" si="2"/>
        <v>0.01831734028683181</v>
      </c>
      <c r="L30" s="73">
        <f t="shared" si="3"/>
        <v>0.001831734028683181</v>
      </c>
      <c r="M30" s="72"/>
      <c r="N30" s="73">
        <v>0.010320666972838682</v>
      </c>
      <c r="O30" s="73">
        <f t="shared" si="4"/>
        <v>0.010320666972838682</v>
      </c>
      <c r="P30" s="73">
        <f t="shared" si="5"/>
        <v>0.0010320666972838683</v>
      </c>
      <c r="Q30" s="72"/>
      <c r="R30" s="73"/>
      <c r="S30" s="72"/>
      <c r="T30" s="73"/>
      <c r="U30" s="72"/>
      <c r="V30" s="73"/>
      <c r="W30" s="72"/>
      <c r="X30" s="73"/>
      <c r="Y30" s="72"/>
      <c r="Z30" s="73"/>
      <c r="AA30" s="72"/>
      <c r="AB30" s="74"/>
      <c r="AC30" s="72"/>
      <c r="AD30" s="74"/>
      <c r="AE30" s="72"/>
      <c r="AF30" s="74"/>
      <c r="AG30" s="72"/>
      <c r="AH30" s="74"/>
      <c r="AI30" s="72"/>
      <c r="AJ30" s="74"/>
      <c r="AK30" s="72"/>
      <c r="AL30" s="74"/>
      <c r="AM30" s="72"/>
      <c r="AN30" s="74"/>
      <c r="AO30" s="72"/>
      <c r="AP30" s="74"/>
    </row>
    <row r="31" spans="1:42" s="71" customFormat="1" ht="12.75">
      <c r="A31" s="71" t="s">
        <v>188</v>
      </c>
      <c r="B31" s="71">
        <v>27</v>
      </c>
      <c r="C31" s="71" t="s">
        <v>236</v>
      </c>
      <c r="D31" s="76">
        <v>0</v>
      </c>
      <c r="E31" s="72"/>
      <c r="F31" s="73">
        <v>0.1447893207894871</v>
      </c>
      <c r="G31" s="73">
        <f t="shared" si="0"/>
        <v>0.1447893207894871</v>
      </c>
      <c r="H31" s="73">
        <f t="shared" si="1"/>
        <v>0</v>
      </c>
      <c r="I31" s="72"/>
      <c r="J31" s="73">
        <v>0.1906246023468057</v>
      </c>
      <c r="K31" s="73">
        <f t="shared" si="2"/>
        <v>0.1906246023468057</v>
      </c>
      <c r="L31" s="73">
        <f t="shared" si="3"/>
        <v>0</v>
      </c>
      <c r="M31" s="72"/>
      <c r="N31" s="73">
        <v>0.1638796816293172</v>
      </c>
      <c r="O31" s="73">
        <f t="shared" si="4"/>
        <v>0.1638796816293172</v>
      </c>
      <c r="P31" s="73">
        <f t="shared" si="5"/>
        <v>0</v>
      </c>
      <c r="Q31" s="72"/>
      <c r="R31" s="73"/>
      <c r="S31" s="72"/>
      <c r="T31" s="73"/>
      <c r="U31" s="72"/>
      <c r="V31" s="73"/>
      <c r="W31" s="72"/>
      <c r="X31" s="73"/>
      <c r="Y31" s="72"/>
      <c r="Z31" s="73"/>
      <c r="AA31" s="72"/>
      <c r="AB31" s="74"/>
      <c r="AC31" s="72"/>
      <c r="AD31" s="74"/>
      <c r="AE31" s="72"/>
      <c r="AF31" s="74"/>
      <c r="AG31" s="72"/>
      <c r="AH31" s="74"/>
      <c r="AI31" s="72"/>
      <c r="AJ31" s="74"/>
      <c r="AK31" s="72"/>
      <c r="AL31" s="74"/>
      <c r="AM31" s="72"/>
      <c r="AN31" s="74"/>
      <c r="AO31" s="72"/>
      <c r="AP31" s="74"/>
    </row>
    <row r="32" spans="1:42" s="71" customFormat="1" ht="12.75">
      <c r="A32" s="71" t="s">
        <v>188</v>
      </c>
      <c r="B32" s="71">
        <v>28</v>
      </c>
      <c r="C32" s="71" t="s">
        <v>237</v>
      </c>
      <c r="D32" s="76">
        <v>0</v>
      </c>
      <c r="E32" s="72"/>
      <c r="F32" s="73">
        <v>0.22180760821078338</v>
      </c>
      <c r="G32" s="73">
        <f t="shared" si="0"/>
        <v>0.22180760821078338</v>
      </c>
      <c r="H32" s="73">
        <f t="shared" si="1"/>
        <v>0</v>
      </c>
      <c r="I32" s="72"/>
      <c r="J32" s="73">
        <v>0.28718644067796606</v>
      </c>
      <c r="K32" s="73">
        <f t="shared" si="2"/>
        <v>0.28718644067796606</v>
      </c>
      <c r="L32" s="73">
        <f t="shared" si="3"/>
        <v>0</v>
      </c>
      <c r="M32" s="72"/>
      <c r="N32" s="73">
        <v>0.27030318262196545</v>
      </c>
      <c r="O32" s="73">
        <f t="shared" si="4"/>
        <v>0.27030318262196545</v>
      </c>
      <c r="P32" s="73">
        <f t="shared" si="5"/>
        <v>0</v>
      </c>
      <c r="Q32" s="72"/>
      <c r="R32" s="73"/>
      <c r="S32" s="72"/>
      <c r="T32" s="73"/>
      <c r="U32" s="72"/>
      <c r="V32" s="73"/>
      <c r="W32" s="72"/>
      <c r="X32" s="73"/>
      <c r="Y32" s="72"/>
      <c r="Z32" s="73"/>
      <c r="AA32" s="72"/>
      <c r="AB32" s="74"/>
      <c r="AC32" s="72"/>
      <c r="AD32" s="74"/>
      <c r="AE32" s="72"/>
      <c r="AF32" s="74"/>
      <c r="AG32" s="72"/>
      <c r="AH32" s="74"/>
      <c r="AI32" s="72"/>
      <c r="AJ32" s="74"/>
      <c r="AK32" s="72"/>
      <c r="AL32" s="74"/>
      <c r="AM32" s="72"/>
      <c r="AN32" s="74"/>
      <c r="AO32" s="72"/>
      <c r="AP32" s="74"/>
    </row>
    <row r="33" spans="1:42" s="71" customFormat="1" ht="12.75">
      <c r="A33" s="71" t="s">
        <v>188</v>
      </c>
      <c r="B33" s="71">
        <v>29</v>
      </c>
      <c r="C33" s="71" t="s">
        <v>238</v>
      </c>
      <c r="D33" s="76">
        <v>0.01</v>
      </c>
      <c r="E33" s="72"/>
      <c r="F33" s="73">
        <v>0.08176614477831323</v>
      </c>
      <c r="G33" s="73">
        <f t="shared" si="0"/>
        <v>0.08176614477831323</v>
      </c>
      <c r="H33" s="73">
        <f t="shared" si="1"/>
        <v>0.0008176614477831323</v>
      </c>
      <c r="I33" s="72"/>
      <c r="J33" s="73">
        <v>0.09204693611473272</v>
      </c>
      <c r="K33" s="73">
        <f t="shared" si="2"/>
        <v>0.09204693611473272</v>
      </c>
      <c r="L33" s="73">
        <f t="shared" si="3"/>
        <v>0.0009204693611473273</v>
      </c>
      <c r="M33" s="72"/>
      <c r="N33" s="73">
        <v>0.1402895856914</v>
      </c>
      <c r="O33" s="73">
        <f t="shared" si="4"/>
        <v>0.1402895856914</v>
      </c>
      <c r="P33" s="73">
        <f t="shared" si="5"/>
        <v>0.001402895856914</v>
      </c>
      <c r="Q33" s="72"/>
      <c r="R33" s="73"/>
      <c r="S33" s="72"/>
      <c r="T33" s="73"/>
      <c r="U33" s="72"/>
      <c r="V33" s="73"/>
      <c r="W33" s="72"/>
      <c r="X33" s="73"/>
      <c r="Y33" s="72"/>
      <c r="Z33" s="73"/>
      <c r="AA33" s="72"/>
      <c r="AB33" s="74"/>
      <c r="AC33" s="72"/>
      <c r="AD33" s="74"/>
      <c r="AE33" s="72"/>
      <c r="AF33" s="74"/>
      <c r="AG33" s="72"/>
      <c r="AH33" s="74"/>
      <c r="AI33" s="72"/>
      <c r="AJ33" s="74"/>
      <c r="AK33" s="72"/>
      <c r="AL33" s="74"/>
      <c r="AM33" s="72"/>
      <c r="AN33" s="74"/>
      <c r="AO33" s="72"/>
      <c r="AP33" s="74"/>
    </row>
    <row r="34" spans="1:42" s="71" customFormat="1" ht="12.75">
      <c r="A34" s="71" t="s">
        <v>188</v>
      </c>
      <c r="B34" s="71">
        <v>30</v>
      </c>
      <c r="C34" s="71" t="s">
        <v>239</v>
      </c>
      <c r="D34" s="76">
        <v>0.01</v>
      </c>
      <c r="E34" s="72">
        <v>1</v>
      </c>
      <c r="F34" s="73">
        <v>0.00948667978090927</v>
      </c>
      <c r="G34" s="73">
        <f t="shared" si="0"/>
        <v>0.004743339890454635</v>
      </c>
      <c r="H34" s="73">
        <f t="shared" si="1"/>
        <v>4.743339890454635E-05</v>
      </c>
      <c r="I34" s="72"/>
      <c r="J34" s="73">
        <v>0.011321773142112124</v>
      </c>
      <c r="K34" s="73">
        <f t="shared" si="2"/>
        <v>0.011321773142112124</v>
      </c>
      <c r="L34" s="73">
        <f t="shared" si="3"/>
        <v>0.00011321773142112124</v>
      </c>
      <c r="M34" s="72"/>
      <c r="N34" s="73">
        <v>0.015458661353256208</v>
      </c>
      <c r="O34" s="73">
        <f t="shared" si="4"/>
        <v>0.015458661353256208</v>
      </c>
      <c r="P34" s="73">
        <f t="shared" si="5"/>
        <v>0.0001545866135325621</v>
      </c>
      <c r="Q34" s="72"/>
      <c r="R34" s="73"/>
      <c r="S34" s="72"/>
      <c r="T34" s="73"/>
      <c r="U34" s="72"/>
      <c r="V34" s="73"/>
      <c r="W34" s="72"/>
      <c r="X34" s="73"/>
      <c r="Y34" s="72"/>
      <c r="Z34" s="73"/>
      <c r="AA34" s="72"/>
      <c r="AB34" s="74"/>
      <c r="AC34" s="72"/>
      <c r="AD34" s="74"/>
      <c r="AE34" s="72"/>
      <c r="AF34" s="74"/>
      <c r="AG34" s="72"/>
      <c r="AH34" s="74"/>
      <c r="AI34" s="72"/>
      <c r="AJ34" s="74"/>
      <c r="AK34" s="72"/>
      <c r="AL34" s="74"/>
      <c r="AM34" s="72"/>
      <c r="AN34" s="74"/>
      <c r="AO34" s="72"/>
      <c r="AP34" s="74"/>
    </row>
    <row r="35" spans="1:42" s="71" customFormat="1" ht="12.75">
      <c r="A35" s="71" t="s">
        <v>188</v>
      </c>
      <c r="B35" s="71">
        <v>31</v>
      </c>
      <c r="C35" s="71" t="s">
        <v>240</v>
      </c>
      <c r="D35" s="76">
        <v>0</v>
      </c>
      <c r="E35" s="72"/>
      <c r="F35" s="73">
        <v>0.0234908261241563</v>
      </c>
      <c r="G35" s="73">
        <f t="shared" si="0"/>
        <v>0.0234908261241563</v>
      </c>
      <c r="H35" s="73">
        <f t="shared" si="1"/>
        <v>0</v>
      </c>
      <c r="I35" s="72"/>
      <c r="J35" s="73">
        <v>0.04850873533246414</v>
      </c>
      <c r="K35" s="73">
        <f t="shared" si="2"/>
        <v>0.04850873533246414</v>
      </c>
      <c r="L35" s="73">
        <f t="shared" si="3"/>
        <v>0</v>
      </c>
      <c r="M35" s="72"/>
      <c r="N35" s="73">
        <v>0.0703235056937147</v>
      </c>
      <c r="O35" s="73">
        <f t="shared" si="4"/>
        <v>0.0703235056937147</v>
      </c>
      <c r="P35" s="73">
        <f t="shared" si="5"/>
        <v>0</v>
      </c>
      <c r="Q35" s="72"/>
      <c r="R35" s="73"/>
      <c r="S35" s="72"/>
      <c r="T35" s="73"/>
      <c r="U35" s="72"/>
      <c r="V35" s="73"/>
      <c r="W35" s="72"/>
      <c r="X35" s="73"/>
      <c r="Y35" s="72"/>
      <c r="Z35" s="73"/>
      <c r="AA35" s="72"/>
      <c r="AB35" s="74"/>
      <c r="AC35" s="72"/>
      <c r="AD35" s="74"/>
      <c r="AE35" s="72"/>
      <c r="AF35" s="74"/>
      <c r="AG35" s="72"/>
      <c r="AH35" s="74"/>
      <c r="AI35" s="72"/>
      <c r="AJ35" s="74"/>
      <c r="AK35" s="72"/>
      <c r="AL35" s="74"/>
      <c r="AM35" s="72"/>
      <c r="AN35" s="74"/>
      <c r="AO35" s="72"/>
      <c r="AP35" s="74"/>
    </row>
    <row r="36" spans="1:42" s="71" customFormat="1" ht="12.75">
      <c r="A36" s="71" t="s">
        <v>188</v>
      </c>
      <c r="B36" s="71">
        <v>32</v>
      </c>
      <c r="C36" s="71" t="s">
        <v>241</v>
      </c>
      <c r="D36" s="76">
        <v>0</v>
      </c>
      <c r="E36" s="72"/>
      <c r="F36" s="73">
        <v>0.1147436506833788</v>
      </c>
      <c r="G36" s="73">
        <f t="shared" si="0"/>
        <v>0.1147436506833788</v>
      </c>
      <c r="H36" s="73">
        <f t="shared" si="1"/>
        <v>0</v>
      </c>
      <c r="I36" s="72"/>
      <c r="J36" s="73">
        <v>0.151877444589309</v>
      </c>
      <c r="K36" s="73">
        <f t="shared" si="2"/>
        <v>0.151877444589309</v>
      </c>
      <c r="L36" s="73">
        <f t="shared" si="3"/>
        <v>0</v>
      </c>
      <c r="M36" s="72"/>
      <c r="N36" s="73">
        <v>0.22607175273837118</v>
      </c>
      <c r="O36" s="73">
        <f t="shared" si="4"/>
        <v>0.22607175273837118</v>
      </c>
      <c r="P36" s="73">
        <f t="shared" si="5"/>
        <v>0</v>
      </c>
      <c r="Q36" s="72"/>
      <c r="R36" s="73"/>
      <c r="S36" s="72"/>
      <c r="T36" s="73"/>
      <c r="U36" s="72"/>
      <c r="V36" s="73"/>
      <c r="W36" s="72"/>
      <c r="X36" s="73"/>
      <c r="Y36" s="72"/>
      <c r="Z36" s="73"/>
      <c r="AA36" s="72"/>
      <c r="AB36" s="74"/>
      <c r="AC36" s="72"/>
      <c r="AD36" s="74"/>
      <c r="AE36" s="72"/>
      <c r="AF36" s="74"/>
      <c r="AG36" s="72"/>
      <c r="AH36" s="74"/>
      <c r="AI36" s="72"/>
      <c r="AJ36" s="74"/>
      <c r="AK36" s="72"/>
      <c r="AL36" s="74"/>
      <c r="AM36" s="72"/>
      <c r="AN36" s="74"/>
      <c r="AO36" s="72"/>
      <c r="AP36" s="74"/>
    </row>
    <row r="37" spans="1:42" s="71" customFormat="1" ht="12.75">
      <c r="A37" s="71" t="s">
        <v>188</v>
      </c>
      <c r="B37" s="71">
        <v>33</v>
      </c>
      <c r="C37" s="71" t="s">
        <v>242</v>
      </c>
      <c r="D37" s="76">
        <v>0.001</v>
      </c>
      <c r="E37" s="72"/>
      <c r="F37" s="73">
        <v>0.045626412279611256</v>
      </c>
      <c r="G37" s="73">
        <f t="shared" si="0"/>
        <v>0.045626412279611256</v>
      </c>
      <c r="H37" s="73">
        <f t="shared" si="1"/>
        <v>4.5626412279611255E-05</v>
      </c>
      <c r="I37" s="72"/>
      <c r="J37" s="73">
        <v>0.039948370273794</v>
      </c>
      <c r="K37" s="73">
        <f t="shared" si="2"/>
        <v>0.039948370273794</v>
      </c>
      <c r="L37" s="73">
        <f t="shared" si="3"/>
        <v>3.9948370273794E-05</v>
      </c>
      <c r="M37" s="72"/>
      <c r="N37" s="73">
        <v>0.084441820686862</v>
      </c>
      <c r="O37" s="73">
        <f t="shared" si="4"/>
        <v>0.084441820686862</v>
      </c>
      <c r="P37" s="73">
        <f t="shared" si="5"/>
        <v>8.4441820686862E-05</v>
      </c>
      <c r="Q37" s="72"/>
      <c r="R37" s="73"/>
      <c r="S37" s="72"/>
      <c r="T37" s="73"/>
      <c r="U37" s="72"/>
      <c r="V37" s="73"/>
      <c r="W37" s="72"/>
      <c r="X37" s="73"/>
      <c r="Y37" s="72"/>
      <c r="Z37" s="73"/>
      <c r="AA37" s="72"/>
      <c r="AB37" s="74"/>
      <c r="AC37" s="72"/>
      <c r="AD37" s="74"/>
      <c r="AE37" s="72"/>
      <c r="AF37" s="74"/>
      <c r="AG37" s="72"/>
      <c r="AH37" s="74"/>
      <c r="AI37" s="72"/>
      <c r="AJ37" s="74"/>
      <c r="AK37" s="72"/>
      <c r="AL37" s="74"/>
      <c r="AM37" s="72"/>
      <c r="AN37" s="74"/>
      <c r="AO37" s="72"/>
      <c r="AP37" s="74"/>
    </row>
    <row r="38" spans="1:42" s="71" customFormat="1" ht="12.75">
      <c r="A38" s="71" t="s">
        <v>188</v>
      </c>
      <c r="B38" s="71">
        <v>34</v>
      </c>
      <c r="C38" s="71" t="s">
        <v>243</v>
      </c>
      <c r="D38" s="76"/>
      <c r="E38" s="72"/>
      <c r="F38" s="73">
        <v>3.2581775834204767</v>
      </c>
      <c r="G38" s="73">
        <f>SUM(G37,G36,G32,G26,G22,G19,G18,G15,G10,G7)</f>
        <v>3.258177583420478</v>
      </c>
      <c r="H38" s="73"/>
      <c r="I38" s="72"/>
      <c r="J38" s="73">
        <v>2.9254817470665</v>
      </c>
      <c r="K38" s="73">
        <f>SUM(K37,K36,K32,K26,K22,K19,K18,K15,K10,K7)</f>
        <v>2.9254817470664967</v>
      </c>
      <c r="L38" s="73"/>
      <c r="M38" s="72"/>
      <c r="N38" s="73">
        <v>2.2698318826324524</v>
      </c>
      <c r="O38" s="73">
        <f>SUM(O37,O36,O32,O26,O22,O19,O18,O15,O10,O7)</f>
        <v>2.2654980960681055</v>
      </c>
      <c r="P38" s="73"/>
      <c r="Q38" s="72"/>
      <c r="R38" s="73"/>
      <c r="S38" s="72"/>
      <c r="T38" s="73"/>
      <c r="U38" s="72"/>
      <c r="V38" s="73"/>
      <c r="W38" s="72"/>
      <c r="X38" s="73"/>
      <c r="Y38" s="72"/>
      <c r="Z38" s="73"/>
      <c r="AA38" s="72"/>
      <c r="AB38" s="74"/>
      <c r="AC38" s="72"/>
      <c r="AD38" s="74"/>
      <c r="AE38" s="72"/>
      <c r="AF38" s="74"/>
      <c r="AG38" s="72"/>
      <c r="AH38" s="74"/>
      <c r="AI38" s="72"/>
      <c r="AJ38" s="74"/>
      <c r="AK38" s="72"/>
      <c r="AL38" s="74"/>
      <c r="AM38" s="72"/>
      <c r="AN38" s="74"/>
      <c r="AO38" s="72"/>
      <c r="AP38" s="74"/>
    </row>
    <row r="39" spans="1:42" s="71" customFormat="1" ht="12.75">
      <c r="A39" s="71" t="s">
        <v>188</v>
      </c>
      <c r="B39" s="71">
        <v>35</v>
      </c>
      <c r="C39" s="71" t="s">
        <v>90</v>
      </c>
      <c r="D39" s="76"/>
      <c r="E39" s="93">
        <f>(F39-H39)*2/F39*100</f>
        <v>12.551449568197748</v>
      </c>
      <c r="F39" s="73">
        <v>0.030182549342947187</v>
      </c>
      <c r="G39" s="73"/>
      <c r="H39" s="73">
        <f>SUM(H5:H37)</f>
        <v>0.02828837561335898</v>
      </c>
      <c r="I39" s="93">
        <f>(J39-L39)*2/J39*100</f>
        <v>31.95718794101098</v>
      </c>
      <c r="J39" s="73">
        <v>0.040308641981747</v>
      </c>
      <c r="K39" s="73"/>
      <c r="L39" s="73">
        <f>SUM(L5:L37)</f>
        <v>0.03386788774445893</v>
      </c>
      <c r="M39" s="93">
        <f>(N39-P39)*2/N39*100</f>
        <v>57.78778264366785</v>
      </c>
      <c r="N39" s="73">
        <v>0.039992361128689875</v>
      </c>
      <c r="O39" s="73"/>
      <c r="P39" s="73">
        <f>SUM(P5:P37)</f>
        <v>0.028437011767130867</v>
      </c>
      <c r="Q39" s="72"/>
      <c r="R39" s="73"/>
      <c r="S39" s="72"/>
      <c r="T39" s="73"/>
      <c r="U39" s="72"/>
      <c r="V39" s="73"/>
      <c r="W39" s="72"/>
      <c r="X39" s="73"/>
      <c r="Y39" s="72"/>
      <c r="Z39" s="73"/>
      <c r="AA39" s="72"/>
      <c r="AB39" s="74"/>
      <c r="AC39" s="72"/>
      <c r="AD39" s="74"/>
      <c r="AE39" s="72"/>
      <c r="AF39" s="74"/>
      <c r="AG39" s="72"/>
      <c r="AH39" s="74"/>
      <c r="AI39" s="72"/>
      <c r="AJ39" s="74"/>
      <c r="AK39" s="72"/>
      <c r="AL39" s="74"/>
      <c r="AM39" s="72"/>
      <c r="AN39" s="74"/>
      <c r="AO39" s="72"/>
      <c r="AP39" s="74"/>
    </row>
  </sheetData>
  <printOptions headings="1" horizontalCentered="1"/>
  <pageMargins left="0.25" right="0.25" top="0.5" bottom="0.5" header="0.25" footer="0.25"/>
  <pageSetup horizontalDpi="1200" verticalDpi="1200" orientation="landscape" pageOrder="overThenDown" scale="80" r:id="rId1"/>
  <headerFooter alignWithMargins="0">
    <oddFooter>&amp;C&amp;P, &amp;A, 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P39"/>
  <sheetViews>
    <sheetView workbookViewId="0" topLeftCell="C1">
      <selection activeCell="B31" sqref="B31"/>
    </sheetView>
  </sheetViews>
  <sheetFormatPr defaultColWidth="9.140625" defaultRowHeight="12.75"/>
  <cols>
    <col min="1" max="1" width="9.140625" style="0" hidden="1" customWidth="1"/>
    <col min="2" max="2" width="3.00390625" style="0" hidden="1" customWidth="1"/>
    <col min="3" max="3" width="17.28125" style="0" customWidth="1"/>
    <col min="4" max="4" width="7.7109375" style="75" customWidth="1"/>
    <col min="5" max="5" width="5.57421875" style="0" customWidth="1"/>
    <col min="7" max="7" width="7.7109375" style="77" customWidth="1"/>
    <col min="8" max="8" width="8.28125" style="77" customWidth="1"/>
    <col min="9" max="9" width="6.140625" style="0" customWidth="1"/>
    <col min="11" max="11" width="7.7109375" style="77" customWidth="1"/>
    <col min="12" max="12" width="8.28125" style="77" customWidth="1"/>
    <col min="13" max="13" width="5.57421875" style="0" customWidth="1"/>
    <col min="15" max="15" width="7.7109375" style="77" customWidth="1"/>
    <col min="16" max="16" width="8.28125" style="77" customWidth="1"/>
  </cols>
  <sheetData>
    <row r="1" ht="12.75">
      <c r="C1" s="2" t="s">
        <v>190</v>
      </c>
    </row>
    <row r="2" spans="6:16" ht="12.75">
      <c r="F2" s="97" t="s">
        <v>34</v>
      </c>
      <c r="G2" s="97"/>
      <c r="H2" s="97"/>
      <c r="J2" s="97" t="s">
        <v>35</v>
      </c>
      <c r="K2" s="97"/>
      <c r="L2" s="97"/>
      <c r="N2" s="97" t="s">
        <v>36</v>
      </c>
      <c r="O2" s="97"/>
      <c r="P2" s="97"/>
    </row>
    <row r="3" spans="3:16" ht="12.75">
      <c r="C3" t="s">
        <v>245</v>
      </c>
      <c r="D3" s="75" t="s">
        <v>87</v>
      </c>
      <c r="F3" s="67" t="s">
        <v>80</v>
      </c>
      <c r="G3" s="98" t="s">
        <v>80</v>
      </c>
      <c r="H3" s="98" t="s">
        <v>90</v>
      </c>
      <c r="J3" s="67" t="s">
        <v>80</v>
      </c>
      <c r="K3" s="98" t="s">
        <v>80</v>
      </c>
      <c r="L3" s="98" t="s">
        <v>90</v>
      </c>
      <c r="N3" s="67" t="s">
        <v>80</v>
      </c>
      <c r="O3" s="98" t="s">
        <v>80</v>
      </c>
      <c r="P3" s="98" t="s">
        <v>90</v>
      </c>
    </row>
    <row r="4" spans="4:16" ht="12.75">
      <c r="D4" s="75" t="s">
        <v>244</v>
      </c>
      <c r="F4" s="67" t="s">
        <v>246</v>
      </c>
      <c r="G4" s="98" t="s">
        <v>91</v>
      </c>
      <c r="H4" s="98" t="s">
        <v>91</v>
      </c>
      <c r="J4" s="67" t="s">
        <v>246</v>
      </c>
      <c r="K4" s="98" t="s">
        <v>91</v>
      </c>
      <c r="L4" s="98" t="s">
        <v>91</v>
      </c>
      <c r="N4" s="67" t="s">
        <v>246</v>
      </c>
      <c r="O4" s="98" t="s">
        <v>91</v>
      </c>
      <c r="P4" s="98" t="s">
        <v>91</v>
      </c>
    </row>
    <row r="5" spans="1:42" s="71" customFormat="1" ht="12.75">
      <c r="A5" s="71" t="s">
        <v>190</v>
      </c>
      <c r="B5" s="71">
        <v>1</v>
      </c>
      <c r="C5" s="71" t="s">
        <v>210</v>
      </c>
      <c r="D5" s="76">
        <v>1</v>
      </c>
      <c r="E5" s="72">
        <v>1</v>
      </c>
      <c r="F5" s="73">
        <v>0.005839557302634657</v>
      </c>
      <c r="G5" s="73">
        <f>IF(E5=1,F5/2,F5)</f>
        <v>0.0029197786513173287</v>
      </c>
      <c r="H5" s="73">
        <f>G5*$D5</f>
        <v>0.0029197786513173287</v>
      </c>
      <c r="I5" s="72">
        <v>1</v>
      </c>
      <c r="J5" s="73">
        <v>0.005468731547706255</v>
      </c>
      <c r="K5" s="73">
        <f>IF(I5=1,J5/2,J5)</f>
        <v>0.0027343657738531273</v>
      </c>
      <c r="L5" s="73">
        <f>K5*$D5</f>
        <v>0.0027343657738531273</v>
      </c>
      <c r="M5" s="72">
        <v>1</v>
      </c>
      <c r="N5" s="73">
        <v>0.029489263776052453</v>
      </c>
      <c r="O5" s="73">
        <f>IF(M5=1,N5/2,N5)</f>
        <v>0.014744631888026227</v>
      </c>
      <c r="P5" s="73">
        <f>O5*$D5</f>
        <v>0.014744631888026227</v>
      </c>
      <c r="Q5" s="72"/>
      <c r="R5" s="73"/>
      <c r="S5" s="72"/>
      <c r="T5" s="73"/>
      <c r="U5" s="72"/>
      <c r="V5" s="73"/>
      <c r="W5" s="72"/>
      <c r="X5" s="73"/>
      <c r="Y5" s="72"/>
      <c r="Z5" s="73"/>
      <c r="AA5" s="72"/>
      <c r="AB5" s="74"/>
      <c r="AC5" s="72"/>
      <c r="AD5" s="74"/>
      <c r="AE5" s="72"/>
      <c r="AF5" s="74"/>
      <c r="AG5" s="72"/>
      <c r="AH5" s="74"/>
      <c r="AI5" s="72"/>
      <c r="AJ5" s="74"/>
      <c r="AK5" s="72"/>
      <c r="AL5" s="74"/>
      <c r="AM5" s="72"/>
      <c r="AN5" s="74"/>
      <c r="AO5" s="72"/>
      <c r="AP5" s="74"/>
    </row>
    <row r="6" spans="1:42" s="71" customFormat="1" ht="12.75">
      <c r="A6" s="71" t="s">
        <v>190</v>
      </c>
      <c r="B6" s="71">
        <v>2</v>
      </c>
      <c r="C6" s="71" t="s">
        <v>211</v>
      </c>
      <c r="D6" s="76">
        <v>0</v>
      </c>
      <c r="E6" s="72"/>
      <c r="F6" s="73">
        <v>0.04214888389723431</v>
      </c>
      <c r="G6" s="73">
        <f aca="true" t="shared" si="0" ref="G6:G37">IF(E6=1,F6/2,F6)</f>
        <v>0.04214888389723431</v>
      </c>
      <c r="H6" s="73">
        <f aca="true" t="shared" si="1" ref="H6:H37">G6*$D6</f>
        <v>0</v>
      </c>
      <c r="I6" s="72"/>
      <c r="J6" s="73">
        <v>0.00325271595565678</v>
      </c>
      <c r="K6" s="73">
        <f aca="true" t="shared" si="2" ref="K6:K37">IF(I6=1,J6/2,J6)</f>
        <v>0.00325271595565678</v>
      </c>
      <c r="L6" s="73">
        <f aca="true" t="shared" si="3" ref="L6:L37">K6*$D6</f>
        <v>0</v>
      </c>
      <c r="M6" s="72"/>
      <c r="N6" s="73">
        <v>0</v>
      </c>
      <c r="O6" s="73">
        <f aca="true" t="shared" si="4" ref="O6:O37">IF(M6=1,N6/2,N6)</f>
        <v>0</v>
      </c>
      <c r="P6" s="73">
        <f aca="true" t="shared" si="5" ref="P6:P37">O6*$D6</f>
        <v>0</v>
      </c>
      <c r="Q6" s="72"/>
      <c r="R6" s="73"/>
      <c r="S6" s="72"/>
      <c r="T6" s="73"/>
      <c r="U6" s="72"/>
      <c r="V6" s="73"/>
      <c r="W6" s="72"/>
      <c r="X6" s="73"/>
      <c r="Y6" s="72"/>
      <c r="Z6" s="73"/>
      <c r="AA6" s="72"/>
      <c r="AB6" s="74"/>
      <c r="AC6" s="72"/>
      <c r="AD6" s="74"/>
      <c r="AE6" s="72"/>
      <c r="AF6" s="74"/>
      <c r="AG6" s="72"/>
      <c r="AH6" s="74"/>
      <c r="AI6" s="72"/>
      <c r="AJ6" s="74"/>
      <c r="AK6" s="72"/>
      <c r="AL6" s="74"/>
      <c r="AM6" s="72"/>
      <c r="AN6" s="74"/>
      <c r="AO6" s="72"/>
      <c r="AP6" s="74"/>
    </row>
    <row r="7" spans="1:42" s="71" customFormat="1" ht="12.75">
      <c r="A7" s="71" t="s">
        <v>190</v>
      </c>
      <c r="B7" s="71">
        <v>3</v>
      </c>
      <c r="C7" s="71" t="s">
        <v>212</v>
      </c>
      <c r="D7" s="76">
        <v>0</v>
      </c>
      <c r="E7" s="72"/>
      <c r="F7" s="73">
        <v>0.047988441199869</v>
      </c>
      <c r="G7" s="73">
        <f t="shared" si="0"/>
        <v>0.047988441199869</v>
      </c>
      <c r="H7" s="73">
        <f t="shared" si="1"/>
        <v>0</v>
      </c>
      <c r="I7" s="72">
        <v>1</v>
      </c>
      <c r="J7" s="73">
        <v>0.008721447503363034</v>
      </c>
      <c r="K7" s="73">
        <f t="shared" si="2"/>
        <v>0.004360723751681517</v>
      </c>
      <c r="L7" s="73">
        <f t="shared" si="3"/>
        <v>0</v>
      </c>
      <c r="M7" s="72">
        <v>1</v>
      </c>
      <c r="N7" s="73">
        <v>0.029489263776052453</v>
      </c>
      <c r="O7" s="73">
        <f t="shared" si="4"/>
        <v>0.014744631888026227</v>
      </c>
      <c r="P7" s="73">
        <f t="shared" si="5"/>
        <v>0</v>
      </c>
      <c r="Q7" s="72"/>
      <c r="R7" s="73"/>
      <c r="S7" s="72"/>
      <c r="T7" s="73"/>
      <c r="U7" s="72"/>
      <c r="V7" s="73"/>
      <c r="W7" s="72"/>
      <c r="X7" s="73"/>
      <c r="Y7" s="72"/>
      <c r="Z7" s="73"/>
      <c r="AA7" s="72"/>
      <c r="AB7" s="74"/>
      <c r="AC7" s="72"/>
      <c r="AD7" s="74"/>
      <c r="AE7" s="72"/>
      <c r="AF7" s="74"/>
      <c r="AG7" s="72"/>
      <c r="AH7" s="74"/>
      <c r="AI7" s="72"/>
      <c r="AJ7" s="74"/>
      <c r="AK7" s="72"/>
      <c r="AL7" s="74"/>
      <c r="AM7" s="72"/>
      <c r="AN7" s="74"/>
      <c r="AO7" s="72"/>
      <c r="AP7" s="74"/>
    </row>
    <row r="8" spans="1:42" s="71" customFormat="1" ht="12.75">
      <c r="A8" s="71" t="s">
        <v>190</v>
      </c>
      <c r="B8" s="71">
        <v>4</v>
      </c>
      <c r="C8" s="71" t="s">
        <v>213</v>
      </c>
      <c r="D8" s="76">
        <v>0.5</v>
      </c>
      <c r="E8" s="72">
        <v>1</v>
      </c>
      <c r="F8" s="73">
        <v>0.0074006270766063</v>
      </c>
      <c r="G8" s="73">
        <f t="shared" si="0"/>
        <v>0.00370031353830315</v>
      </c>
      <c r="H8" s="73">
        <f t="shared" si="1"/>
        <v>0.001850156769151575</v>
      </c>
      <c r="I8" s="72">
        <v>1</v>
      </c>
      <c r="J8" s="73">
        <v>0.010367003636073</v>
      </c>
      <c r="K8" s="73">
        <f t="shared" si="2"/>
        <v>0.0051835018180365</v>
      </c>
      <c r="L8" s="73">
        <f t="shared" si="3"/>
        <v>0.00259175090901825</v>
      </c>
      <c r="M8" s="72">
        <v>1</v>
      </c>
      <c r="N8" s="73">
        <v>0.029211063174391583</v>
      </c>
      <c r="O8" s="73">
        <f t="shared" si="4"/>
        <v>0.014605531587195792</v>
      </c>
      <c r="P8" s="73">
        <f t="shared" si="5"/>
        <v>0.007302765793597896</v>
      </c>
      <c r="Q8" s="72"/>
      <c r="R8" s="73"/>
      <c r="S8" s="72"/>
      <c r="T8" s="73"/>
      <c r="U8" s="72"/>
      <c r="V8" s="73"/>
      <c r="W8" s="72"/>
      <c r="X8" s="73"/>
      <c r="Y8" s="72"/>
      <c r="Z8" s="73"/>
      <c r="AA8" s="72"/>
      <c r="AB8" s="74"/>
      <c r="AC8" s="72"/>
      <c r="AD8" s="74"/>
      <c r="AE8" s="72"/>
      <c r="AF8" s="74"/>
      <c r="AG8" s="72"/>
      <c r="AH8" s="74"/>
      <c r="AI8" s="72"/>
      <c r="AJ8" s="74"/>
      <c r="AK8" s="72"/>
      <c r="AL8" s="74"/>
      <c r="AM8" s="72"/>
      <c r="AN8" s="74"/>
      <c r="AO8" s="72"/>
      <c r="AP8" s="74"/>
    </row>
    <row r="9" spans="1:42" s="71" customFormat="1" ht="12.75">
      <c r="A9" s="71" t="s">
        <v>190</v>
      </c>
      <c r="B9" s="71">
        <v>5</v>
      </c>
      <c r="C9" s="71" t="s">
        <v>214</v>
      </c>
      <c r="D9" s="76">
        <v>0</v>
      </c>
      <c r="E9" s="72"/>
      <c r="F9" s="73">
        <v>1.7345219710795E-05</v>
      </c>
      <c r="G9" s="73">
        <f t="shared" si="0"/>
        <v>1.7345219710795E-05</v>
      </c>
      <c r="H9" s="73">
        <f t="shared" si="1"/>
        <v>0</v>
      </c>
      <c r="I9" s="72"/>
      <c r="J9" s="73">
        <v>0</v>
      </c>
      <c r="K9" s="73">
        <f t="shared" si="2"/>
        <v>0</v>
      </c>
      <c r="L9" s="73">
        <f t="shared" si="3"/>
        <v>0</v>
      </c>
      <c r="M9" s="72"/>
      <c r="N9" s="73">
        <v>0</v>
      </c>
      <c r="O9" s="73">
        <f t="shared" si="4"/>
        <v>0</v>
      </c>
      <c r="P9" s="73">
        <f t="shared" si="5"/>
        <v>0</v>
      </c>
      <c r="Q9" s="72"/>
      <c r="R9" s="73"/>
      <c r="S9" s="72"/>
      <c r="T9" s="73"/>
      <c r="U9" s="72"/>
      <c r="V9" s="73"/>
      <c r="W9" s="72"/>
      <c r="X9" s="73"/>
      <c r="Y9" s="72"/>
      <c r="Z9" s="73"/>
      <c r="AA9" s="72"/>
      <c r="AB9" s="74"/>
      <c r="AC9" s="72"/>
      <c r="AD9" s="74"/>
      <c r="AE9" s="72"/>
      <c r="AF9" s="74"/>
      <c r="AG9" s="72"/>
      <c r="AH9" s="74"/>
      <c r="AI9" s="72"/>
      <c r="AJ9" s="74"/>
      <c r="AK9" s="72"/>
      <c r="AL9" s="74"/>
      <c r="AM9" s="72"/>
      <c r="AN9" s="74"/>
      <c r="AO9" s="72"/>
      <c r="AP9" s="74"/>
    </row>
    <row r="10" spans="1:42" s="71" customFormat="1" ht="12.75">
      <c r="A10" s="71" t="s">
        <v>190</v>
      </c>
      <c r="B10" s="71">
        <v>6</v>
      </c>
      <c r="C10" s="71" t="s">
        <v>215</v>
      </c>
      <c r="D10" s="76">
        <v>0</v>
      </c>
      <c r="E10" s="72">
        <v>1</v>
      </c>
      <c r="F10" s="73">
        <v>0.0074179722963171</v>
      </c>
      <c r="G10" s="73">
        <f t="shared" si="0"/>
        <v>0.00370898614815855</v>
      </c>
      <c r="H10" s="73">
        <f t="shared" si="1"/>
        <v>0</v>
      </c>
      <c r="I10" s="72">
        <v>1</v>
      </c>
      <c r="J10" s="73">
        <v>0.010367003636073</v>
      </c>
      <c r="K10" s="73">
        <f t="shared" si="2"/>
        <v>0.0051835018180365</v>
      </c>
      <c r="L10" s="73">
        <f t="shared" si="3"/>
        <v>0</v>
      </c>
      <c r="M10" s="72">
        <v>1</v>
      </c>
      <c r="N10" s="73">
        <v>0.029211063174391583</v>
      </c>
      <c r="O10" s="73">
        <f t="shared" si="4"/>
        <v>0.014605531587195792</v>
      </c>
      <c r="P10" s="73">
        <f t="shared" si="5"/>
        <v>0</v>
      </c>
      <c r="Q10" s="72"/>
      <c r="R10" s="73"/>
      <c r="S10" s="72"/>
      <c r="T10" s="73"/>
      <c r="U10" s="72"/>
      <c r="V10" s="73"/>
      <c r="W10" s="72"/>
      <c r="X10" s="73"/>
      <c r="Y10" s="72"/>
      <c r="Z10" s="73"/>
      <c r="AA10" s="72"/>
      <c r="AB10" s="74"/>
      <c r="AC10" s="72"/>
      <c r="AD10" s="74"/>
      <c r="AE10" s="72"/>
      <c r="AF10" s="74"/>
      <c r="AG10" s="72"/>
      <c r="AH10" s="74"/>
      <c r="AI10" s="72"/>
      <c r="AJ10" s="74"/>
      <c r="AK10" s="72"/>
      <c r="AL10" s="74"/>
      <c r="AM10" s="72"/>
      <c r="AN10" s="74"/>
      <c r="AO10" s="72"/>
      <c r="AP10" s="74"/>
    </row>
    <row r="11" spans="1:42" s="71" customFormat="1" ht="12.75">
      <c r="A11" s="71" t="s">
        <v>190</v>
      </c>
      <c r="B11" s="71">
        <v>7</v>
      </c>
      <c r="C11" s="71" t="s">
        <v>216</v>
      </c>
      <c r="D11" s="76">
        <v>0.1</v>
      </c>
      <c r="E11" s="72">
        <v>1</v>
      </c>
      <c r="F11" s="73">
        <v>0.00907733164864991</v>
      </c>
      <c r="G11" s="73">
        <f t="shared" si="0"/>
        <v>0.004538665824324955</v>
      </c>
      <c r="H11" s="73">
        <f t="shared" si="1"/>
        <v>0.00045386658243249555</v>
      </c>
      <c r="I11" s="72">
        <v>1</v>
      </c>
      <c r="J11" s="73">
        <v>0.016291005713829</v>
      </c>
      <c r="K11" s="73">
        <f t="shared" si="2"/>
        <v>0.0081455028569145</v>
      </c>
      <c r="L11" s="73">
        <f t="shared" si="3"/>
        <v>0.00081455028569145</v>
      </c>
      <c r="M11" s="72">
        <v>1</v>
      </c>
      <c r="N11" s="73">
        <v>0.028209541008412446</v>
      </c>
      <c r="O11" s="73">
        <f t="shared" si="4"/>
        <v>0.014104770504206223</v>
      </c>
      <c r="P11" s="73">
        <f t="shared" si="5"/>
        <v>0.0014104770504206224</v>
      </c>
      <c r="Q11" s="72"/>
      <c r="R11" s="73"/>
      <c r="S11" s="72"/>
      <c r="T11" s="73"/>
      <c r="U11" s="72"/>
      <c r="V11" s="73"/>
      <c r="W11" s="72"/>
      <c r="X11" s="73"/>
      <c r="Y11" s="72"/>
      <c r="Z11" s="73"/>
      <c r="AA11" s="72"/>
      <c r="AB11" s="74"/>
      <c r="AC11" s="72"/>
      <c r="AD11" s="74"/>
      <c r="AE11" s="72"/>
      <c r="AF11" s="74"/>
      <c r="AG11" s="72"/>
      <c r="AH11" s="74"/>
      <c r="AI11" s="72"/>
      <c r="AJ11" s="74"/>
      <c r="AK11" s="72"/>
      <c r="AL11" s="74"/>
      <c r="AM11" s="72"/>
      <c r="AN11" s="74"/>
      <c r="AO11" s="72"/>
      <c r="AP11" s="74"/>
    </row>
    <row r="12" spans="1:42" s="71" customFormat="1" ht="12.75">
      <c r="A12" s="71" t="s">
        <v>190</v>
      </c>
      <c r="B12" s="71">
        <v>8</v>
      </c>
      <c r="C12" s="71" t="s">
        <v>217</v>
      </c>
      <c r="D12" s="76">
        <v>0.1</v>
      </c>
      <c r="E12" s="72">
        <v>1</v>
      </c>
      <c r="F12" s="73">
        <v>0.008152253264074125</v>
      </c>
      <c r="G12" s="73">
        <f t="shared" si="0"/>
        <v>0.004076126632037063</v>
      </c>
      <c r="H12" s="73">
        <f t="shared" si="1"/>
        <v>0.00040761266320370627</v>
      </c>
      <c r="I12" s="72">
        <v>1</v>
      </c>
      <c r="J12" s="73">
        <v>0.01404207899912539</v>
      </c>
      <c r="K12" s="73">
        <f t="shared" si="2"/>
        <v>0.007021039499562695</v>
      </c>
      <c r="L12" s="73">
        <f t="shared" si="3"/>
        <v>0.0007021039499562695</v>
      </c>
      <c r="M12" s="72">
        <v>1</v>
      </c>
      <c r="N12" s="73">
        <v>0.025371894871471543</v>
      </c>
      <c r="O12" s="73">
        <f t="shared" si="4"/>
        <v>0.012685947435735772</v>
      </c>
      <c r="P12" s="73">
        <f t="shared" si="5"/>
        <v>0.0012685947435735773</v>
      </c>
      <c r="Q12" s="72"/>
      <c r="R12" s="73"/>
      <c r="S12" s="72"/>
      <c r="T12" s="73"/>
      <c r="U12" s="72"/>
      <c r="V12" s="73"/>
      <c r="W12" s="72"/>
      <c r="X12" s="73"/>
      <c r="Y12" s="72"/>
      <c r="Z12" s="73"/>
      <c r="AA12" s="72"/>
      <c r="AB12" s="74"/>
      <c r="AC12" s="72"/>
      <c r="AD12" s="74"/>
      <c r="AE12" s="72"/>
      <c r="AF12" s="74"/>
      <c r="AG12" s="72"/>
      <c r="AH12" s="74"/>
      <c r="AI12" s="72"/>
      <c r="AJ12" s="74"/>
      <c r="AK12" s="72"/>
      <c r="AL12" s="74"/>
      <c r="AM12" s="72"/>
      <c r="AN12" s="74"/>
      <c r="AO12" s="72"/>
      <c r="AP12" s="74"/>
    </row>
    <row r="13" spans="1:42" s="71" customFormat="1" ht="12.75">
      <c r="A13" s="71" t="s">
        <v>190</v>
      </c>
      <c r="B13" s="71">
        <v>9</v>
      </c>
      <c r="C13" s="71" t="s">
        <v>218</v>
      </c>
      <c r="D13" s="76">
        <v>0.1</v>
      </c>
      <c r="E13" s="72">
        <v>1</v>
      </c>
      <c r="F13" s="73">
        <v>0.009019514249613928</v>
      </c>
      <c r="G13" s="73">
        <f t="shared" si="0"/>
        <v>0.004509757124806964</v>
      </c>
      <c r="H13" s="73">
        <f t="shared" si="1"/>
        <v>0.0004509757124806964</v>
      </c>
      <c r="I13" s="72">
        <v>1</v>
      </c>
      <c r="J13" s="73">
        <v>0.016181301971648392</v>
      </c>
      <c r="K13" s="73">
        <f t="shared" si="2"/>
        <v>0.008090650985824196</v>
      </c>
      <c r="L13" s="73">
        <f t="shared" si="3"/>
        <v>0.0008090650985824197</v>
      </c>
      <c r="M13" s="72">
        <v>1</v>
      </c>
      <c r="N13" s="73">
        <v>0.027986980527083746</v>
      </c>
      <c r="O13" s="73">
        <f t="shared" si="4"/>
        <v>0.013993490263541873</v>
      </c>
      <c r="P13" s="73">
        <f t="shared" si="5"/>
        <v>0.0013993490263541873</v>
      </c>
      <c r="Q13" s="72"/>
      <c r="R13" s="73"/>
      <c r="S13" s="72"/>
      <c r="T13" s="73"/>
      <c r="U13" s="72"/>
      <c r="V13" s="73"/>
      <c r="W13" s="72"/>
      <c r="X13" s="73"/>
      <c r="Y13" s="72"/>
      <c r="Z13" s="73"/>
      <c r="AA13" s="72"/>
      <c r="AB13" s="74"/>
      <c r="AC13" s="72"/>
      <c r="AD13" s="74"/>
      <c r="AE13" s="72"/>
      <c r="AF13" s="74"/>
      <c r="AG13" s="72"/>
      <c r="AH13" s="74"/>
      <c r="AI13" s="72"/>
      <c r="AJ13" s="74"/>
      <c r="AK13" s="72"/>
      <c r="AL13" s="74"/>
      <c r="AM13" s="72"/>
      <c r="AN13" s="74"/>
      <c r="AO13" s="72"/>
      <c r="AP13" s="74"/>
    </row>
    <row r="14" spans="1:42" s="71" customFormat="1" ht="12.75">
      <c r="A14" s="71" t="s">
        <v>190</v>
      </c>
      <c r="B14" s="71">
        <v>10</v>
      </c>
      <c r="C14" s="71" t="s">
        <v>219</v>
      </c>
      <c r="D14" s="76">
        <v>0</v>
      </c>
      <c r="E14" s="72"/>
      <c r="F14" s="73">
        <v>-0.017518671907904</v>
      </c>
      <c r="G14" s="73">
        <f t="shared" si="0"/>
        <v>-0.017518671907904</v>
      </c>
      <c r="H14" s="73">
        <f t="shared" si="1"/>
        <v>0</v>
      </c>
      <c r="I14" s="72"/>
      <c r="J14" s="73">
        <v>-0.03110101090821912</v>
      </c>
      <c r="K14" s="73">
        <f t="shared" si="2"/>
        <v>-0.03110101090821912</v>
      </c>
      <c r="L14" s="73">
        <f t="shared" si="3"/>
        <v>0</v>
      </c>
      <c r="M14" s="72"/>
      <c r="N14" s="73">
        <v>-0.0544160376848666</v>
      </c>
      <c r="O14" s="73">
        <f t="shared" si="4"/>
        <v>-0.0544160376848666</v>
      </c>
      <c r="P14" s="73">
        <f t="shared" si="5"/>
        <v>0</v>
      </c>
      <c r="Q14" s="72"/>
      <c r="R14" s="73"/>
      <c r="S14" s="72"/>
      <c r="T14" s="73"/>
      <c r="U14" s="72"/>
      <c r="V14" s="73"/>
      <c r="W14" s="72"/>
      <c r="X14" s="73"/>
      <c r="Y14" s="72"/>
      <c r="Z14" s="73"/>
      <c r="AA14" s="72"/>
      <c r="AB14" s="74"/>
      <c r="AC14" s="72"/>
      <c r="AD14" s="74"/>
      <c r="AE14" s="72"/>
      <c r="AF14" s="74"/>
      <c r="AG14" s="72"/>
      <c r="AH14" s="74"/>
      <c r="AI14" s="72"/>
      <c r="AJ14" s="74"/>
      <c r="AK14" s="72"/>
      <c r="AL14" s="74"/>
      <c r="AM14" s="72"/>
      <c r="AN14" s="74"/>
      <c r="AO14" s="72"/>
      <c r="AP14" s="74"/>
    </row>
    <row r="15" spans="1:42" s="71" customFormat="1" ht="12.75">
      <c r="A15" s="71" t="s">
        <v>190</v>
      </c>
      <c r="B15" s="71">
        <v>11</v>
      </c>
      <c r="C15" s="71" t="s">
        <v>220</v>
      </c>
      <c r="D15" s="76">
        <v>0</v>
      </c>
      <c r="E15" s="72">
        <v>1</v>
      </c>
      <c r="F15" s="73">
        <v>0.008730427254434</v>
      </c>
      <c r="G15" s="73">
        <f t="shared" si="0"/>
        <v>0.004365213627217</v>
      </c>
      <c r="H15" s="73">
        <f t="shared" si="1"/>
        <v>0</v>
      </c>
      <c r="I15" s="72">
        <v>1</v>
      </c>
      <c r="J15" s="73">
        <v>0.015413375776383728</v>
      </c>
      <c r="K15" s="73">
        <f t="shared" si="2"/>
        <v>0.007706687888191864</v>
      </c>
      <c r="L15" s="73">
        <f t="shared" si="3"/>
        <v>0</v>
      </c>
      <c r="M15" s="72">
        <v>1</v>
      </c>
      <c r="N15" s="73">
        <v>0.027152378722101134</v>
      </c>
      <c r="O15" s="73">
        <f t="shared" si="4"/>
        <v>0.013576189361050567</v>
      </c>
      <c r="P15" s="73">
        <f t="shared" si="5"/>
        <v>0</v>
      </c>
      <c r="Q15" s="72"/>
      <c r="R15" s="73"/>
      <c r="S15" s="72"/>
      <c r="T15" s="73"/>
      <c r="U15" s="72"/>
      <c r="V15" s="73"/>
      <c r="W15" s="72"/>
      <c r="X15" s="73"/>
      <c r="Y15" s="72"/>
      <c r="Z15" s="73"/>
      <c r="AA15" s="72"/>
      <c r="AB15" s="74"/>
      <c r="AC15" s="72"/>
      <c r="AD15" s="74"/>
      <c r="AE15" s="72"/>
      <c r="AF15" s="74"/>
      <c r="AG15" s="72"/>
      <c r="AH15" s="74"/>
      <c r="AI15" s="72"/>
      <c r="AJ15" s="74"/>
      <c r="AK15" s="72"/>
      <c r="AL15" s="74"/>
      <c r="AM15" s="72"/>
      <c r="AN15" s="74"/>
      <c r="AO15" s="72"/>
      <c r="AP15" s="74"/>
    </row>
    <row r="16" spans="1:42" s="71" customFormat="1" ht="12.75">
      <c r="A16" s="71" t="s">
        <v>190</v>
      </c>
      <c r="B16" s="71">
        <v>12</v>
      </c>
      <c r="C16" s="71" t="s">
        <v>221</v>
      </c>
      <c r="D16" s="76">
        <v>0.01</v>
      </c>
      <c r="E16" s="72">
        <v>1</v>
      </c>
      <c r="F16" s="73">
        <v>0.014801254153212597</v>
      </c>
      <c r="G16" s="73">
        <f t="shared" si="0"/>
        <v>0.0074006270766062985</v>
      </c>
      <c r="H16" s="73">
        <f t="shared" si="1"/>
        <v>7.400627076606298E-05</v>
      </c>
      <c r="I16" s="72">
        <v>1</v>
      </c>
      <c r="J16" s="73">
        <v>0.040206421509214496</v>
      </c>
      <c r="K16" s="73">
        <f t="shared" si="2"/>
        <v>0.020103210754607248</v>
      </c>
      <c r="L16" s="73">
        <f t="shared" si="3"/>
        <v>0.0002010321075460725</v>
      </c>
      <c r="M16" s="72"/>
      <c r="N16" s="73">
        <v>0.03649991893790643</v>
      </c>
      <c r="O16" s="73">
        <f t="shared" si="4"/>
        <v>0.03649991893790643</v>
      </c>
      <c r="P16" s="73">
        <f t="shared" si="5"/>
        <v>0.0003649991893790643</v>
      </c>
      <c r="Q16" s="72"/>
      <c r="R16" s="73"/>
      <c r="S16" s="72"/>
      <c r="T16" s="73"/>
      <c r="U16" s="72"/>
      <c r="V16" s="73"/>
      <c r="W16" s="72"/>
      <c r="X16" s="73"/>
      <c r="Y16" s="72"/>
      <c r="Z16" s="73"/>
      <c r="AA16" s="72"/>
      <c r="AB16" s="74"/>
      <c r="AC16" s="72"/>
      <c r="AD16" s="74"/>
      <c r="AE16" s="72"/>
      <c r="AF16" s="74"/>
      <c r="AG16" s="72"/>
      <c r="AH16" s="74"/>
      <c r="AI16" s="72"/>
      <c r="AJ16" s="74"/>
      <c r="AK16" s="72"/>
      <c r="AL16" s="74"/>
      <c r="AM16" s="72"/>
      <c r="AN16" s="74"/>
      <c r="AO16" s="72"/>
      <c r="AP16" s="74"/>
    </row>
    <row r="17" spans="1:42" s="71" customFormat="1" ht="12.75">
      <c r="A17" s="71" t="s">
        <v>190</v>
      </c>
      <c r="B17" s="71">
        <v>13</v>
      </c>
      <c r="C17" s="71" t="s">
        <v>222</v>
      </c>
      <c r="D17" s="76">
        <v>0</v>
      </c>
      <c r="E17" s="72"/>
      <c r="F17" s="73">
        <v>-0.004336304927699</v>
      </c>
      <c r="G17" s="73">
        <f t="shared" si="0"/>
        <v>-0.004336304927699</v>
      </c>
      <c r="H17" s="73">
        <f t="shared" si="1"/>
        <v>0</v>
      </c>
      <c r="I17" s="72"/>
      <c r="J17" s="73">
        <v>-0.011683448542241</v>
      </c>
      <c r="K17" s="73">
        <f t="shared" si="2"/>
        <v>-0.011683448542241</v>
      </c>
      <c r="L17" s="73">
        <f t="shared" si="3"/>
        <v>0</v>
      </c>
      <c r="M17" s="72"/>
      <c r="N17" s="73">
        <v>0</v>
      </c>
      <c r="O17" s="73">
        <f t="shared" si="4"/>
        <v>0</v>
      </c>
      <c r="P17" s="73">
        <f t="shared" si="5"/>
        <v>0</v>
      </c>
      <c r="Q17" s="72"/>
      <c r="R17" s="73"/>
      <c r="S17" s="72"/>
      <c r="T17" s="73"/>
      <c r="U17" s="72"/>
      <c r="V17" s="73"/>
      <c r="W17" s="72"/>
      <c r="X17" s="73"/>
      <c r="Y17" s="72"/>
      <c r="Z17" s="73"/>
      <c r="AA17" s="72"/>
      <c r="AB17" s="74"/>
      <c r="AC17" s="72"/>
      <c r="AD17" s="74"/>
      <c r="AE17" s="72"/>
      <c r="AF17" s="74"/>
      <c r="AG17" s="72"/>
      <c r="AH17" s="74"/>
      <c r="AI17" s="72"/>
      <c r="AJ17" s="74"/>
      <c r="AK17" s="72"/>
      <c r="AL17" s="74"/>
      <c r="AM17" s="72"/>
      <c r="AN17" s="74"/>
      <c r="AO17" s="72"/>
      <c r="AP17" s="74"/>
    </row>
    <row r="18" spans="1:42" s="71" customFormat="1" ht="12.75">
      <c r="A18" s="71" t="s">
        <v>190</v>
      </c>
      <c r="B18" s="71">
        <v>14</v>
      </c>
      <c r="C18" s="71" t="s">
        <v>223</v>
      </c>
      <c r="D18" s="76">
        <v>0</v>
      </c>
      <c r="E18" s="72">
        <v>1</v>
      </c>
      <c r="F18" s="73">
        <v>0.010464949225513593</v>
      </c>
      <c r="G18" s="73">
        <f t="shared" si="0"/>
        <v>0.005232474612756797</v>
      </c>
      <c r="H18" s="73">
        <f t="shared" si="1"/>
        <v>0</v>
      </c>
      <c r="I18" s="72"/>
      <c r="J18" s="73">
        <v>0.028522972966973443</v>
      </c>
      <c r="K18" s="73">
        <f t="shared" si="2"/>
        <v>0.028522972966973443</v>
      </c>
      <c r="L18" s="73">
        <f t="shared" si="3"/>
        <v>0</v>
      </c>
      <c r="M18" s="72"/>
      <c r="N18" s="73">
        <v>0.03649991893790643</v>
      </c>
      <c r="O18" s="73">
        <f t="shared" si="4"/>
        <v>0.03649991893790643</v>
      </c>
      <c r="P18" s="73">
        <f t="shared" si="5"/>
        <v>0</v>
      </c>
      <c r="Q18" s="72"/>
      <c r="R18" s="73"/>
      <c r="S18" s="72"/>
      <c r="T18" s="73"/>
      <c r="U18" s="72"/>
      <c r="V18" s="73"/>
      <c r="W18" s="72"/>
      <c r="X18" s="73"/>
      <c r="Y18" s="72"/>
      <c r="Z18" s="73"/>
      <c r="AA18" s="72"/>
      <c r="AB18" s="74"/>
      <c r="AC18" s="72"/>
      <c r="AD18" s="74"/>
      <c r="AE18" s="72"/>
      <c r="AF18" s="74"/>
      <c r="AG18" s="72"/>
      <c r="AH18" s="74"/>
      <c r="AI18" s="72"/>
      <c r="AJ18" s="74"/>
      <c r="AK18" s="72"/>
      <c r="AL18" s="74"/>
      <c r="AM18" s="72"/>
      <c r="AN18" s="74"/>
      <c r="AO18" s="72"/>
      <c r="AP18" s="74"/>
    </row>
    <row r="19" spans="1:42" s="71" customFormat="1" ht="12.75">
      <c r="A19" s="71" t="s">
        <v>190</v>
      </c>
      <c r="B19" s="71">
        <v>15</v>
      </c>
      <c r="C19" s="71" t="s">
        <v>224</v>
      </c>
      <c r="D19" s="76">
        <v>0.001</v>
      </c>
      <c r="E19" s="72">
        <v>1</v>
      </c>
      <c r="F19" s="73">
        <v>0.03295591745051243</v>
      </c>
      <c r="G19" s="73">
        <f t="shared" si="0"/>
        <v>0.016477958725256214</v>
      </c>
      <c r="H19" s="73">
        <f t="shared" si="1"/>
        <v>1.6477958725256215E-05</v>
      </c>
      <c r="I19" s="72"/>
      <c r="J19" s="73">
        <v>0.1470030145220939</v>
      </c>
      <c r="K19" s="73">
        <f t="shared" si="2"/>
        <v>0.1470030145220939</v>
      </c>
      <c r="L19" s="73">
        <f t="shared" si="3"/>
        <v>0.0001470030145220939</v>
      </c>
      <c r="M19" s="72">
        <v>1</v>
      </c>
      <c r="N19" s="73">
        <v>0.04423389566407868</v>
      </c>
      <c r="O19" s="73">
        <f t="shared" si="4"/>
        <v>0.02211694783203934</v>
      </c>
      <c r="P19" s="73">
        <f t="shared" si="5"/>
        <v>2.2116947832039343E-05</v>
      </c>
      <c r="Q19" s="72"/>
      <c r="R19" s="73"/>
      <c r="S19" s="72"/>
      <c r="T19" s="73"/>
      <c r="U19" s="72"/>
      <c r="V19" s="73"/>
      <c r="W19" s="72"/>
      <c r="X19" s="73"/>
      <c r="Y19" s="72"/>
      <c r="Z19" s="73"/>
      <c r="AA19" s="72"/>
      <c r="AB19" s="74"/>
      <c r="AC19" s="72"/>
      <c r="AD19" s="74"/>
      <c r="AE19" s="72"/>
      <c r="AF19" s="74"/>
      <c r="AG19" s="72"/>
      <c r="AH19" s="74"/>
      <c r="AI19" s="72"/>
      <c r="AJ19" s="74"/>
      <c r="AK19" s="72"/>
      <c r="AL19" s="74"/>
      <c r="AM19" s="72"/>
      <c r="AN19" s="74"/>
      <c r="AO19" s="72"/>
      <c r="AP19" s="74"/>
    </row>
    <row r="20" spans="1:42" s="71" customFormat="1" ht="12.75">
      <c r="A20" s="71" t="s">
        <v>190</v>
      </c>
      <c r="B20" s="71">
        <v>16</v>
      </c>
      <c r="C20" s="71" t="s">
        <v>225</v>
      </c>
      <c r="D20" s="76">
        <v>0.1</v>
      </c>
      <c r="E20" s="72">
        <v>1</v>
      </c>
      <c r="F20" s="73">
        <v>0.01191038420141326</v>
      </c>
      <c r="G20" s="73">
        <f t="shared" si="0"/>
        <v>0.00595519210070663</v>
      </c>
      <c r="H20" s="73">
        <f t="shared" si="1"/>
        <v>0.0005955192100706631</v>
      </c>
      <c r="I20" s="72">
        <v>1</v>
      </c>
      <c r="J20" s="73">
        <v>0.018265673073081</v>
      </c>
      <c r="K20" s="73">
        <f t="shared" si="2"/>
        <v>0.0091328365365405</v>
      </c>
      <c r="L20" s="73">
        <f t="shared" si="3"/>
        <v>0.00091328365365405</v>
      </c>
      <c r="M20" s="72">
        <v>1</v>
      </c>
      <c r="N20" s="73">
        <v>0.013965670203375784</v>
      </c>
      <c r="O20" s="73">
        <f t="shared" si="4"/>
        <v>0.006982835101687892</v>
      </c>
      <c r="P20" s="73">
        <f t="shared" si="5"/>
        <v>0.0006982835101687892</v>
      </c>
      <c r="Q20" s="72"/>
      <c r="R20" s="73"/>
      <c r="S20" s="72"/>
      <c r="T20" s="73"/>
      <c r="U20" s="72"/>
      <c r="V20" s="73"/>
      <c r="W20" s="72"/>
      <c r="X20" s="73"/>
      <c r="Y20" s="72"/>
      <c r="Z20" s="73"/>
      <c r="AA20" s="72"/>
      <c r="AB20" s="74"/>
      <c r="AC20" s="72"/>
      <c r="AD20" s="74"/>
      <c r="AE20" s="72"/>
      <c r="AF20" s="74"/>
      <c r="AG20" s="72"/>
      <c r="AH20" s="74"/>
      <c r="AI20" s="72"/>
      <c r="AJ20" s="74"/>
      <c r="AK20" s="72"/>
      <c r="AL20" s="74"/>
      <c r="AM20" s="72"/>
      <c r="AN20" s="74"/>
      <c r="AO20" s="72"/>
      <c r="AP20" s="74"/>
    </row>
    <row r="21" spans="1:42" s="71" customFormat="1" ht="12.75">
      <c r="A21" s="71" t="s">
        <v>190</v>
      </c>
      <c r="B21" s="71">
        <v>17</v>
      </c>
      <c r="C21" s="71" t="s">
        <v>226</v>
      </c>
      <c r="D21" s="76">
        <v>0</v>
      </c>
      <c r="E21" s="72"/>
      <c r="F21" s="73">
        <v>0.8495688614347887</v>
      </c>
      <c r="G21" s="73">
        <f t="shared" si="0"/>
        <v>0.8495688614347887</v>
      </c>
      <c r="H21" s="73">
        <f t="shared" si="1"/>
        <v>0</v>
      </c>
      <c r="I21" s="72"/>
      <c r="J21" s="73">
        <v>0.39915706592435723</v>
      </c>
      <c r="K21" s="73">
        <f t="shared" si="2"/>
        <v>0.39915706592435723</v>
      </c>
      <c r="L21" s="73">
        <f t="shared" si="3"/>
        <v>0</v>
      </c>
      <c r="M21" s="72"/>
      <c r="N21" s="73">
        <v>0.397771220254715</v>
      </c>
      <c r="O21" s="73">
        <f t="shared" si="4"/>
        <v>0.397771220254715</v>
      </c>
      <c r="P21" s="73">
        <f t="shared" si="5"/>
        <v>0</v>
      </c>
      <c r="Q21" s="72"/>
      <c r="R21" s="73"/>
      <c r="S21" s="72"/>
      <c r="T21" s="73"/>
      <c r="U21" s="72"/>
      <c r="V21" s="73"/>
      <c r="W21" s="72"/>
      <c r="X21" s="73"/>
      <c r="Y21" s="72"/>
      <c r="Z21" s="73"/>
      <c r="AA21" s="72"/>
      <c r="AB21" s="74"/>
      <c r="AC21" s="72"/>
      <c r="AD21" s="74"/>
      <c r="AE21" s="72"/>
      <c r="AF21" s="74"/>
      <c r="AG21" s="72"/>
      <c r="AH21" s="74"/>
      <c r="AI21" s="72"/>
      <c r="AJ21" s="74"/>
      <c r="AK21" s="72"/>
      <c r="AL21" s="74"/>
      <c r="AM21" s="72"/>
      <c r="AN21" s="74"/>
      <c r="AO21" s="72"/>
      <c r="AP21" s="74"/>
    </row>
    <row r="22" spans="1:42" s="71" customFormat="1" ht="12.75">
      <c r="A22" s="71" t="s">
        <v>190</v>
      </c>
      <c r="B22" s="71">
        <v>18</v>
      </c>
      <c r="C22" s="71" t="s">
        <v>227</v>
      </c>
      <c r="D22" s="76">
        <v>0</v>
      </c>
      <c r="E22" s="72"/>
      <c r="F22" s="73">
        <v>0.8614792456362019</v>
      </c>
      <c r="G22" s="73">
        <f t="shared" si="0"/>
        <v>0.8614792456362019</v>
      </c>
      <c r="H22" s="73">
        <f t="shared" si="1"/>
        <v>0</v>
      </c>
      <c r="I22" s="72"/>
      <c r="J22" s="73">
        <v>0.4174227389974383</v>
      </c>
      <c r="K22" s="73">
        <f t="shared" si="2"/>
        <v>0.4174227389974383</v>
      </c>
      <c r="L22" s="73">
        <f t="shared" si="3"/>
        <v>0</v>
      </c>
      <c r="M22" s="72"/>
      <c r="N22" s="73">
        <v>0.41173689045809</v>
      </c>
      <c r="O22" s="73">
        <f t="shared" si="4"/>
        <v>0.41173689045809</v>
      </c>
      <c r="P22" s="73">
        <f t="shared" si="5"/>
        <v>0</v>
      </c>
      <c r="Q22" s="72"/>
      <c r="R22" s="73"/>
      <c r="S22" s="72"/>
      <c r="T22" s="73"/>
      <c r="U22" s="72"/>
      <c r="V22" s="73"/>
      <c r="W22" s="72"/>
      <c r="X22" s="73"/>
      <c r="Y22" s="72"/>
      <c r="Z22" s="73"/>
      <c r="AA22" s="72"/>
      <c r="AB22" s="74"/>
      <c r="AC22" s="72"/>
      <c r="AD22" s="74"/>
      <c r="AE22" s="72"/>
      <c r="AF22" s="74"/>
      <c r="AG22" s="72"/>
      <c r="AH22" s="74"/>
      <c r="AI22" s="72"/>
      <c r="AJ22" s="74"/>
      <c r="AK22" s="72"/>
      <c r="AL22" s="74"/>
      <c r="AM22" s="72"/>
      <c r="AN22" s="74"/>
      <c r="AO22" s="72"/>
      <c r="AP22" s="74"/>
    </row>
    <row r="23" spans="1:42" s="71" customFormat="1" ht="12.75">
      <c r="A23" s="71" t="s">
        <v>190</v>
      </c>
      <c r="B23" s="71">
        <v>19</v>
      </c>
      <c r="C23" s="71" t="s">
        <v>228</v>
      </c>
      <c r="D23" s="76">
        <v>0.05</v>
      </c>
      <c r="E23" s="72"/>
      <c r="F23" s="73">
        <v>0.016131054331040288</v>
      </c>
      <c r="G23" s="73">
        <f t="shared" si="0"/>
        <v>0.016131054331040288</v>
      </c>
      <c r="H23" s="73">
        <f t="shared" si="1"/>
        <v>0.0008065527165520144</v>
      </c>
      <c r="I23" s="72"/>
      <c r="J23" s="73">
        <v>0.017772006233268</v>
      </c>
      <c r="K23" s="73">
        <f t="shared" si="2"/>
        <v>0.017772006233268</v>
      </c>
      <c r="L23" s="73">
        <f t="shared" si="3"/>
        <v>0.0008886003116634</v>
      </c>
      <c r="M23" s="72">
        <v>1</v>
      </c>
      <c r="N23" s="73">
        <v>0.015134112730351446</v>
      </c>
      <c r="O23" s="73">
        <f t="shared" si="4"/>
        <v>0.007567056365175723</v>
      </c>
      <c r="P23" s="73">
        <f t="shared" si="5"/>
        <v>0.0003783528182587862</v>
      </c>
      <c r="Q23" s="72"/>
      <c r="R23" s="73"/>
      <c r="S23" s="72"/>
      <c r="T23" s="73"/>
      <c r="U23" s="72"/>
      <c r="V23" s="73"/>
      <c r="W23" s="72"/>
      <c r="X23" s="73"/>
      <c r="Y23" s="72"/>
      <c r="Z23" s="73"/>
      <c r="AA23" s="72"/>
      <c r="AB23" s="74"/>
      <c r="AC23" s="72"/>
      <c r="AD23" s="74"/>
      <c r="AE23" s="72"/>
      <c r="AF23" s="74"/>
      <c r="AG23" s="72"/>
      <c r="AH23" s="74"/>
      <c r="AI23" s="72"/>
      <c r="AJ23" s="74"/>
      <c r="AK23" s="72"/>
      <c r="AL23" s="74"/>
      <c r="AM23" s="72"/>
      <c r="AN23" s="74"/>
      <c r="AO23" s="72"/>
      <c r="AP23" s="74"/>
    </row>
    <row r="24" spans="1:42" s="71" customFormat="1" ht="12.75">
      <c r="A24" s="71" t="s">
        <v>190</v>
      </c>
      <c r="B24" s="71">
        <v>20</v>
      </c>
      <c r="C24" s="71" t="s">
        <v>229</v>
      </c>
      <c r="D24" s="76">
        <v>0.5</v>
      </c>
      <c r="E24" s="72">
        <v>1</v>
      </c>
      <c r="F24" s="73">
        <v>0.0061286442978146</v>
      </c>
      <c r="G24" s="73">
        <f t="shared" si="0"/>
        <v>0.0030643221489073</v>
      </c>
      <c r="H24" s="73">
        <f t="shared" si="1"/>
        <v>0.00153216107445365</v>
      </c>
      <c r="I24" s="72">
        <v>1</v>
      </c>
      <c r="J24" s="73">
        <v>0.008721447503363034</v>
      </c>
      <c r="K24" s="73">
        <f t="shared" si="2"/>
        <v>0.004360723751681517</v>
      </c>
      <c r="L24" s="73">
        <f t="shared" si="3"/>
        <v>0.0021803618758407584</v>
      </c>
      <c r="M24" s="72">
        <v>1</v>
      </c>
      <c r="N24" s="73">
        <v>0.018472519950282</v>
      </c>
      <c r="O24" s="73">
        <f t="shared" si="4"/>
        <v>0.009236259975141</v>
      </c>
      <c r="P24" s="73">
        <f t="shared" si="5"/>
        <v>0.0046181299875705</v>
      </c>
      <c r="Q24" s="72"/>
      <c r="R24" s="73"/>
      <c r="S24" s="72"/>
      <c r="T24" s="73"/>
      <c r="U24" s="72"/>
      <c r="V24" s="73"/>
      <c r="W24" s="72"/>
      <c r="X24" s="73"/>
      <c r="Y24" s="72"/>
      <c r="Z24" s="73"/>
      <c r="AA24" s="72"/>
      <c r="AB24" s="74"/>
      <c r="AC24" s="72"/>
      <c r="AD24" s="74"/>
      <c r="AE24" s="72"/>
      <c r="AF24" s="74"/>
      <c r="AG24" s="72"/>
      <c r="AH24" s="74"/>
      <c r="AI24" s="72"/>
      <c r="AJ24" s="74"/>
      <c r="AK24" s="72"/>
      <c r="AL24" s="74"/>
      <c r="AM24" s="72"/>
      <c r="AN24" s="74"/>
      <c r="AO24" s="72"/>
      <c r="AP24" s="74"/>
    </row>
    <row r="25" spans="1:42" s="71" customFormat="1" ht="12.75">
      <c r="A25" s="71" t="s">
        <v>190</v>
      </c>
      <c r="B25" s="71">
        <v>21</v>
      </c>
      <c r="C25" s="71" t="s">
        <v>230</v>
      </c>
      <c r="D25" s="76">
        <v>0</v>
      </c>
      <c r="E25" s="72"/>
      <c r="F25" s="73">
        <v>0.10898579718283494</v>
      </c>
      <c r="G25" s="73">
        <f t="shared" si="0"/>
        <v>0.10898579718283494</v>
      </c>
      <c r="H25" s="73">
        <f t="shared" si="1"/>
        <v>0</v>
      </c>
      <c r="I25" s="72"/>
      <c r="J25" s="73">
        <v>-0.008282632534640363</v>
      </c>
      <c r="K25" s="73">
        <f t="shared" si="2"/>
        <v>-0.008282632534640363</v>
      </c>
      <c r="L25" s="73">
        <f t="shared" si="3"/>
        <v>0</v>
      </c>
      <c r="M25" s="72"/>
      <c r="N25" s="73">
        <v>0.012463386954407</v>
      </c>
      <c r="O25" s="73">
        <f t="shared" si="4"/>
        <v>0.012463386954407</v>
      </c>
      <c r="P25" s="73">
        <f t="shared" si="5"/>
        <v>0</v>
      </c>
      <c r="Q25" s="72"/>
      <c r="R25" s="73"/>
      <c r="S25" s="72"/>
      <c r="T25" s="73"/>
      <c r="U25" s="72"/>
      <c r="V25" s="73"/>
      <c r="W25" s="72"/>
      <c r="X25" s="73"/>
      <c r="Y25" s="72"/>
      <c r="Z25" s="73"/>
      <c r="AA25" s="72"/>
      <c r="AB25" s="74"/>
      <c r="AC25" s="72"/>
      <c r="AD25" s="74"/>
      <c r="AE25" s="72"/>
      <c r="AF25" s="74"/>
      <c r="AG25" s="72"/>
      <c r="AH25" s="74"/>
      <c r="AI25" s="72"/>
      <c r="AJ25" s="74"/>
      <c r="AK25" s="72"/>
      <c r="AL25" s="74"/>
      <c r="AM25" s="72"/>
      <c r="AN25" s="74"/>
      <c r="AO25" s="72"/>
      <c r="AP25" s="74"/>
    </row>
    <row r="26" spans="1:42" s="71" customFormat="1" ht="12.75">
      <c r="A26" s="71" t="s">
        <v>190</v>
      </c>
      <c r="B26" s="71">
        <v>22</v>
      </c>
      <c r="C26" s="71" t="s">
        <v>231</v>
      </c>
      <c r="D26" s="76">
        <v>0</v>
      </c>
      <c r="E26" s="72"/>
      <c r="F26" s="73">
        <v>0.13124549581169</v>
      </c>
      <c r="G26" s="73">
        <f t="shared" si="0"/>
        <v>0.13124549581169</v>
      </c>
      <c r="H26" s="73">
        <f t="shared" si="1"/>
        <v>0</v>
      </c>
      <c r="I26" s="72"/>
      <c r="J26" s="73">
        <v>0.01821082120199074</v>
      </c>
      <c r="K26" s="73">
        <f t="shared" si="2"/>
        <v>0.01821082120199074</v>
      </c>
      <c r="L26" s="73">
        <f t="shared" si="3"/>
        <v>0</v>
      </c>
      <c r="M26" s="72"/>
      <c r="N26" s="73">
        <v>0.04607001963504044</v>
      </c>
      <c r="O26" s="73">
        <f t="shared" si="4"/>
        <v>0.04607001963504044</v>
      </c>
      <c r="P26" s="73">
        <f t="shared" si="5"/>
        <v>0</v>
      </c>
      <c r="Q26" s="72"/>
      <c r="R26" s="73"/>
      <c r="S26" s="72"/>
      <c r="T26" s="73"/>
      <c r="U26" s="72"/>
      <c r="V26" s="73"/>
      <c r="W26" s="72"/>
      <c r="X26" s="73"/>
      <c r="Y26" s="72"/>
      <c r="Z26" s="73"/>
      <c r="AA26" s="72"/>
      <c r="AB26" s="74"/>
      <c r="AC26" s="72"/>
      <c r="AD26" s="74"/>
      <c r="AE26" s="72"/>
      <c r="AF26" s="74"/>
      <c r="AG26" s="72"/>
      <c r="AH26" s="74"/>
      <c r="AI26" s="72"/>
      <c r="AJ26" s="74"/>
      <c r="AK26" s="72"/>
      <c r="AL26" s="74"/>
      <c r="AM26" s="72"/>
      <c r="AN26" s="74"/>
      <c r="AO26" s="72"/>
      <c r="AP26" s="74"/>
    </row>
    <row r="27" spans="1:42" s="71" customFormat="1" ht="12.75">
      <c r="A27" s="71" t="s">
        <v>190</v>
      </c>
      <c r="B27" s="71">
        <v>23</v>
      </c>
      <c r="C27" s="71" t="s">
        <v>232</v>
      </c>
      <c r="D27" s="76">
        <v>0.1</v>
      </c>
      <c r="E27" s="72"/>
      <c r="F27" s="73">
        <v>0.01422308016285273</v>
      </c>
      <c r="G27" s="73">
        <f t="shared" si="0"/>
        <v>0.01422308016285273</v>
      </c>
      <c r="H27" s="73">
        <f t="shared" si="1"/>
        <v>0.0014223080162852732</v>
      </c>
      <c r="I27" s="72">
        <v>1</v>
      </c>
      <c r="J27" s="73">
        <v>0.026658009349902107</v>
      </c>
      <c r="K27" s="73">
        <f t="shared" si="2"/>
        <v>0.013329004674951054</v>
      </c>
      <c r="L27" s="73">
        <f t="shared" si="3"/>
        <v>0.0013329004674951055</v>
      </c>
      <c r="M27" s="72"/>
      <c r="N27" s="73">
        <v>0.024815493668149804</v>
      </c>
      <c r="O27" s="73">
        <f t="shared" si="4"/>
        <v>0.024815493668149804</v>
      </c>
      <c r="P27" s="73">
        <f t="shared" si="5"/>
        <v>0.0024815493668149807</v>
      </c>
      <c r="Q27" s="72"/>
      <c r="R27" s="73"/>
      <c r="S27" s="72"/>
      <c r="T27" s="73"/>
      <c r="U27" s="72"/>
      <c r="V27" s="73"/>
      <c r="W27" s="72"/>
      <c r="X27" s="73"/>
      <c r="Y27" s="72"/>
      <c r="Z27" s="73"/>
      <c r="AA27" s="72"/>
      <c r="AB27" s="74"/>
      <c r="AC27" s="72"/>
      <c r="AD27" s="74"/>
      <c r="AE27" s="72"/>
      <c r="AF27" s="74"/>
      <c r="AG27" s="72"/>
      <c r="AH27" s="74"/>
      <c r="AI27" s="72"/>
      <c r="AJ27" s="74"/>
      <c r="AK27" s="72"/>
      <c r="AL27" s="74"/>
      <c r="AM27" s="72"/>
      <c r="AN27" s="74"/>
      <c r="AO27" s="72"/>
      <c r="AP27" s="74"/>
    </row>
    <row r="28" spans="1:42" s="71" customFormat="1" ht="12.75">
      <c r="A28" s="71" t="s">
        <v>190</v>
      </c>
      <c r="B28" s="71">
        <v>24</v>
      </c>
      <c r="C28" s="71" t="s">
        <v>233</v>
      </c>
      <c r="D28" s="76">
        <v>0.1</v>
      </c>
      <c r="E28" s="72">
        <v>1</v>
      </c>
      <c r="F28" s="73">
        <v>0.0117369320043053</v>
      </c>
      <c r="G28" s="73">
        <f t="shared" si="0"/>
        <v>0.00586846600215265</v>
      </c>
      <c r="H28" s="73">
        <f t="shared" si="1"/>
        <v>0.000586846600215265</v>
      </c>
      <c r="I28" s="72">
        <v>1</v>
      </c>
      <c r="J28" s="73">
        <v>0.018485080557442406</v>
      </c>
      <c r="K28" s="73">
        <f t="shared" si="2"/>
        <v>0.009242540278721203</v>
      </c>
      <c r="L28" s="73">
        <f t="shared" si="3"/>
        <v>0.0009242540278721203</v>
      </c>
      <c r="M28" s="72"/>
      <c r="N28" s="73">
        <v>0.021699646929548</v>
      </c>
      <c r="O28" s="73">
        <f t="shared" si="4"/>
        <v>0.021699646929548</v>
      </c>
      <c r="P28" s="73">
        <f t="shared" si="5"/>
        <v>0.0021699646929548002</v>
      </c>
      <c r="Q28" s="72"/>
      <c r="R28" s="73"/>
      <c r="S28" s="72"/>
      <c r="T28" s="73"/>
      <c r="U28" s="72"/>
      <c r="V28" s="73"/>
      <c r="W28" s="72"/>
      <c r="X28" s="73"/>
      <c r="Y28" s="72"/>
      <c r="Z28" s="73"/>
      <c r="AA28" s="72"/>
      <c r="AB28" s="74"/>
      <c r="AC28" s="72"/>
      <c r="AD28" s="74"/>
      <c r="AE28" s="72"/>
      <c r="AF28" s="74"/>
      <c r="AG28" s="72"/>
      <c r="AH28" s="74"/>
      <c r="AI28" s="72"/>
      <c r="AJ28" s="74"/>
      <c r="AK28" s="72"/>
      <c r="AL28" s="74"/>
      <c r="AM28" s="72"/>
      <c r="AN28" s="74"/>
      <c r="AO28" s="72"/>
      <c r="AP28" s="74"/>
    </row>
    <row r="29" spans="1:42" s="71" customFormat="1" ht="12.75">
      <c r="A29" s="71" t="s">
        <v>190</v>
      </c>
      <c r="B29" s="71">
        <v>25</v>
      </c>
      <c r="C29" s="71" t="s">
        <v>234</v>
      </c>
      <c r="D29" s="76">
        <v>0.1</v>
      </c>
      <c r="E29" s="72">
        <v>1</v>
      </c>
      <c r="F29" s="73">
        <v>0.005296073751696382</v>
      </c>
      <c r="G29" s="73">
        <f t="shared" si="0"/>
        <v>0.002648036875848191</v>
      </c>
      <c r="H29" s="73">
        <f t="shared" si="1"/>
        <v>0.00026480368758481914</v>
      </c>
      <c r="I29" s="72">
        <v>1</v>
      </c>
      <c r="J29" s="73">
        <v>0.015523079518564395</v>
      </c>
      <c r="K29" s="73">
        <f t="shared" si="2"/>
        <v>0.0077615397592821975</v>
      </c>
      <c r="L29" s="73">
        <f t="shared" si="3"/>
        <v>0.0007761539759282198</v>
      </c>
      <c r="M29" s="72">
        <v>1</v>
      </c>
      <c r="N29" s="73">
        <v>0.009625740817466177</v>
      </c>
      <c r="O29" s="73">
        <f t="shared" si="4"/>
        <v>0.0048128704087330885</v>
      </c>
      <c r="P29" s="73">
        <f t="shared" si="5"/>
        <v>0.00048128704087330886</v>
      </c>
      <c r="Q29" s="72"/>
      <c r="R29" s="73"/>
      <c r="S29" s="72"/>
      <c r="T29" s="73"/>
      <c r="U29" s="72"/>
      <c r="V29" s="73"/>
      <c r="W29" s="72"/>
      <c r="X29" s="73"/>
      <c r="Y29" s="72"/>
      <c r="Z29" s="73"/>
      <c r="AA29" s="72"/>
      <c r="AB29" s="74"/>
      <c r="AC29" s="72"/>
      <c r="AD29" s="74"/>
      <c r="AE29" s="72"/>
      <c r="AF29" s="74"/>
      <c r="AG29" s="72"/>
      <c r="AH29" s="74"/>
      <c r="AI29" s="72"/>
      <c r="AJ29" s="74"/>
      <c r="AK29" s="72"/>
      <c r="AL29" s="74"/>
      <c r="AM29" s="72"/>
      <c r="AN29" s="74"/>
      <c r="AO29" s="72"/>
      <c r="AP29" s="74"/>
    </row>
    <row r="30" spans="1:42" s="71" customFormat="1" ht="12.75">
      <c r="A30" s="71" t="s">
        <v>190</v>
      </c>
      <c r="B30" s="71">
        <v>26</v>
      </c>
      <c r="C30" s="71" t="s">
        <v>235</v>
      </c>
      <c r="D30" s="76">
        <v>0.1</v>
      </c>
      <c r="E30" s="72"/>
      <c r="F30" s="73">
        <v>0.005585160746876316</v>
      </c>
      <c r="G30" s="73">
        <f t="shared" si="0"/>
        <v>0.005585160746876316</v>
      </c>
      <c r="H30" s="73">
        <f t="shared" si="1"/>
        <v>0.0005585160746876316</v>
      </c>
      <c r="I30" s="72"/>
      <c r="J30" s="73">
        <v>0.023915415795385427</v>
      </c>
      <c r="K30" s="73">
        <f t="shared" si="2"/>
        <v>0.023915415795385427</v>
      </c>
      <c r="L30" s="73">
        <f t="shared" si="3"/>
        <v>0.0023915415795385427</v>
      </c>
      <c r="M30" s="72">
        <v>1</v>
      </c>
      <c r="N30" s="73">
        <v>0.006843734800857457</v>
      </c>
      <c r="O30" s="73">
        <f t="shared" si="4"/>
        <v>0.0034218674004287287</v>
      </c>
      <c r="P30" s="73">
        <f t="shared" si="5"/>
        <v>0.00034218674004287287</v>
      </c>
      <c r="Q30" s="72"/>
      <c r="R30" s="73"/>
      <c r="S30" s="72"/>
      <c r="T30" s="73"/>
      <c r="U30" s="72"/>
      <c r="V30" s="73"/>
      <c r="W30" s="72"/>
      <c r="X30" s="73"/>
      <c r="Y30" s="72"/>
      <c r="Z30" s="73"/>
      <c r="AA30" s="72"/>
      <c r="AB30" s="74"/>
      <c r="AC30" s="72"/>
      <c r="AD30" s="74"/>
      <c r="AE30" s="72"/>
      <c r="AF30" s="74"/>
      <c r="AG30" s="72"/>
      <c r="AH30" s="74"/>
      <c r="AI30" s="72"/>
      <c r="AJ30" s="74"/>
      <c r="AK30" s="72"/>
      <c r="AL30" s="74"/>
      <c r="AM30" s="72"/>
      <c r="AN30" s="74"/>
      <c r="AO30" s="72"/>
      <c r="AP30" s="74"/>
    </row>
    <row r="31" spans="1:42" s="71" customFormat="1" ht="12.75">
      <c r="A31" s="71" t="s">
        <v>190</v>
      </c>
      <c r="B31" s="71">
        <v>27</v>
      </c>
      <c r="C31" s="71" t="s">
        <v>236</v>
      </c>
      <c r="D31" s="76">
        <v>0</v>
      </c>
      <c r="E31" s="72"/>
      <c r="F31" s="73">
        <v>0.030226936216013855</v>
      </c>
      <c r="G31" s="73">
        <f t="shared" si="0"/>
        <v>0.030226936216013855</v>
      </c>
      <c r="H31" s="73">
        <f t="shared" si="1"/>
        <v>0</v>
      </c>
      <c r="I31" s="72"/>
      <c r="J31" s="73">
        <v>-0.03110101090821912</v>
      </c>
      <c r="K31" s="73">
        <f t="shared" si="2"/>
        <v>-0.03110101090821912</v>
      </c>
      <c r="L31" s="73">
        <f t="shared" si="3"/>
        <v>0</v>
      </c>
      <c r="M31" s="72"/>
      <c r="N31" s="73">
        <v>0.05942364851476231</v>
      </c>
      <c r="O31" s="73">
        <f t="shared" si="4"/>
        <v>0.05942364851476231</v>
      </c>
      <c r="P31" s="73">
        <f t="shared" si="5"/>
        <v>0</v>
      </c>
      <c r="Q31" s="72"/>
      <c r="R31" s="73"/>
      <c r="S31" s="72"/>
      <c r="T31" s="73"/>
      <c r="U31" s="72"/>
      <c r="V31" s="73"/>
      <c r="W31" s="72"/>
      <c r="X31" s="73"/>
      <c r="Y31" s="72"/>
      <c r="Z31" s="73"/>
      <c r="AA31" s="72"/>
      <c r="AB31" s="74"/>
      <c r="AC31" s="72"/>
      <c r="AD31" s="74"/>
      <c r="AE31" s="72"/>
      <c r="AF31" s="74"/>
      <c r="AG31" s="72"/>
      <c r="AH31" s="74"/>
      <c r="AI31" s="72"/>
      <c r="AJ31" s="74"/>
      <c r="AK31" s="72"/>
      <c r="AL31" s="74"/>
      <c r="AM31" s="72"/>
      <c r="AN31" s="74"/>
      <c r="AO31" s="72"/>
      <c r="AP31" s="74"/>
    </row>
    <row r="32" spans="1:42" s="71" customFormat="1" ht="12.75">
      <c r="A32" s="71" t="s">
        <v>190</v>
      </c>
      <c r="B32" s="71">
        <v>28</v>
      </c>
      <c r="C32" s="71" t="s">
        <v>237</v>
      </c>
      <c r="D32" s="76">
        <v>0</v>
      </c>
      <c r="E32" s="72"/>
      <c r="F32" s="73">
        <v>0.06706818288174458</v>
      </c>
      <c r="G32" s="73">
        <f t="shared" si="0"/>
        <v>0.06706818288174458</v>
      </c>
      <c r="H32" s="73">
        <f t="shared" si="1"/>
        <v>0</v>
      </c>
      <c r="I32" s="72"/>
      <c r="J32" s="73">
        <v>0.053480574313075215</v>
      </c>
      <c r="K32" s="73">
        <f t="shared" si="2"/>
        <v>0.053480574313075215</v>
      </c>
      <c r="L32" s="73">
        <f t="shared" si="3"/>
        <v>0</v>
      </c>
      <c r="M32" s="72"/>
      <c r="N32" s="73">
        <v>0.12240826473078377</v>
      </c>
      <c r="O32" s="73">
        <f t="shared" si="4"/>
        <v>0.12240826473078377</v>
      </c>
      <c r="P32" s="73">
        <f t="shared" si="5"/>
        <v>0</v>
      </c>
      <c r="Q32" s="72"/>
      <c r="R32" s="73"/>
      <c r="S32" s="72"/>
      <c r="T32" s="73"/>
      <c r="U32" s="72"/>
      <c r="V32" s="73"/>
      <c r="W32" s="72"/>
      <c r="X32" s="73"/>
      <c r="Y32" s="72"/>
      <c r="Z32" s="73"/>
      <c r="AA32" s="72"/>
      <c r="AB32" s="74"/>
      <c r="AC32" s="72"/>
      <c r="AD32" s="74"/>
      <c r="AE32" s="72"/>
      <c r="AF32" s="74"/>
      <c r="AG32" s="72"/>
      <c r="AH32" s="74"/>
      <c r="AI32" s="72"/>
      <c r="AJ32" s="74"/>
      <c r="AK32" s="72"/>
      <c r="AL32" s="74"/>
      <c r="AM32" s="72"/>
      <c r="AN32" s="74"/>
      <c r="AO32" s="72"/>
      <c r="AP32" s="74"/>
    </row>
    <row r="33" spans="1:42" s="71" customFormat="1" ht="12.75">
      <c r="A33" s="71" t="s">
        <v>190</v>
      </c>
      <c r="B33" s="71">
        <v>29</v>
      </c>
      <c r="C33" s="71" t="s">
        <v>238</v>
      </c>
      <c r="D33" s="76">
        <v>0.01</v>
      </c>
      <c r="E33" s="72"/>
      <c r="F33" s="73">
        <v>0.031452665075576765</v>
      </c>
      <c r="G33" s="73">
        <f t="shared" si="0"/>
        <v>0.031452665075576765</v>
      </c>
      <c r="H33" s="73">
        <f t="shared" si="1"/>
        <v>0.00031452665075576766</v>
      </c>
      <c r="I33" s="72">
        <v>1</v>
      </c>
      <c r="J33" s="73">
        <v>0.03872542098977548</v>
      </c>
      <c r="K33" s="73">
        <f t="shared" si="2"/>
        <v>0.01936271049488774</v>
      </c>
      <c r="L33" s="73">
        <f t="shared" si="3"/>
        <v>0.0001936271049488774</v>
      </c>
      <c r="M33" s="72"/>
      <c r="N33" s="73">
        <v>0.07956537207500945</v>
      </c>
      <c r="O33" s="73">
        <f t="shared" si="4"/>
        <v>0.07956537207500945</v>
      </c>
      <c r="P33" s="73">
        <f t="shared" si="5"/>
        <v>0.0007956537207500945</v>
      </c>
      <c r="Q33" s="72"/>
      <c r="R33" s="73"/>
      <c r="S33" s="72"/>
      <c r="T33" s="73"/>
      <c r="U33" s="72"/>
      <c r="V33" s="73"/>
      <c r="W33" s="72"/>
      <c r="X33" s="73"/>
      <c r="Y33" s="72"/>
      <c r="Z33" s="73"/>
      <c r="AA33" s="72"/>
      <c r="AB33" s="74"/>
      <c r="AC33" s="72"/>
      <c r="AD33" s="74"/>
      <c r="AE33" s="72"/>
      <c r="AF33" s="74"/>
      <c r="AG33" s="72"/>
      <c r="AH33" s="74"/>
      <c r="AI33" s="72"/>
      <c r="AJ33" s="74"/>
      <c r="AK33" s="72"/>
      <c r="AL33" s="74"/>
      <c r="AM33" s="72"/>
      <c r="AN33" s="74"/>
      <c r="AO33" s="72"/>
      <c r="AP33" s="74"/>
    </row>
    <row r="34" spans="1:42" s="71" customFormat="1" ht="12.75">
      <c r="A34" s="71" t="s">
        <v>190</v>
      </c>
      <c r="B34" s="71">
        <v>30</v>
      </c>
      <c r="C34" s="71" t="s">
        <v>239</v>
      </c>
      <c r="D34" s="76">
        <v>0.01</v>
      </c>
      <c r="E34" s="72">
        <v>1</v>
      </c>
      <c r="F34" s="73">
        <v>0.0033129369647620383</v>
      </c>
      <c r="G34" s="73">
        <f t="shared" si="0"/>
        <v>0.0016564684823810192</v>
      </c>
      <c r="H34" s="73">
        <f t="shared" si="1"/>
        <v>1.656468482381019E-05</v>
      </c>
      <c r="I34" s="72">
        <v>1</v>
      </c>
      <c r="J34" s="73">
        <v>0.027645343029528105</v>
      </c>
      <c r="K34" s="73">
        <f t="shared" si="2"/>
        <v>0.013822671514764052</v>
      </c>
      <c r="L34" s="73">
        <f t="shared" si="3"/>
        <v>0.00013822671514764052</v>
      </c>
      <c r="M34" s="72">
        <v>1</v>
      </c>
      <c r="N34" s="73">
        <v>0.016692036099652332</v>
      </c>
      <c r="O34" s="73">
        <f t="shared" si="4"/>
        <v>0.008346018049826166</v>
      </c>
      <c r="P34" s="73">
        <f t="shared" si="5"/>
        <v>8.346018049826166E-05</v>
      </c>
      <c r="Q34" s="72"/>
      <c r="R34" s="73"/>
      <c r="S34" s="72"/>
      <c r="T34" s="73"/>
      <c r="U34" s="72"/>
      <c r="V34" s="73"/>
      <c r="W34" s="72"/>
      <c r="X34" s="73"/>
      <c r="Y34" s="72"/>
      <c r="Z34" s="73"/>
      <c r="AA34" s="72"/>
      <c r="AB34" s="74"/>
      <c r="AC34" s="72"/>
      <c r="AD34" s="74"/>
      <c r="AE34" s="72"/>
      <c r="AF34" s="74"/>
      <c r="AG34" s="72"/>
      <c r="AH34" s="74"/>
      <c r="AI34" s="72"/>
      <c r="AJ34" s="74"/>
      <c r="AK34" s="72"/>
      <c r="AL34" s="74"/>
      <c r="AM34" s="72"/>
      <c r="AN34" s="74"/>
      <c r="AO34" s="72"/>
      <c r="AP34" s="74"/>
    </row>
    <row r="35" spans="1:42" s="71" customFormat="1" ht="12.75">
      <c r="A35" s="71" t="s">
        <v>190</v>
      </c>
      <c r="B35" s="71">
        <v>31</v>
      </c>
      <c r="C35" s="71" t="s">
        <v>240</v>
      </c>
      <c r="D35" s="76">
        <v>0</v>
      </c>
      <c r="E35" s="72"/>
      <c r="F35" s="73">
        <v>0.007325464457859525</v>
      </c>
      <c r="G35" s="73">
        <f t="shared" si="0"/>
        <v>0.007325464457859525</v>
      </c>
      <c r="H35" s="73">
        <f t="shared" si="1"/>
        <v>0</v>
      </c>
      <c r="I35" s="72"/>
      <c r="J35" s="73">
        <v>-0.0481050909462225</v>
      </c>
      <c r="K35" s="73">
        <f t="shared" si="2"/>
        <v>-0.0481050909462225</v>
      </c>
      <c r="L35" s="73">
        <f t="shared" si="3"/>
        <v>0</v>
      </c>
      <c r="M35" s="72"/>
      <c r="N35" s="73">
        <v>-0.00945882045646966</v>
      </c>
      <c r="O35" s="73">
        <f t="shared" si="4"/>
        <v>-0.00945882045646966</v>
      </c>
      <c r="P35" s="73">
        <f t="shared" si="5"/>
        <v>0</v>
      </c>
      <c r="Q35" s="72"/>
      <c r="R35" s="73"/>
      <c r="S35" s="72"/>
      <c r="T35" s="73"/>
      <c r="U35" s="72"/>
      <c r="V35" s="73"/>
      <c r="W35" s="72"/>
      <c r="X35" s="73"/>
      <c r="Y35" s="72"/>
      <c r="Z35" s="73"/>
      <c r="AA35" s="72"/>
      <c r="AB35" s="74"/>
      <c r="AC35" s="72"/>
      <c r="AD35" s="74"/>
      <c r="AE35" s="72"/>
      <c r="AF35" s="74"/>
      <c r="AG35" s="72"/>
      <c r="AH35" s="74"/>
      <c r="AI35" s="72"/>
      <c r="AJ35" s="74"/>
      <c r="AK35" s="72"/>
      <c r="AL35" s="74"/>
      <c r="AM35" s="72"/>
      <c r="AN35" s="74"/>
      <c r="AO35" s="72"/>
      <c r="AP35" s="74"/>
    </row>
    <row r="36" spans="1:42" s="71" customFormat="1" ht="12.75">
      <c r="A36" s="71" t="s">
        <v>190</v>
      </c>
      <c r="B36" s="71">
        <v>32</v>
      </c>
      <c r="C36" s="71" t="s">
        <v>241</v>
      </c>
      <c r="D36" s="76">
        <v>0</v>
      </c>
      <c r="E36" s="72"/>
      <c r="F36" s="73">
        <v>0.042091066498198326</v>
      </c>
      <c r="G36" s="73">
        <f t="shared" si="0"/>
        <v>0.042091066498198326</v>
      </c>
      <c r="H36" s="73">
        <f t="shared" si="1"/>
        <v>0</v>
      </c>
      <c r="I36" s="72">
        <v>1</v>
      </c>
      <c r="J36" s="73">
        <v>0.018265673073081</v>
      </c>
      <c r="K36" s="73">
        <f t="shared" si="2"/>
        <v>0.0091328365365405</v>
      </c>
      <c r="L36" s="73">
        <f t="shared" si="3"/>
        <v>0</v>
      </c>
      <c r="M36" s="72"/>
      <c r="N36" s="73">
        <v>0.08679858771819213</v>
      </c>
      <c r="O36" s="73">
        <f t="shared" si="4"/>
        <v>0.08679858771819213</v>
      </c>
      <c r="P36" s="73">
        <f t="shared" si="5"/>
        <v>0</v>
      </c>
      <c r="Q36" s="72"/>
      <c r="R36" s="73"/>
      <c r="S36" s="72"/>
      <c r="T36" s="73"/>
      <c r="U36" s="72"/>
      <c r="V36" s="73"/>
      <c r="W36" s="72"/>
      <c r="X36" s="73"/>
      <c r="Y36" s="72"/>
      <c r="Z36" s="73"/>
      <c r="AA36" s="72"/>
      <c r="AB36" s="74"/>
      <c r="AC36" s="72"/>
      <c r="AD36" s="74"/>
      <c r="AE36" s="72"/>
      <c r="AF36" s="74"/>
      <c r="AG36" s="72"/>
      <c r="AH36" s="74"/>
      <c r="AI36" s="72"/>
      <c r="AJ36" s="74"/>
      <c r="AK36" s="72"/>
      <c r="AL36" s="74"/>
      <c r="AM36" s="72"/>
      <c r="AN36" s="74"/>
      <c r="AO36" s="72"/>
      <c r="AP36" s="74"/>
    </row>
    <row r="37" spans="1:42" s="71" customFormat="1" ht="12.75">
      <c r="A37" s="71" t="s">
        <v>190</v>
      </c>
      <c r="B37" s="71">
        <v>33</v>
      </c>
      <c r="C37" s="71" t="s">
        <v>242</v>
      </c>
      <c r="D37" s="76">
        <v>0.001</v>
      </c>
      <c r="E37" s="72"/>
      <c r="F37" s="73">
        <v>0.02861961252281342</v>
      </c>
      <c r="G37" s="73">
        <f t="shared" si="0"/>
        <v>0.02861961252281342</v>
      </c>
      <c r="H37" s="73">
        <f t="shared" si="1"/>
        <v>2.861961252281342E-05</v>
      </c>
      <c r="I37" s="72"/>
      <c r="J37" s="73">
        <v>0.0603370581993669</v>
      </c>
      <c r="K37" s="73">
        <f t="shared" si="2"/>
        <v>0.0603370581993669</v>
      </c>
      <c r="L37" s="73">
        <f t="shared" si="3"/>
        <v>6.03370581993669E-05</v>
      </c>
      <c r="M37" s="72"/>
      <c r="N37" s="73">
        <v>0.12685947435735773</v>
      </c>
      <c r="O37" s="73">
        <f t="shared" si="4"/>
        <v>0.12685947435735773</v>
      </c>
      <c r="P37" s="73">
        <f t="shared" si="5"/>
        <v>0.00012685947435735773</v>
      </c>
      <c r="Q37" s="72"/>
      <c r="R37" s="73"/>
      <c r="S37" s="72"/>
      <c r="T37" s="73"/>
      <c r="U37" s="72"/>
      <c r="V37" s="73"/>
      <c r="W37" s="72"/>
      <c r="X37" s="73"/>
      <c r="Y37" s="72"/>
      <c r="Z37" s="73"/>
      <c r="AA37" s="72"/>
      <c r="AB37" s="74"/>
      <c r="AC37" s="72"/>
      <c r="AD37" s="74"/>
      <c r="AE37" s="72"/>
      <c r="AF37" s="74"/>
      <c r="AG37" s="72"/>
      <c r="AH37" s="74"/>
      <c r="AI37" s="72"/>
      <c r="AJ37" s="74"/>
      <c r="AK37" s="72"/>
      <c r="AL37" s="74"/>
      <c r="AM37" s="72"/>
      <c r="AN37" s="74"/>
      <c r="AO37" s="72"/>
      <c r="AP37" s="74"/>
    </row>
    <row r="38" spans="1:42" s="71" customFormat="1" ht="12.75">
      <c r="A38" s="71" t="s">
        <v>190</v>
      </c>
      <c r="B38" s="71">
        <v>34</v>
      </c>
      <c r="C38" s="71" t="s">
        <v>243</v>
      </c>
      <c r="D38" s="76"/>
      <c r="E38" s="72"/>
      <c r="F38" s="73">
        <v>1.2380613107773</v>
      </c>
      <c r="G38" s="73">
        <f>SUM(G37,G36,G32,G26,G22,G19,G18,G15,G10,G7)</f>
        <v>1.2082766776639056</v>
      </c>
      <c r="H38" s="73"/>
      <c r="I38" s="72"/>
      <c r="J38" s="73">
        <v>0.77774468018984</v>
      </c>
      <c r="K38" s="73">
        <f>SUM(K37,K36,K32,K26,K22,K19,K18,K15,K10,K7)</f>
        <v>0.751360930195389</v>
      </c>
      <c r="L38" s="73"/>
      <c r="M38" s="72"/>
      <c r="N38" s="73">
        <v>0.9604597571739952</v>
      </c>
      <c r="O38" s="73">
        <f>SUM(O37,O36,O32,O26,O22,O19,O18,O15,O10,O7)</f>
        <v>0.8954164565056824</v>
      </c>
      <c r="P38" s="73"/>
      <c r="Q38" s="72"/>
      <c r="R38" s="73"/>
      <c r="S38" s="72"/>
      <c r="T38" s="73"/>
      <c r="U38" s="72"/>
      <c r="V38" s="73"/>
      <c r="W38" s="72"/>
      <c r="X38" s="73"/>
      <c r="Y38" s="72"/>
      <c r="Z38" s="73"/>
      <c r="AA38" s="72"/>
      <c r="AB38" s="74"/>
      <c r="AC38" s="72"/>
      <c r="AD38" s="74"/>
      <c r="AE38" s="72"/>
      <c r="AF38" s="74"/>
      <c r="AG38" s="72"/>
      <c r="AH38" s="74"/>
      <c r="AI38" s="72"/>
      <c r="AJ38" s="74"/>
      <c r="AK38" s="72"/>
      <c r="AL38" s="74"/>
      <c r="AM38" s="72"/>
      <c r="AN38" s="74"/>
      <c r="AO38" s="72"/>
      <c r="AP38" s="74"/>
    </row>
    <row r="39" spans="1:42" s="71" customFormat="1" ht="12.75">
      <c r="A39" s="71" t="s">
        <v>190</v>
      </c>
      <c r="B39" s="71">
        <v>35</v>
      </c>
      <c r="C39" s="71" t="s">
        <v>90</v>
      </c>
      <c r="D39" s="76"/>
      <c r="E39" s="93">
        <f>(F39-H39)*2/F39*100</f>
        <v>85.4177663826257</v>
      </c>
      <c r="F39" s="73">
        <v>0.021468062801254153</v>
      </c>
      <c r="G39" s="73"/>
      <c r="H39" s="73">
        <f>SUM(H5:H37)</f>
        <v>0.01229929293602883</v>
      </c>
      <c r="I39" s="93">
        <f>(J39-L39)*2/J39*100</f>
        <v>89.13923574930404</v>
      </c>
      <c r="J39" s="73">
        <v>0.032110833854992166</v>
      </c>
      <c r="K39" s="73"/>
      <c r="L39" s="73">
        <f>SUM(L5:L37)</f>
        <v>0.017799157909457766</v>
      </c>
      <c r="M39" s="93">
        <f>(N39-P39)*2/N39*100</f>
        <v>91.68649503284819</v>
      </c>
      <c r="N39" s="73">
        <v>0.0714382978986904</v>
      </c>
      <c r="O39" s="73"/>
      <c r="P39" s="73">
        <f>SUM(P5:P37)</f>
        <v>0.03868866217147337</v>
      </c>
      <c r="Q39" s="72"/>
      <c r="R39" s="73"/>
      <c r="S39" s="72"/>
      <c r="T39" s="73"/>
      <c r="U39" s="72"/>
      <c r="V39" s="73"/>
      <c r="W39" s="72"/>
      <c r="X39" s="73"/>
      <c r="Y39" s="72"/>
      <c r="Z39" s="73"/>
      <c r="AA39" s="72"/>
      <c r="AB39" s="74"/>
      <c r="AC39" s="72"/>
      <c r="AD39" s="74"/>
      <c r="AE39" s="72"/>
      <c r="AF39" s="74"/>
      <c r="AG39" s="72"/>
      <c r="AH39" s="74"/>
      <c r="AI39" s="72"/>
      <c r="AJ39" s="74"/>
      <c r="AK39" s="72"/>
      <c r="AL39" s="74"/>
      <c r="AM39" s="72"/>
      <c r="AN39" s="74"/>
      <c r="AO39" s="72"/>
      <c r="AP39" s="74"/>
    </row>
  </sheetData>
  <printOptions headings="1" horizontalCentered="1"/>
  <pageMargins left="0.25" right="0.25" top="0.5" bottom="0.5" header="0.25" footer="0.25"/>
  <pageSetup horizontalDpi="1200" verticalDpi="1200" orientation="landscape" pageOrder="overThenDown" scale="80" r:id="rId1"/>
  <headerFooter alignWithMargins="0">
    <oddFooter>&amp;C&amp;P, &amp;A, 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7"/>
  <sheetViews>
    <sheetView workbookViewId="0" topLeftCell="A145">
      <selection activeCell="B164" sqref="B164"/>
    </sheetView>
  </sheetViews>
  <sheetFormatPr defaultColWidth="9.140625" defaultRowHeight="12.75"/>
  <sheetData>
    <row r="1" spans="1:8" ht="12.75">
      <c r="A1" t="s">
        <v>274</v>
      </c>
      <c r="B1" t="s">
        <v>275</v>
      </c>
      <c r="C1" t="s">
        <v>276</v>
      </c>
      <c r="D1" t="s">
        <v>273</v>
      </c>
      <c r="E1" t="s">
        <v>277</v>
      </c>
      <c r="F1" t="s">
        <v>24</v>
      </c>
      <c r="G1" t="s">
        <v>278</v>
      </c>
      <c r="H1" t="s">
        <v>279</v>
      </c>
    </row>
    <row r="2" spans="1:12" ht="12.75">
      <c r="A2" t="s">
        <v>247</v>
      </c>
      <c r="B2" t="s">
        <v>248</v>
      </c>
      <c r="C2" t="s">
        <v>172</v>
      </c>
      <c r="D2" t="s">
        <v>194</v>
      </c>
      <c r="E2" t="s">
        <v>174</v>
      </c>
      <c r="G2">
        <v>636</v>
      </c>
      <c r="H2" t="s">
        <v>249</v>
      </c>
      <c r="I2">
        <v>0.0315456</v>
      </c>
      <c r="J2" t="s">
        <v>138</v>
      </c>
      <c r="K2" t="s">
        <v>250</v>
      </c>
      <c r="L2" t="s">
        <v>251</v>
      </c>
    </row>
    <row r="3" spans="1:12" ht="12.75">
      <c r="A3" t="s">
        <v>247</v>
      </c>
      <c r="B3" t="s">
        <v>252</v>
      </c>
      <c r="C3" t="s">
        <v>172</v>
      </c>
      <c r="D3" t="s">
        <v>194</v>
      </c>
      <c r="E3" t="s">
        <v>174</v>
      </c>
      <c r="F3" t="s">
        <v>253</v>
      </c>
      <c r="G3">
        <v>0.34</v>
      </c>
      <c r="H3" t="s">
        <v>249</v>
      </c>
      <c r="I3">
        <v>0.00081192</v>
      </c>
      <c r="J3" t="s">
        <v>138</v>
      </c>
      <c r="K3" t="s">
        <v>254</v>
      </c>
      <c r="L3" t="s">
        <v>255</v>
      </c>
    </row>
    <row r="4" spans="1:12" ht="12.75">
      <c r="A4" t="s">
        <v>247</v>
      </c>
      <c r="B4" t="s">
        <v>256</v>
      </c>
      <c r="C4" t="s">
        <v>172</v>
      </c>
      <c r="D4" t="s">
        <v>194</v>
      </c>
      <c r="E4" t="s">
        <v>174</v>
      </c>
      <c r="F4" t="s">
        <v>253</v>
      </c>
      <c r="G4">
        <v>8.05</v>
      </c>
      <c r="H4" t="s">
        <v>249</v>
      </c>
      <c r="I4">
        <v>0.0026565</v>
      </c>
      <c r="J4" t="s">
        <v>138</v>
      </c>
      <c r="K4" t="s">
        <v>257</v>
      </c>
      <c r="L4" t="s">
        <v>258</v>
      </c>
    </row>
    <row r="5" spans="1:12" ht="12.75">
      <c r="A5" t="s">
        <v>247</v>
      </c>
      <c r="B5" t="s">
        <v>256</v>
      </c>
      <c r="C5" t="s">
        <v>172</v>
      </c>
      <c r="D5" t="s">
        <v>194</v>
      </c>
      <c r="E5" t="s">
        <v>175</v>
      </c>
      <c r="G5">
        <v>0.228</v>
      </c>
      <c r="H5" t="s">
        <v>249</v>
      </c>
      <c r="I5">
        <v>7.524E-05</v>
      </c>
      <c r="J5" t="s">
        <v>138</v>
      </c>
      <c r="K5" t="s">
        <v>257</v>
      </c>
      <c r="L5" t="s">
        <v>258</v>
      </c>
    </row>
    <row r="6" spans="1:12" ht="12.75">
      <c r="A6" t="s">
        <v>247</v>
      </c>
      <c r="B6" t="s">
        <v>252</v>
      </c>
      <c r="C6" t="s">
        <v>172</v>
      </c>
      <c r="D6" t="s">
        <v>194</v>
      </c>
      <c r="E6" t="s">
        <v>175</v>
      </c>
      <c r="G6">
        <v>1.21</v>
      </c>
      <c r="H6" t="s">
        <v>249</v>
      </c>
      <c r="I6">
        <v>0.00288948</v>
      </c>
      <c r="J6" t="s">
        <v>138</v>
      </c>
      <c r="K6" t="s">
        <v>254</v>
      </c>
      <c r="L6" t="s">
        <v>255</v>
      </c>
    </row>
    <row r="7" spans="1:12" ht="12.75">
      <c r="A7" t="s">
        <v>247</v>
      </c>
      <c r="B7" t="s">
        <v>248</v>
      </c>
      <c r="C7" t="s">
        <v>172</v>
      </c>
      <c r="D7" t="s">
        <v>194</v>
      </c>
      <c r="E7" t="s">
        <v>175</v>
      </c>
      <c r="G7">
        <v>252</v>
      </c>
      <c r="H7" t="s">
        <v>249</v>
      </c>
      <c r="I7">
        <v>0.0124992</v>
      </c>
      <c r="J7" t="s">
        <v>138</v>
      </c>
      <c r="K7" t="s">
        <v>250</v>
      </c>
      <c r="L7" t="s">
        <v>251</v>
      </c>
    </row>
    <row r="8" spans="1:12" ht="12.75">
      <c r="A8" t="s">
        <v>247</v>
      </c>
      <c r="B8" t="s">
        <v>256</v>
      </c>
      <c r="C8" t="s">
        <v>172</v>
      </c>
      <c r="D8" t="s">
        <v>194</v>
      </c>
      <c r="E8" t="s">
        <v>29</v>
      </c>
      <c r="G8">
        <v>30</v>
      </c>
      <c r="H8" t="s">
        <v>249</v>
      </c>
      <c r="I8">
        <v>0.0099</v>
      </c>
      <c r="J8" t="s">
        <v>138</v>
      </c>
      <c r="K8" t="s">
        <v>257</v>
      </c>
      <c r="L8" t="s">
        <v>258</v>
      </c>
    </row>
    <row r="9" spans="1:12" ht="12.75">
      <c r="A9" t="s">
        <v>247</v>
      </c>
      <c r="B9" t="s">
        <v>252</v>
      </c>
      <c r="C9" t="s">
        <v>172</v>
      </c>
      <c r="D9" t="s">
        <v>194</v>
      </c>
      <c r="E9" t="s">
        <v>29</v>
      </c>
      <c r="G9">
        <v>660000</v>
      </c>
      <c r="H9" t="s">
        <v>249</v>
      </c>
      <c r="I9">
        <v>1576.08</v>
      </c>
      <c r="J9" t="s">
        <v>138</v>
      </c>
      <c r="K9" t="s">
        <v>254</v>
      </c>
      <c r="L9" t="s">
        <v>255</v>
      </c>
    </row>
    <row r="10" spans="1:12" ht="12.75">
      <c r="A10" t="s">
        <v>247</v>
      </c>
      <c r="B10" t="s">
        <v>252</v>
      </c>
      <c r="C10" t="s">
        <v>172</v>
      </c>
      <c r="D10" t="s">
        <v>194</v>
      </c>
      <c r="E10" t="s">
        <v>176</v>
      </c>
      <c r="G10">
        <v>2.98</v>
      </c>
      <c r="H10" t="s">
        <v>249</v>
      </c>
      <c r="I10">
        <v>0.00711624</v>
      </c>
      <c r="J10" t="s">
        <v>138</v>
      </c>
      <c r="K10" t="s">
        <v>254</v>
      </c>
      <c r="L10" t="s">
        <v>255</v>
      </c>
    </row>
    <row r="11" spans="1:12" ht="12.75">
      <c r="A11" t="s">
        <v>247</v>
      </c>
      <c r="B11" t="s">
        <v>248</v>
      </c>
      <c r="C11" t="s">
        <v>172</v>
      </c>
      <c r="D11" t="s">
        <v>194</v>
      </c>
      <c r="E11" t="s">
        <v>176</v>
      </c>
      <c r="G11">
        <v>1150</v>
      </c>
      <c r="H11" t="s">
        <v>249</v>
      </c>
      <c r="I11">
        <v>0.05704</v>
      </c>
      <c r="J11" t="s">
        <v>138</v>
      </c>
      <c r="K11" t="s">
        <v>250</v>
      </c>
      <c r="L11" t="s">
        <v>251</v>
      </c>
    </row>
    <row r="12" spans="1:12" ht="12.75">
      <c r="A12" t="s">
        <v>247</v>
      </c>
      <c r="B12" t="s">
        <v>256</v>
      </c>
      <c r="C12" t="s">
        <v>172</v>
      </c>
      <c r="D12" t="s">
        <v>194</v>
      </c>
      <c r="E12" t="s">
        <v>176</v>
      </c>
      <c r="F12" t="s">
        <v>253</v>
      </c>
      <c r="G12">
        <v>1.58</v>
      </c>
      <c r="H12" t="s">
        <v>249</v>
      </c>
      <c r="I12">
        <v>0.0005214</v>
      </c>
      <c r="J12" t="s">
        <v>138</v>
      </c>
      <c r="K12" t="s">
        <v>257</v>
      </c>
      <c r="L12" t="s">
        <v>258</v>
      </c>
    </row>
    <row r="13" spans="1:12" ht="12.75">
      <c r="A13" t="s">
        <v>247</v>
      </c>
      <c r="B13" t="s">
        <v>252</v>
      </c>
      <c r="C13" t="s">
        <v>172</v>
      </c>
      <c r="D13" t="s">
        <v>194</v>
      </c>
      <c r="E13" t="s">
        <v>178</v>
      </c>
      <c r="G13">
        <v>3.59</v>
      </c>
      <c r="H13" t="s">
        <v>249</v>
      </c>
      <c r="I13">
        <v>0.00857292</v>
      </c>
      <c r="J13" t="s">
        <v>138</v>
      </c>
      <c r="K13" t="s">
        <v>254</v>
      </c>
      <c r="L13" t="s">
        <v>255</v>
      </c>
    </row>
    <row r="14" spans="1:12" ht="12.75">
      <c r="A14" t="s">
        <v>247</v>
      </c>
      <c r="B14" t="s">
        <v>256</v>
      </c>
      <c r="C14" t="s">
        <v>172</v>
      </c>
      <c r="D14" t="s">
        <v>194</v>
      </c>
      <c r="E14" t="s">
        <v>178</v>
      </c>
      <c r="G14">
        <v>13.8</v>
      </c>
      <c r="H14" t="s">
        <v>249</v>
      </c>
      <c r="I14">
        <v>0.004554</v>
      </c>
      <c r="J14" t="s">
        <v>138</v>
      </c>
      <c r="K14" t="s">
        <v>257</v>
      </c>
      <c r="L14" t="s">
        <v>258</v>
      </c>
    </row>
    <row r="15" spans="1:12" ht="12.75">
      <c r="A15" t="s">
        <v>247</v>
      </c>
      <c r="B15" t="s">
        <v>248</v>
      </c>
      <c r="C15" t="s">
        <v>172</v>
      </c>
      <c r="D15" t="s">
        <v>194</v>
      </c>
      <c r="E15" t="s">
        <v>178</v>
      </c>
      <c r="G15">
        <v>4760</v>
      </c>
      <c r="H15" t="s">
        <v>249</v>
      </c>
      <c r="I15">
        <v>0.236096</v>
      </c>
      <c r="J15" t="s">
        <v>138</v>
      </c>
      <c r="K15" t="s">
        <v>250</v>
      </c>
      <c r="L15" t="s">
        <v>251</v>
      </c>
    </row>
    <row r="16" spans="1:8" ht="12.75">
      <c r="A16" t="s">
        <v>247</v>
      </c>
      <c r="B16" t="s">
        <v>252</v>
      </c>
      <c r="C16" t="s">
        <v>172</v>
      </c>
      <c r="D16" t="s">
        <v>194</v>
      </c>
      <c r="E16" t="s">
        <v>259</v>
      </c>
      <c r="G16">
        <v>2388</v>
      </c>
      <c r="H16" t="s">
        <v>138</v>
      </c>
    </row>
    <row r="17" spans="1:8" ht="12.75">
      <c r="A17" t="s">
        <v>247</v>
      </c>
      <c r="B17" t="s">
        <v>256</v>
      </c>
      <c r="C17" t="s">
        <v>172</v>
      </c>
      <c r="D17" t="s">
        <v>194</v>
      </c>
      <c r="E17" t="s">
        <v>259</v>
      </c>
      <c r="G17">
        <v>330</v>
      </c>
      <c r="H17" t="s">
        <v>138</v>
      </c>
    </row>
    <row r="18" spans="1:8" ht="12.75">
      <c r="A18" t="s">
        <v>247</v>
      </c>
      <c r="B18" t="s">
        <v>248</v>
      </c>
      <c r="C18" t="s">
        <v>172</v>
      </c>
      <c r="D18" t="s">
        <v>194</v>
      </c>
      <c r="E18" t="s">
        <v>259</v>
      </c>
      <c r="G18">
        <v>49.6</v>
      </c>
      <c r="H18" t="s">
        <v>138</v>
      </c>
    </row>
    <row r="19" spans="1:7" ht="12.75">
      <c r="A19" t="s">
        <v>247</v>
      </c>
      <c r="B19" t="s">
        <v>252</v>
      </c>
      <c r="C19" t="s">
        <v>172</v>
      </c>
      <c r="D19" t="s">
        <v>194</v>
      </c>
      <c r="E19" t="s">
        <v>28</v>
      </c>
      <c r="G19">
        <v>1.46</v>
      </c>
    </row>
    <row r="20" spans="1:7" ht="12.75">
      <c r="A20" t="s">
        <v>247</v>
      </c>
      <c r="B20" t="s">
        <v>256</v>
      </c>
      <c r="C20" t="s">
        <v>172</v>
      </c>
      <c r="D20" t="s">
        <v>194</v>
      </c>
      <c r="E20" t="s">
        <v>28</v>
      </c>
      <c r="G20">
        <v>0.012</v>
      </c>
    </row>
    <row r="21" spans="1:7" ht="12.75">
      <c r="A21" t="s">
        <v>247</v>
      </c>
      <c r="B21" t="s">
        <v>248</v>
      </c>
      <c r="C21" t="s">
        <v>172</v>
      </c>
      <c r="D21" t="s">
        <v>194</v>
      </c>
      <c r="E21" t="s">
        <v>28</v>
      </c>
      <c r="G21">
        <v>0</v>
      </c>
    </row>
    <row r="22" spans="1:7" ht="12.75">
      <c r="A22" t="s">
        <v>247</v>
      </c>
      <c r="B22" t="s">
        <v>252</v>
      </c>
      <c r="C22" t="s">
        <v>172</v>
      </c>
      <c r="D22" t="s">
        <v>194</v>
      </c>
      <c r="E22" t="s">
        <v>260</v>
      </c>
      <c r="G22">
        <v>7230</v>
      </c>
    </row>
    <row r="23" spans="1:7" ht="12.75">
      <c r="A23" t="s">
        <v>247</v>
      </c>
      <c r="B23" t="s">
        <v>256</v>
      </c>
      <c r="C23" t="s">
        <v>172</v>
      </c>
      <c r="D23" t="s">
        <v>194</v>
      </c>
      <c r="E23" t="s">
        <v>260</v>
      </c>
      <c r="G23">
        <v>19813</v>
      </c>
    </row>
    <row r="24" spans="1:7" ht="12.75">
      <c r="A24" t="s">
        <v>247</v>
      </c>
      <c r="B24" t="s">
        <v>248</v>
      </c>
      <c r="C24" t="s">
        <v>172</v>
      </c>
      <c r="D24" t="s">
        <v>194</v>
      </c>
      <c r="E24" t="s">
        <v>260</v>
      </c>
      <c r="G24">
        <v>0</v>
      </c>
    </row>
    <row r="25" spans="1:12" ht="12.75">
      <c r="A25" t="s">
        <v>261</v>
      </c>
      <c r="B25" t="s">
        <v>248</v>
      </c>
      <c r="C25" t="s">
        <v>172</v>
      </c>
      <c r="D25" t="s">
        <v>195</v>
      </c>
      <c r="E25" t="s">
        <v>174</v>
      </c>
      <c r="G25">
        <v>648</v>
      </c>
      <c r="H25" t="s">
        <v>249</v>
      </c>
      <c r="I25">
        <v>0.0324</v>
      </c>
      <c r="J25" t="s">
        <v>138</v>
      </c>
      <c r="K25" t="s">
        <v>250</v>
      </c>
      <c r="L25" t="s">
        <v>251</v>
      </c>
    </row>
    <row r="26" spans="1:12" ht="12.75">
      <c r="A26" t="s">
        <v>261</v>
      </c>
      <c r="B26" t="s">
        <v>252</v>
      </c>
      <c r="C26" t="s">
        <v>172</v>
      </c>
      <c r="D26" t="s">
        <v>195</v>
      </c>
      <c r="E26" t="s">
        <v>174</v>
      </c>
      <c r="F26" t="s">
        <v>253</v>
      </c>
      <c r="G26">
        <v>0.35</v>
      </c>
      <c r="H26" t="s">
        <v>249</v>
      </c>
      <c r="I26">
        <v>0.0008358</v>
      </c>
      <c r="J26" t="s">
        <v>138</v>
      </c>
      <c r="K26" t="s">
        <v>254</v>
      </c>
      <c r="L26" t="s">
        <v>255</v>
      </c>
    </row>
    <row r="27" spans="1:12" ht="12.75">
      <c r="A27" t="s">
        <v>261</v>
      </c>
      <c r="B27" t="s">
        <v>256</v>
      </c>
      <c r="C27" t="s">
        <v>172</v>
      </c>
      <c r="D27" t="s">
        <v>195</v>
      </c>
      <c r="E27" t="s">
        <v>174</v>
      </c>
      <c r="F27" t="s">
        <v>253</v>
      </c>
      <c r="G27">
        <v>8.07</v>
      </c>
      <c r="H27" t="s">
        <v>249</v>
      </c>
      <c r="I27">
        <v>0.0029052</v>
      </c>
      <c r="J27" t="s">
        <v>138</v>
      </c>
      <c r="K27" t="s">
        <v>257</v>
      </c>
      <c r="L27" t="s">
        <v>258</v>
      </c>
    </row>
    <row r="28" spans="1:12" ht="12.75">
      <c r="A28" t="s">
        <v>261</v>
      </c>
      <c r="B28" t="s">
        <v>252</v>
      </c>
      <c r="C28" t="s">
        <v>172</v>
      </c>
      <c r="D28" t="s">
        <v>195</v>
      </c>
      <c r="E28" t="s">
        <v>175</v>
      </c>
      <c r="G28">
        <v>0.848</v>
      </c>
      <c r="H28" t="s">
        <v>249</v>
      </c>
      <c r="I28">
        <v>0.002025024</v>
      </c>
      <c r="J28" t="s">
        <v>138</v>
      </c>
      <c r="K28" t="s">
        <v>254</v>
      </c>
      <c r="L28" t="s">
        <v>255</v>
      </c>
    </row>
    <row r="29" spans="1:12" ht="12.75">
      <c r="A29" t="s">
        <v>261</v>
      </c>
      <c r="B29" t="s">
        <v>248</v>
      </c>
      <c r="C29" t="s">
        <v>172</v>
      </c>
      <c r="D29" t="s">
        <v>195</v>
      </c>
      <c r="E29" t="s">
        <v>175</v>
      </c>
      <c r="G29">
        <v>251</v>
      </c>
      <c r="H29" t="s">
        <v>249</v>
      </c>
      <c r="I29">
        <v>0.01255</v>
      </c>
      <c r="J29" t="s">
        <v>138</v>
      </c>
      <c r="K29" t="s">
        <v>250</v>
      </c>
      <c r="L29" t="s">
        <v>251</v>
      </c>
    </row>
    <row r="30" spans="1:12" ht="12.75">
      <c r="A30" t="s">
        <v>261</v>
      </c>
      <c r="B30" t="s">
        <v>256</v>
      </c>
      <c r="C30" t="s">
        <v>172</v>
      </c>
      <c r="D30" t="s">
        <v>195</v>
      </c>
      <c r="E30" t="s">
        <v>175</v>
      </c>
      <c r="F30" t="s">
        <v>253</v>
      </c>
      <c r="G30">
        <v>0.14</v>
      </c>
      <c r="H30" t="s">
        <v>249</v>
      </c>
      <c r="I30">
        <v>5.04E-05</v>
      </c>
      <c r="J30" t="s">
        <v>138</v>
      </c>
      <c r="K30" t="s">
        <v>257</v>
      </c>
      <c r="L30" t="s">
        <v>258</v>
      </c>
    </row>
    <row r="31" spans="1:12" ht="12.75">
      <c r="A31" t="s">
        <v>261</v>
      </c>
      <c r="B31" t="s">
        <v>256</v>
      </c>
      <c r="C31" t="s">
        <v>172</v>
      </c>
      <c r="D31" t="s">
        <v>195</v>
      </c>
      <c r="E31" t="s">
        <v>29</v>
      </c>
      <c r="G31">
        <v>30</v>
      </c>
      <c r="H31" t="s">
        <v>249</v>
      </c>
      <c r="I31">
        <v>0.0108</v>
      </c>
      <c r="J31" t="s">
        <v>138</v>
      </c>
      <c r="K31" t="s">
        <v>257</v>
      </c>
      <c r="L31" t="s">
        <v>258</v>
      </c>
    </row>
    <row r="32" spans="1:12" ht="12.75">
      <c r="A32" t="s">
        <v>261</v>
      </c>
      <c r="B32" t="s">
        <v>252</v>
      </c>
      <c r="C32" t="s">
        <v>172</v>
      </c>
      <c r="D32" t="s">
        <v>195</v>
      </c>
      <c r="E32" t="s">
        <v>29</v>
      </c>
      <c r="G32">
        <v>665000</v>
      </c>
      <c r="H32" t="s">
        <v>249</v>
      </c>
      <c r="I32">
        <v>1588.02</v>
      </c>
      <c r="J32" t="s">
        <v>138</v>
      </c>
      <c r="K32" t="s">
        <v>254</v>
      </c>
      <c r="L32" t="s">
        <v>255</v>
      </c>
    </row>
    <row r="33" spans="1:12" ht="12.75">
      <c r="A33" t="s">
        <v>261</v>
      </c>
      <c r="B33" t="s">
        <v>252</v>
      </c>
      <c r="C33" t="s">
        <v>172</v>
      </c>
      <c r="D33" t="s">
        <v>195</v>
      </c>
      <c r="E33" t="s">
        <v>176</v>
      </c>
      <c r="G33">
        <v>3.25</v>
      </c>
      <c r="H33" t="s">
        <v>249</v>
      </c>
      <c r="I33">
        <v>0.007761</v>
      </c>
      <c r="J33" t="s">
        <v>138</v>
      </c>
      <c r="K33" t="s">
        <v>254</v>
      </c>
      <c r="L33" t="s">
        <v>255</v>
      </c>
    </row>
    <row r="34" spans="1:12" ht="12.75">
      <c r="A34" t="s">
        <v>261</v>
      </c>
      <c r="B34" t="s">
        <v>248</v>
      </c>
      <c r="C34" t="s">
        <v>172</v>
      </c>
      <c r="D34" t="s">
        <v>195</v>
      </c>
      <c r="E34" t="s">
        <v>176</v>
      </c>
      <c r="G34">
        <v>1160</v>
      </c>
      <c r="H34" t="s">
        <v>249</v>
      </c>
      <c r="I34">
        <v>0.058</v>
      </c>
      <c r="J34" t="s">
        <v>138</v>
      </c>
      <c r="K34" t="s">
        <v>250</v>
      </c>
      <c r="L34" t="s">
        <v>251</v>
      </c>
    </row>
    <row r="35" spans="1:12" ht="12.75">
      <c r="A35" t="s">
        <v>261</v>
      </c>
      <c r="B35" t="s">
        <v>256</v>
      </c>
      <c r="C35" t="s">
        <v>172</v>
      </c>
      <c r="D35" t="s">
        <v>195</v>
      </c>
      <c r="E35" t="s">
        <v>176</v>
      </c>
      <c r="F35" t="s">
        <v>253</v>
      </c>
      <c r="G35">
        <v>1.59</v>
      </c>
      <c r="H35" t="s">
        <v>249</v>
      </c>
      <c r="I35">
        <v>0.0005724</v>
      </c>
      <c r="J35" t="s">
        <v>138</v>
      </c>
      <c r="K35" t="s">
        <v>257</v>
      </c>
      <c r="L35" t="s">
        <v>258</v>
      </c>
    </row>
    <row r="36" spans="1:12" ht="12.75">
      <c r="A36" t="s">
        <v>261</v>
      </c>
      <c r="B36" t="s">
        <v>252</v>
      </c>
      <c r="C36" t="s">
        <v>172</v>
      </c>
      <c r="D36" t="s">
        <v>195</v>
      </c>
      <c r="E36" t="s">
        <v>178</v>
      </c>
      <c r="G36">
        <v>3.69</v>
      </c>
      <c r="H36" t="s">
        <v>249</v>
      </c>
      <c r="I36">
        <v>0.00881172</v>
      </c>
      <c r="J36" t="s">
        <v>138</v>
      </c>
      <c r="K36" t="s">
        <v>254</v>
      </c>
      <c r="L36" t="s">
        <v>255</v>
      </c>
    </row>
    <row r="37" spans="1:12" ht="12.75">
      <c r="A37" t="s">
        <v>261</v>
      </c>
      <c r="B37" t="s">
        <v>256</v>
      </c>
      <c r="C37" t="s">
        <v>172</v>
      </c>
      <c r="D37" t="s">
        <v>195</v>
      </c>
      <c r="E37" t="s">
        <v>178</v>
      </c>
      <c r="G37">
        <v>13.4</v>
      </c>
      <c r="H37" t="s">
        <v>249</v>
      </c>
      <c r="I37">
        <v>0.004824</v>
      </c>
      <c r="J37" t="s">
        <v>138</v>
      </c>
      <c r="K37" t="s">
        <v>257</v>
      </c>
      <c r="L37" t="s">
        <v>258</v>
      </c>
    </row>
    <row r="38" spans="1:12" ht="12.75">
      <c r="A38" t="s">
        <v>261</v>
      </c>
      <c r="B38" t="s">
        <v>248</v>
      </c>
      <c r="C38" t="s">
        <v>172</v>
      </c>
      <c r="D38" t="s">
        <v>195</v>
      </c>
      <c r="E38" t="s">
        <v>178</v>
      </c>
      <c r="G38">
        <v>4780</v>
      </c>
      <c r="H38" t="s">
        <v>249</v>
      </c>
      <c r="I38">
        <v>0.239</v>
      </c>
      <c r="J38" t="s">
        <v>138</v>
      </c>
      <c r="K38" t="s">
        <v>250</v>
      </c>
      <c r="L38" t="s">
        <v>251</v>
      </c>
    </row>
    <row r="39" spans="1:8" ht="12.75">
      <c r="A39" t="s">
        <v>261</v>
      </c>
      <c r="B39" t="s">
        <v>252</v>
      </c>
      <c r="C39" t="s">
        <v>172</v>
      </c>
      <c r="D39" t="s">
        <v>195</v>
      </c>
      <c r="E39" t="s">
        <v>259</v>
      </c>
      <c r="G39">
        <v>2388</v>
      </c>
      <c r="H39" t="s">
        <v>138</v>
      </c>
    </row>
    <row r="40" spans="1:8" ht="12.75">
      <c r="A40" t="s">
        <v>261</v>
      </c>
      <c r="B40" t="s">
        <v>256</v>
      </c>
      <c r="C40" t="s">
        <v>172</v>
      </c>
      <c r="D40" t="s">
        <v>195</v>
      </c>
      <c r="E40" t="s">
        <v>259</v>
      </c>
      <c r="G40">
        <v>360</v>
      </c>
      <c r="H40" t="s">
        <v>138</v>
      </c>
    </row>
    <row r="41" spans="1:8" ht="12.75">
      <c r="A41" t="s">
        <v>261</v>
      </c>
      <c r="B41" t="s">
        <v>248</v>
      </c>
      <c r="C41" t="s">
        <v>172</v>
      </c>
      <c r="D41" t="s">
        <v>195</v>
      </c>
      <c r="E41" t="s">
        <v>259</v>
      </c>
      <c r="G41">
        <v>50</v>
      </c>
      <c r="H41" t="s">
        <v>138</v>
      </c>
    </row>
    <row r="42" spans="1:7" ht="12.75">
      <c r="A42" t="s">
        <v>261</v>
      </c>
      <c r="B42" t="s">
        <v>252</v>
      </c>
      <c r="C42" t="s">
        <v>172</v>
      </c>
      <c r="D42" t="s">
        <v>195</v>
      </c>
      <c r="E42" t="s">
        <v>28</v>
      </c>
      <c r="G42">
        <v>2.57</v>
      </c>
    </row>
    <row r="43" spans="1:7" ht="12.75">
      <c r="A43" t="s">
        <v>261</v>
      </c>
      <c r="B43" t="s">
        <v>256</v>
      </c>
      <c r="C43" t="s">
        <v>172</v>
      </c>
      <c r="D43" t="s">
        <v>195</v>
      </c>
      <c r="E43" t="s">
        <v>28</v>
      </c>
      <c r="G43">
        <v>0.012</v>
      </c>
    </row>
    <row r="44" spans="1:7" ht="12.75">
      <c r="A44" t="s">
        <v>261</v>
      </c>
      <c r="B44" t="s">
        <v>248</v>
      </c>
      <c r="C44" t="s">
        <v>172</v>
      </c>
      <c r="D44" t="s">
        <v>195</v>
      </c>
      <c r="E44" t="s">
        <v>28</v>
      </c>
      <c r="G44">
        <v>0</v>
      </c>
    </row>
    <row r="45" spans="1:7" ht="12.75">
      <c r="A45" t="s">
        <v>261</v>
      </c>
      <c r="B45" t="s">
        <v>252</v>
      </c>
      <c r="C45" t="s">
        <v>172</v>
      </c>
      <c r="D45" t="s">
        <v>195</v>
      </c>
      <c r="E45" t="s">
        <v>260</v>
      </c>
      <c r="G45">
        <v>7332</v>
      </c>
    </row>
    <row r="46" spans="1:7" ht="12.75">
      <c r="A46" t="s">
        <v>261</v>
      </c>
      <c r="B46" t="s">
        <v>256</v>
      </c>
      <c r="C46" t="s">
        <v>172</v>
      </c>
      <c r="D46" t="s">
        <v>195</v>
      </c>
      <c r="E46" t="s">
        <v>260</v>
      </c>
      <c r="G46">
        <v>18660</v>
      </c>
    </row>
    <row r="47" spans="1:7" ht="12.75">
      <c r="A47" t="s">
        <v>261</v>
      </c>
      <c r="B47" t="s">
        <v>248</v>
      </c>
      <c r="C47" t="s">
        <v>172</v>
      </c>
      <c r="D47" t="s">
        <v>195</v>
      </c>
      <c r="E47" t="s">
        <v>260</v>
      </c>
      <c r="G47">
        <v>0</v>
      </c>
    </row>
    <row r="48" spans="1:12" ht="12.75">
      <c r="A48" t="s">
        <v>262</v>
      </c>
      <c r="B48" t="s">
        <v>248</v>
      </c>
      <c r="C48" t="s">
        <v>172</v>
      </c>
      <c r="D48" t="s">
        <v>196</v>
      </c>
      <c r="E48" t="s">
        <v>174</v>
      </c>
      <c r="G48">
        <v>658</v>
      </c>
      <c r="H48" t="s">
        <v>249</v>
      </c>
      <c r="I48">
        <v>0.0329</v>
      </c>
      <c r="J48" t="s">
        <v>138</v>
      </c>
      <c r="K48" t="s">
        <v>250</v>
      </c>
      <c r="L48" t="s">
        <v>251</v>
      </c>
    </row>
    <row r="49" spans="1:12" ht="12.75">
      <c r="A49" t="s">
        <v>262</v>
      </c>
      <c r="B49" t="s">
        <v>252</v>
      </c>
      <c r="C49" t="s">
        <v>172</v>
      </c>
      <c r="D49" t="s">
        <v>196</v>
      </c>
      <c r="E49" t="s">
        <v>174</v>
      </c>
      <c r="F49" t="s">
        <v>253</v>
      </c>
      <c r="G49">
        <v>0.37</v>
      </c>
      <c r="H49" t="s">
        <v>249</v>
      </c>
      <c r="I49">
        <v>0.00089022</v>
      </c>
      <c r="J49" t="s">
        <v>138</v>
      </c>
      <c r="K49" t="s">
        <v>254</v>
      </c>
      <c r="L49" t="s">
        <v>255</v>
      </c>
    </row>
    <row r="50" spans="1:12" ht="12.75">
      <c r="A50" t="s">
        <v>262</v>
      </c>
      <c r="B50" t="s">
        <v>256</v>
      </c>
      <c r="C50" t="s">
        <v>172</v>
      </c>
      <c r="D50" t="s">
        <v>196</v>
      </c>
      <c r="E50" t="s">
        <v>174</v>
      </c>
      <c r="F50" t="s">
        <v>253</v>
      </c>
      <c r="G50">
        <v>6.87</v>
      </c>
      <c r="H50" t="s">
        <v>249</v>
      </c>
      <c r="I50">
        <v>0.0024732</v>
      </c>
      <c r="J50" t="s">
        <v>138</v>
      </c>
      <c r="K50" t="s">
        <v>257</v>
      </c>
      <c r="L50" t="s">
        <v>258</v>
      </c>
    </row>
    <row r="51" spans="1:12" ht="12.75">
      <c r="A51" t="s">
        <v>262</v>
      </c>
      <c r="B51" t="s">
        <v>256</v>
      </c>
      <c r="C51" t="s">
        <v>172</v>
      </c>
      <c r="D51" t="s">
        <v>196</v>
      </c>
      <c r="E51" t="s">
        <v>175</v>
      </c>
      <c r="G51">
        <v>0.131</v>
      </c>
      <c r="H51" t="s">
        <v>249</v>
      </c>
      <c r="I51">
        <v>4.716E-05</v>
      </c>
      <c r="J51" t="s">
        <v>138</v>
      </c>
      <c r="K51" t="s">
        <v>257</v>
      </c>
      <c r="L51" t="s">
        <v>258</v>
      </c>
    </row>
    <row r="52" spans="1:12" ht="12.75">
      <c r="A52" t="s">
        <v>262</v>
      </c>
      <c r="B52" t="s">
        <v>252</v>
      </c>
      <c r="C52" t="s">
        <v>172</v>
      </c>
      <c r="D52" t="s">
        <v>196</v>
      </c>
      <c r="E52" t="s">
        <v>175</v>
      </c>
      <c r="G52">
        <v>0.527</v>
      </c>
      <c r="H52" t="s">
        <v>249</v>
      </c>
      <c r="I52">
        <v>0.001267962</v>
      </c>
      <c r="J52" t="s">
        <v>138</v>
      </c>
      <c r="K52" t="s">
        <v>254</v>
      </c>
      <c r="L52" t="s">
        <v>255</v>
      </c>
    </row>
    <row r="53" spans="1:12" ht="12.75">
      <c r="A53" t="s">
        <v>262</v>
      </c>
      <c r="B53" t="s">
        <v>248</v>
      </c>
      <c r="C53" t="s">
        <v>172</v>
      </c>
      <c r="D53" t="s">
        <v>196</v>
      </c>
      <c r="E53" t="s">
        <v>175</v>
      </c>
      <c r="G53">
        <v>252</v>
      </c>
      <c r="H53" t="s">
        <v>249</v>
      </c>
      <c r="I53">
        <v>0.0126</v>
      </c>
      <c r="J53" t="s">
        <v>138</v>
      </c>
      <c r="K53" t="s">
        <v>250</v>
      </c>
      <c r="L53" t="s">
        <v>251</v>
      </c>
    </row>
    <row r="54" spans="1:12" ht="12.75">
      <c r="A54" t="s">
        <v>262</v>
      </c>
      <c r="B54" t="s">
        <v>256</v>
      </c>
      <c r="C54" t="s">
        <v>172</v>
      </c>
      <c r="D54" t="s">
        <v>196</v>
      </c>
      <c r="E54" t="s">
        <v>29</v>
      </c>
      <c r="G54">
        <v>35</v>
      </c>
      <c r="H54" t="s">
        <v>249</v>
      </c>
      <c r="I54">
        <v>0.0126</v>
      </c>
      <c r="J54" t="s">
        <v>138</v>
      </c>
      <c r="K54" t="s">
        <v>257</v>
      </c>
      <c r="L54" t="s">
        <v>258</v>
      </c>
    </row>
    <row r="55" spans="1:12" ht="12.75">
      <c r="A55" t="s">
        <v>262</v>
      </c>
      <c r="B55" t="s">
        <v>252</v>
      </c>
      <c r="C55" t="s">
        <v>172</v>
      </c>
      <c r="D55" t="s">
        <v>196</v>
      </c>
      <c r="E55" t="s">
        <v>29</v>
      </c>
      <c r="G55">
        <v>678000</v>
      </c>
      <c r="H55" t="s">
        <v>249</v>
      </c>
      <c r="I55">
        <v>1631.268</v>
      </c>
      <c r="J55" t="s">
        <v>138</v>
      </c>
      <c r="K55" t="s">
        <v>254</v>
      </c>
      <c r="L55" t="s">
        <v>255</v>
      </c>
    </row>
    <row r="56" spans="1:12" ht="12.75">
      <c r="A56" t="s">
        <v>262</v>
      </c>
      <c r="B56" t="s">
        <v>252</v>
      </c>
      <c r="C56" t="s">
        <v>172</v>
      </c>
      <c r="D56" t="s">
        <v>196</v>
      </c>
      <c r="E56" t="s">
        <v>176</v>
      </c>
      <c r="G56">
        <v>2.92</v>
      </c>
      <c r="H56" t="s">
        <v>249</v>
      </c>
      <c r="I56">
        <v>0.00702552</v>
      </c>
      <c r="J56" t="s">
        <v>138</v>
      </c>
      <c r="K56" t="s">
        <v>254</v>
      </c>
      <c r="L56" t="s">
        <v>255</v>
      </c>
    </row>
    <row r="57" spans="1:12" ht="12.75">
      <c r="A57" t="s">
        <v>262</v>
      </c>
      <c r="B57" t="s">
        <v>248</v>
      </c>
      <c r="C57" t="s">
        <v>172</v>
      </c>
      <c r="D57" t="s">
        <v>196</v>
      </c>
      <c r="E57" t="s">
        <v>176</v>
      </c>
      <c r="G57">
        <v>1160</v>
      </c>
      <c r="H57" t="s">
        <v>249</v>
      </c>
      <c r="I57">
        <v>0.058</v>
      </c>
      <c r="J57" t="s">
        <v>138</v>
      </c>
      <c r="K57" t="s">
        <v>250</v>
      </c>
      <c r="L57" t="s">
        <v>251</v>
      </c>
    </row>
    <row r="58" spans="1:12" ht="12.75">
      <c r="A58" t="s">
        <v>262</v>
      </c>
      <c r="B58" t="s">
        <v>256</v>
      </c>
      <c r="C58" t="s">
        <v>172</v>
      </c>
      <c r="D58" t="s">
        <v>196</v>
      </c>
      <c r="E58" t="s">
        <v>176</v>
      </c>
      <c r="F58" t="s">
        <v>253</v>
      </c>
      <c r="G58">
        <v>1.35</v>
      </c>
      <c r="H58" t="s">
        <v>249</v>
      </c>
      <c r="I58">
        <v>0.000486</v>
      </c>
      <c r="J58" t="s">
        <v>138</v>
      </c>
      <c r="K58" t="s">
        <v>257</v>
      </c>
      <c r="L58" t="s">
        <v>258</v>
      </c>
    </row>
    <row r="59" spans="1:12" ht="12.75">
      <c r="A59" t="s">
        <v>262</v>
      </c>
      <c r="B59" t="s">
        <v>252</v>
      </c>
      <c r="C59" t="s">
        <v>172</v>
      </c>
      <c r="D59" t="s">
        <v>196</v>
      </c>
      <c r="E59" t="s">
        <v>178</v>
      </c>
      <c r="G59">
        <v>3.57</v>
      </c>
      <c r="H59" t="s">
        <v>249</v>
      </c>
      <c r="I59">
        <v>0.00858942</v>
      </c>
      <c r="J59" t="s">
        <v>138</v>
      </c>
      <c r="K59" t="s">
        <v>254</v>
      </c>
      <c r="L59" t="s">
        <v>255</v>
      </c>
    </row>
    <row r="60" spans="1:12" ht="12.75">
      <c r="A60" t="s">
        <v>262</v>
      </c>
      <c r="B60" t="s">
        <v>256</v>
      </c>
      <c r="C60" t="s">
        <v>172</v>
      </c>
      <c r="D60" t="s">
        <v>196</v>
      </c>
      <c r="E60" t="s">
        <v>178</v>
      </c>
      <c r="G60">
        <v>12.1</v>
      </c>
      <c r="H60" t="s">
        <v>249</v>
      </c>
      <c r="I60">
        <v>0.004356</v>
      </c>
      <c r="J60" t="s">
        <v>138</v>
      </c>
      <c r="K60" t="s">
        <v>257</v>
      </c>
      <c r="L60" t="s">
        <v>258</v>
      </c>
    </row>
    <row r="61" spans="1:12" ht="12.75">
      <c r="A61" t="s">
        <v>262</v>
      </c>
      <c r="B61" t="s">
        <v>248</v>
      </c>
      <c r="C61" t="s">
        <v>172</v>
      </c>
      <c r="D61" t="s">
        <v>196</v>
      </c>
      <c r="E61" t="s">
        <v>178</v>
      </c>
      <c r="G61">
        <v>4790</v>
      </c>
      <c r="H61" t="s">
        <v>249</v>
      </c>
      <c r="I61">
        <v>0.2395</v>
      </c>
      <c r="J61" t="s">
        <v>138</v>
      </c>
      <c r="K61" t="s">
        <v>250</v>
      </c>
      <c r="L61" t="s">
        <v>251</v>
      </c>
    </row>
    <row r="62" spans="1:8" ht="12.75">
      <c r="A62" t="s">
        <v>262</v>
      </c>
      <c r="B62" t="s">
        <v>252</v>
      </c>
      <c r="C62" t="s">
        <v>172</v>
      </c>
      <c r="D62" t="s">
        <v>196</v>
      </c>
      <c r="E62" t="s">
        <v>259</v>
      </c>
      <c r="G62">
        <v>2406</v>
      </c>
      <c r="H62" t="s">
        <v>138</v>
      </c>
    </row>
    <row r="63" spans="1:8" ht="12.75">
      <c r="A63" t="s">
        <v>262</v>
      </c>
      <c r="B63" t="s">
        <v>256</v>
      </c>
      <c r="C63" t="s">
        <v>172</v>
      </c>
      <c r="D63" t="s">
        <v>196</v>
      </c>
      <c r="E63" t="s">
        <v>259</v>
      </c>
      <c r="G63">
        <v>360</v>
      </c>
      <c r="H63" t="s">
        <v>138</v>
      </c>
    </row>
    <row r="64" spans="1:8" ht="12.75">
      <c r="A64" t="s">
        <v>262</v>
      </c>
      <c r="B64" t="s">
        <v>248</v>
      </c>
      <c r="C64" t="s">
        <v>172</v>
      </c>
      <c r="D64" t="s">
        <v>196</v>
      </c>
      <c r="E64" t="s">
        <v>259</v>
      </c>
      <c r="G64">
        <v>50</v>
      </c>
      <c r="H64" t="s">
        <v>138</v>
      </c>
    </row>
    <row r="65" spans="1:7" ht="12.75">
      <c r="A65" t="s">
        <v>262</v>
      </c>
      <c r="B65" t="s">
        <v>252</v>
      </c>
      <c r="C65" t="s">
        <v>172</v>
      </c>
      <c r="D65" t="s">
        <v>196</v>
      </c>
      <c r="E65" t="s">
        <v>28</v>
      </c>
      <c r="G65">
        <v>1.28</v>
      </c>
    </row>
    <row r="66" spans="1:7" ht="12.75">
      <c r="A66" t="s">
        <v>262</v>
      </c>
      <c r="B66" t="s">
        <v>256</v>
      </c>
      <c r="C66" t="s">
        <v>172</v>
      </c>
      <c r="D66" t="s">
        <v>196</v>
      </c>
      <c r="E66" t="s">
        <v>28</v>
      </c>
      <c r="G66">
        <v>0.012</v>
      </c>
    </row>
    <row r="67" spans="1:7" ht="12.75">
      <c r="A67" t="s">
        <v>262</v>
      </c>
      <c r="B67" t="s">
        <v>248</v>
      </c>
      <c r="C67" t="s">
        <v>172</v>
      </c>
      <c r="D67" t="s">
        <v>196</v>
      </c>
      <c r="E67" t="s">
        <v>28</v>
      </c>
      <c r="G67">
        <v>0</v>
      </c>
    </row>
    <row r="68" spans="1:7" ht="12.75">
      <c r="A68" t="s">
        <v>262</v>
      </c>
      <c r="B68" t="s">
        <v>252</v>
      </c>
      <c r="C68" t="s">
        <v>172</v>
      </c>
      <c r="D68" t="s">
        <v>196</v>
      </c>
      <c r="E68" t="s">
        <v>260</v>
      </c>
      <c r="G68">
        <v>7588</v>
      </c>
    </row>
    <row r="69" spans="1:7" ht="12.75">
      <c r="A69" t="s">
        <v>262</v>
      </c>
      <c r="B69" t="s">
        <v>256</v>
      </c>
      <c r="C69" t="s">
        <v>172</v>
      </c>
      <c r="D69" t="s">
        <v>196</v>
      </c>
      <c r="E69" t="s">
        <v>260</v>
      </c>
      <c r="G69">
        <v>19249</v>
      </c>
    </row>
    <row r="70" spans="1:7" ht="12.75">
      <c r="A70" t="s">
        <v>262</v>
      </c>
      <c r="B70" t="s">
        <v>248</v>
      </c>
      <c r="C70" t="s">
        <v>172</v>
      </c>
      <c r="D70" t="s">
        <v>196</v>
      </c>
      <c r="E70" t="s">
        <v>260</v>
      </c>
      <c r="G70">
        <v>0</v>
      </c>
    </row>
    <row r="71" spans="1:12" ht="12.75">
      <c r="A71" t="s">
        <v>263</v>
      </c>
      <c r="B71" t="s">
        <v>256</v>
      </c>
      <c r="C71" t="s">
        <v>179</v>
      </c>
      <c r="D71" t="s">
        <v>194</v>
      </c>
      <c r="E71" t="s">
        <v>29</v>
      </c>
      <c r="G71">
        <v>82.3045267489712</v>
      </c>
      <c r="H71" t="s">
        <v>249</v>
      </c>
      <c r="I71">
        <v>0.02</v>
      </c>
      <c r="J71" t="s">
        <v>138</v>
      </c>
      <c r="K71" t="s">
        <v>257</v>
      </c>
      <c r="L71" t="s">
        <v>258</v>
      </c>
    </row>
    <row r="72" spans="1:12" ht="12.75">
      <c r="A72" t="s">
        <v>263</v>
      </c>
      <c r="B72" t="s">
        <v>252</v>
      </c>
      <c r="C72" t="s">
        <v>179</v>
      </c>
      <c r="D72" t="s">
        <v>194</v>
      </c>
      <c r="E72" t="s">
        <v>30</v>
      </c>
      <c r="G72">
        <v>683087.0279146141</v>
      </c>
      <c r="H72" t="s">
        <v>249</v>
      </c>
      <c r="I72">
        <v>1664</v>
      </c>
      <c r="J72" t="s">
        <v>138</v>
      </c>
      <c r="K72" t="s">
        <v>254</v>
      </c>
      <c r="L72" t="s">
        <v>255</v>
      </c>
    </row>
    <row r="73" spans="1:12" ht="12.75">
      <c r="A73" t="s">
        <v>263</v>
      </c>
      <c r="B73" t="s">
        <v>252</v>
      </c>
      <c r="C73" t="s">
        <v>179</v>
      </c>
      <c r="D73" t="s">
        <v>194</v>
      </c>
      <c r="E73" t="s">
        <v>189</v>
      </c>
      <c r="G73">
        <v>279.14614121510675</v>
      </c>
      <c r="H73" t="s">
        <v>249</v>
      </c>
      <c r="I73">
        <v>0.68</v>
      </c>
      <c r="J73" t="s">
        <v>138</v>
      </c>
      <c r="K73" t="s">
        <v>254</v>
      </c>
      <c r="L73" t="s">
        <v>255</v>
      </c>
    </row>
    <row r="74" spans="1:12" ht="12.75">
      <c r="A74" t="s">
        <v>263</v>
      </c>
      <c r="B74" t="s">
        <v>256</v>
      </c>
      <c r="C74" t="s">
        <v>179</v>
      </c>
      <c r="D74" t="s">
        <v>194</v>
      </c>
      <c r="E74" t="s">
        <v>189</v>
      </c>
      <c r="F74" t="s">
        <v>253</v>
      </c>
      <c r="G74">
        <v>16</v>
      </c>
      <c r="H74" t="s">
        <v>249</v>
      </c>
      <c r="I74">
        <v>0.003888</v>
      </c>
      <c r="J74" t="s">
        <v>138</v>
      </c>
      <c r="K74" t="s">
        <v>257</v>
      </c>
      <c r="L74" t="s">
        <v>258</v>
      </c>
    </row>
    <row r="75" spans="1:8" ht="12.75">
      <c r="A75" t="s">
        <v>263</v>
      </c>
      <c r="B75" t="s">
        <v>252</v>
      </c>
      <c r="C75" t="s">
        <v>179</v>
      </c>
      <c r="D75" t="s">
        <v>194</v>
      </c>
      <c r="E75" t="s">
        <v>259</v>
      </c>
      <c r="G75">
        <v>2436</v>
      </c>
      <c r="H75" t="s">
        <v>138</v>
      </c>
    </row>
    <row r="76" spans="1:8" ht="12.75">
      <c r="A76" t="s">
        <v>263</v>
      </c>
      <c r="B76" t="s">
        <v>256</v>
      </c>
      <c r="C76" t="s">
        <v>179</v>
      </c>
      <c r="D76" t="s">
        <v>194</v>
      </c>
      <c r="E76" t="s">
        <v>259</v>
      </c>
      <c r="G76">
        <v>243</v>
      </c>
      <c r="H76" t="s">
        <v>138</v>
      </c>
    </row>
    <row r="77" spans="1:7" ht="12.75">
      <c r="A77" t="s">
        <v>263</v>
      </c>
      <c r="B77" t="s">
        <v>252</v>
      </c>
      <c r="C77" t="s">
        <v>179</v>
      </c>
      <c r="D77" t="s">
        <v>194</v>
      </c>
      <c r="E77" t="s">
        <v>28</v>
      </c>
      <c r="G77">
        <v>0.02</v>
      </c>
    </row>
    <row r="78" spans="1:7" ht="12.75">
      <c r="A78" t="s">
        <v>263</v>
      </c>
      <c r="B78" t="s">
        <v>256</v>
      </c>
      <c r="C78" t="s">
        <v>179</v>
      </c>
      <c r="D78" t="s">
        <v>194</v>
      </c>
      <c r="E78" t="s">
        <v>28</v>
      </c>
      <c r="G78">
        <v>0.07</v>
      </c>
    </row>
    <row r="79" spans="1:7" ht="12.75">
      <c r="A79" t="s">
        <v>263</v>
      </c>
      <c r="B79" t="s">
        <v>252</v>
      </c>
      <c r="C79" t="s">
        <v>179</v>
      </c>
      <c r="D79" t="s">
        <v>194</v>
      </c>
      <c r="E79" t="s">
        <v>260</v>
      </c>
      <c r="G79">
        <v>6031</v>
      </c>
    </row>
    <row r="80" spans="1:7" ht="12.75">
      <c r="A80" t="s">
        <v>263</v>
      </c>
      <c r="B80" t="s">
        <v>256</v>
      </c>
      <c r="C80" t="s">
        <v>179</v>
      </c>
      <c r="D80" t="s">
        <v>194</v>
      </c>
      <c r="E80" t="s">
        <v>260</v>
      </c>
      <c r="G80">
        <v>19070</v>
      </c>
    </row>
    <row r="81" spans="1:12" ht="12.75">
      <c r="A81" t="s">
        <v>264</v>
      </c>
      <c r="B81" t="s">
        <v>248</v>
      </c>
      <c r="C81" t="s">
        <v>179</v>
      </c>
      <c r="D81" t="s">
        <v>195</v>
      </c>
      <c r="E81" t="s">
        <v>174</v>
      </c>
      <c r="G81">
        <v>726</v>
      </c>
      <c r="H81" t="s">
        <v>249</v>
      </c>
      <c r="I81">
        <v>0.0368808</v>
      </c>
      <c r="J81" t="s">
        <v>138</v>
      </c>
      <c r="K81" t="s">
        <v>250</v>
      </c>
      <c r="L81" t="s">
        <v>251</v>
      </c>
    </row>
    <row r="82" spans="1:12" ht="12.75">
      <c r="A82" t="s">
        <v>264</v>
      </c>
      <c r="B82" t="s">
        <v>252</v>
      </c>
      <c r="C82" t="s">
        <v>179</v>
      </c>
      <c r="D82" t="s">
        <v>195</v>
      </c>
      <c r="E82" t="s">
        <v>174</v>
      </c>
      <c r="F82" t="s">
        <v>253</v>
      </c>
      <c r="G82">
        <v>7.85</v>
      </c>
      <c r="H82" t="s">
        <v>249</v>
      </c>
      <c r="I82">
        <v>0.0190755</v>
      </c>
      <c r="J82" t="s">
        <v>138</v>
      </c>
      <c r="K82" t="s">
        <v>254</v>
      </c>
      <c r="L82" t="s">
        <v>255</v>
      </c>
    </row>
    <row r="83" spans="1:12" ht="12.75">
      <c r="A83" t="s">
        <v>264</v>
      </c>
      <c r="B83" t="s">
        <v>256</v>
      </c>
      <c r="C83" t="s">
        <v>179</v>
      </c>
      <c r="D83" t="s">
        <v>195</v>
      </c>
      <c r="E83" t="s">
        <v>174</v>
      </c>
      <c r="F83" t="s">
        <v>253</v>
      </c>
      <c r="G83">
        <v>7.93</v>
      </c>
      <c r="H83" t="s">
        <v>249</v>
      </c>
      <c r="I83">
        <v>0.00195078</v>
      </c>
      <c r="J83" t="s">
        <v>138</v>
      </c>
      <c r="K83" t="s">
        <v>257</v>
      </c>
      <c r="L83" t="s">
        <v>258</v>
      </c>
    </row>
    <row r="84" spans="1:12" ht="12.75">
      <c r="A84" t="s">
        <v>264</v>
      </c>
      <c r="B84" t="s">
        <v>248</v>
      </c>
      <c r="C84" t="s">
        <v>179</v>
      </c>
      <c r="D84" t="s">
        <v>195</v>
      </c>
      <c r="E84" t="s">
        <v>175</v>
      </c>
      <c r="G84">
        <v>261</v>
      </c>
      <c r="H84" t="s">
        <v>249</v>
      </c>
      <c r="I84">
        <v>0.0132588</v>
      </c>
      <c r="J84" t="s">
        <v>138</v>
      </c>
      <c r="K84" t="s">
        <v>250</v>
      </c>
      <c r="L84" t="s">
        <v>251</v>
      </c>
    </row>
    <row r="85" spans="1:12" ht="12.75">
      <c r="A85" t="s">
        <v>264</v>
      </c>
      <c r="B85" t="s">
        <v>252</v>
      </c>
      <c r="C85" t="s">
        <v>179</v>
      </c>
      <c r="D85" t="s">
        <v>195</v>
      </c>
      <c r="E85" t="s">
        <v>175</v>
      </c>
      <c r="F85" t="s">
        <v>253</v>
      </c>
      <c r="G85">
        <v>0.42</v>
      </c>
      <c r="H85" t="s">
        <v>249</v>
      </c>
      <c r="I85">
        <v>0.0010206</v>
      </c>
      <c r="J85" t="s">
        <v>138</v>
      </c>
      <c r="K85" t="s">
        <v>254</v>
      </c>
      <c r="L85" t="s">
        <v>255</v>
      </c>
    </row>
    <row r="86" spans="1:12" ht="12.75">
      <c r="A86" t="s">
        <v>264</v>
      </c>
      <c r="B86" t="s">
        <v>256</v>
      </c>
      <c r="C86" t="s">
        <v>179</v>
      </c>
      <c r="D86" t="s">
        <v>195</v>
      </c>
      <c r="E86" t="s">
        <v>175</v>
      </c>
      <c r="F86" t="s">
        <v>253</v>
      </c>
      <c r="G86">
        <v>0.43</v>
      </c>
      <c r="H86" t="s">
        <v>249</v>
      </c>
      <c r="I86">
        <v>0.00010578</v>
      </c>
      <c r="J86" t="s">
        <v>138</v>
      </c>
      <c r="K86" t="s">
        <v>257</v>
      </c>
      <c r="L86" t="s">
        <v>258</v>
      </c>
    </row>
    <row r="87" spans="1:12" ht="12.75">
      <c r="A87" t="s">
        <v>264</v>
      </c>
      <c r="B87" t="s">
        <v>256</v>
      </c>
      <c r="C87" t="s">
        <v>179</v>
      </c>
      <c r="D87" t="s">
        <v>195</v>
      </c>
      <c r="E87" t="s">
        <v>29</v>
      </c>
      <c r="G87">
        <v>569.10569105691</v>
      </c>
      <c r="H87" t="s">
        <v>249</v>
      </c>
      <c r="I87">
        <v>0.14</v>
      </c>
      <c r="J87" t="s">
        <v>138</v>
      </c>
      <c r="K87" t="s">
        <v>257</v>
      </c>
      <c r="L87" t="s">
        <v>258</v>
      </c>
    </row>
    <row r="88" spans="1:12" ht="12.75">
      <c r="A88" t="s">
        <v>264</v>
      </c>
      <c r="B88" t="s">
        <v>248</v>
      </c>
      <c r="C88" t="s">
        <v>179</v>
      </c>
      <c r="D88" t="s">
        <v>195</v>
      </c>
      <c r="E88" t="s">
        <v>176</v>
      </c>
      <c r="G88">
        <v>1095</v>
      </c>
      <c r="H88" t="s">
        <v>249</v>
      </c>
      <c r="I88">
        <v>0.055626</v>
      </c>
      <c r="J88" t="s">
        <v>138</v>
      </c>
      <c r="K88" t="s">
        <v>250</v>
      </c>
      <c r="L88" t="s">
        <v>251</v>
      </c>
    </row>
    <row r="89" spans="1:12" ht="12.75">
      <c r="A89" t="s">
        <v>264</v>
      </c>
      <c r="B89" t="s">
        <v>252</v>
      </c>
      <c r="C89" t="s">
        <v>179</v>
      </c>
      <c r="D89" t="s">
        <v>195</v>
      </c>
      <c r="E89" t="s">
        <v>176</v>
      </c>
      <c r="F89" t="s">
        <v>253</v>
      </c>
      <c r="G89">
        <v>1.28</v>
      </c>
      <c r="H89" t="s">
        <v>249</v>
      </c>
      <c r="I89">
        <v>0.0031104</v>
      </c>
      <c r="J89" t="s">
        <v>138</v>
      </c>
      <c r="K89" t="s">
        <v>254</v>
      </c>
      <c r="L89" t="s">
        <v>255</v>
      </c>
    </row>
    <row r="90" spans="1:12" ht="12.75">
      <c r="A90" t="s">
        <v>264</v>
      </c>
      <c r="B90" t="s">
        <v>256</v>
      </c>
      <c r="C90" t="s">
        <v>179</v>
      </c>
      <c r="D90" t="s">
        <v>195</v>
      </c>
      <c r="E90" t="s">
        <v>176</v>
      </c>
      <c r="F90" t="s">
        <v>253</v>
      </c>
      <c r="G90">
        <v>1.3</v>
      </c>
      <c r="H90" t="s">
        <v>249</v>
      </c>
      <c r="I90">
        <v>0.0003198</v>
      </c>
      <c r="J90" t="s">
        <v>138</v>
      </c>
      <c r="K90" t="s">
        <v>257</v>
      </c>
      <c r="L90" t="s">
        <v>258</v>
      </c>
    </row>
    <row r="91" spans="1:12" ht="12.75">
      <c r="A91" t="s">
        <v>264</v>
      </c>
      <c r="B91" t="s">
        <v>252</v>
      </c>
      <c r="C91" t="s">
        <v>179</v>
      </c>
      <c r="D91" t="s">
        <v>195</v>
      </c>
      <c r="E91" t="s">
        <v>30</v>
      </c>
      <c r="G91">
        <v>686831.2757201646</v>
      </c>
      <c r="H91" t="s">
        <v>249</v>
      </c>
      <c r="I91">
        <v>1669</v>
      </c>
      <c r="J91" t="s">
        <v>138</v>
      </c>
      <c r="K91" t="s">
        <v>254</v>
      </c>
      <c r="L91" t="s">
        <v>255</v>
      </c>
    </row>
    <row r="92" spans="1:12" ht="12.75">
      <c r="A92" t="s">
        <v>264</v>
      </c>
      <c r="B92" t="s">
        <v>252</v>
      </c>
      <c r="C92" t="s">
        <v>179</v>
      </c>
      <c r="D92" t="s">
        <v>195</v>
      </c>
      <c r="E92" t="s">
        <v>189</v>
      </c>
      <c r="G92">
        <v>267.4897119341564</v>
      </c>
      <c r="H92" t="s">
        <v>249</v>
      </c>
      <c r="I92">
        <v>0.65</v>
      </c>
      <c r="J92" t="s">
        <v>138</v>
      </c>
      <c r="K92" t="s">
        <v>254</v>
      </c>
      <c r="L92" t="s">
        <v>255</v>
      </c>
    </row>
    <row r="93" spans="1:12" ht="12.75">
      <c r="A93" t="s">
        <v>264</v>
      </c>
      <c r="B93" t="s">
        <v>256</v>
      </c>
      <c r="C93" t="s">
        <v>179</v>
      </c>
      <c r="D93" t="s">
        <v>195</v>
      </c>
      <c r="E93" t="s">
        <v>189</v>
      </c>
      <c r="F93" t="s">
        <v>253</v>
      </c>
      <c r="G93">
        <v>13</v>
      </c>
      <c r="H93" t="s">
        <v>249</v>
      </c>
      <c r="I93">
        <v>0.003198</v>
      </c>
      <c r="J93" t="s">
        <v>138</v>
      </c>
      <c r="K93" t="s">
        <v>257</v>
      </c>
      <c r="L93" t="s">
        <v>258</v>
      </c>
    </row>
    <row r="94" spans="1:12" ht="12.75">
      <c r="A94" t="s">
        <v>264</v>
      </c>
      <c r="B94" t="s">
        <v>256</v>
      </c>
      <c r="C94" t="s">
        <v>179</v>
      </c>
      <c r="D94" t="s">
        <v>195</v>
      </c>
      <c r="E94" t="s">
        <v>178</v>
      </c>
      <c r="G94">
        <v>4.55</v>
      </c>
      <c r="H94" t="s">
        <v>249</v>
      </c>
      <c r="I94">
        <v>0.0011193</v>
      </c>
      <c r="J94" t="s">
        <v>138</v>
      </c>
      <c r="K94" t="s">
        <v>257</v>
      </c>
      <c r="L94" t="s">
        <v>258</v>
      </c>
    </row>
    <row r="95" spans="1:12" ht="12.75">
      <c r="A95" t="s">
        <v>264</v>
      </c>
      <c r="B95" t="s">
        <v>248</v>
      </c>
      <c r="C95" t="s">
        <v>179</v>
      </c>
      <c r="D95" t="s">
        <v>195</v>
      </c>
      <c r="E95" t="s">
        <v>178</v>
      </c>
      <c r="G95">
        <v>4727</v>
      </c>
      <c r="H95" t="s">
        <v>249</v>
      </c>
      <c r="I95">
        <v>0.2401316</v>
      </c>
      <c r="J95" t="s">
        <v>138</v>
      </c>
      <c r="K95" t="s">
        <v>250</v>
      </c>
      <c r="L95" t="s">
        <v>251</v>
      </c>
    </row>
    <row r="96" spans="1:12" ht="12.75">
      <c r="A96" t="s">
        <v>264</v>
      </c>
      <c r="B96" t="s">
        <v>252</v>
      </c>
      <c r="C96" t="s">
        <v>179</v>
      </c>
      <c r="D96" t="s">
        <v>195</v>
      </c>
      <c r="E96" t="s">
        <v>178</v>
      </c>
      <c r="F96" t="s">
        <v>253</v>
      </c>
      <c r="G96">
        <v>1.16</v>
      </c>
      <c r="H96" t="s">
        <v>249</v>
      </c>
      <c r="I96">
        <v>0.0028188</v>
      </c>
      <c r="J96" t="s">
        <v>138</v>
      </c>
      <c r="K96" t="s">
        <v>254</v>
      </c>
      <c r="L96" t="s">
        <v>255</v>
      </c>
    </row>
    <row r="97" spans="1:8" ht="12.75">
      <c r="A97" t="s">
        <v>264</v>
      </c>
      <c r="B97" t="s">
        <v>252</v>
      </c>
      <c r="C97" t="s">
        <v>179</v>
      </c>
      <c r="D97" t="s">
        <v>195</v>
      </c>
      <c r="E97" t="s">
        <v>259</v>
      </c>
      <c r="G97">
        <v>2430</v>
      </c>
      <c r="H97" t="s">
        <v>138</v>
      </c>
    </row>
    <row r="98" spans="1:8" ht="12.75">
      <c r="A98" t="s">
        <v>264</v>
      </c>
      <c r="B98" t="s">
        <v>256</v>
      </c>
      <c r="C98" t="s">
        <v>179</v>
      </c>
      <c r="D98" t="s">
        <v>195</v>
      </c>
      <c r="E98" t="s">
        <v>259</v>
      </c>
      <c r="G98">
        <v>246</v>
      </c>
      <c r="H98" t="s">
        <v>138</v>
      </c>
    </row>
    <row r="99" spans="1:8" ht="12.75">
      <c r="A99" t="s">
        <v>264</v>
      </c>
      <c r="B99" t="s">
        <v>248</v>
      </c>
      <c r="C99" t="s">
        <v>179</v>
      </c>
      <c r="D99" t="s">
        <v>195</v>
      </c>
      <c r="E99" t="s">
        <v>259</v>
      </c>
      <c r="G99">
        <v>50.8</v>
      </c>
      <c r="H99" t="s">
        <v>138</v>
      </c>
    </row>
    <row r="100" spans="1:7" ht="12.75">
      <c r="A100" t="s">
        <v>264</v>
      </c>
      <c r="B100" t="s">
        <v>252</v>
      </c>
      <c r="C100" t="s">
        <v>179</v>
      </c>
      <c r="D100" t="s">
        <v>195</v>
      </c>
      <c r="E100" t="s">
        <v>28</v>
      </c>
      <c r="G100">
        <v>0.055</v>
      </c>
    </row>
    <row r="101" spans="1:7" ht="12.75">
      <c r="A101" t="s">
        <v>264</v>
      </c>
      <c r="B101" t="s">
        <v>256</v>
      </c>
      <c r="C101" t="s">
        <v>179</v>
      </c>
      <c r="D101" t="s">
        <v>195</v>
      </c>
      <c r="E101" t="s">
        <v>28</v>
      </c>
      <c r="G101">
        <v>0.041</v>
      </c>
    </row>
    <row r="102" spans="1:7" ht="12.75">
      <c r="A102" t="s">
        <v>264</v>
      </c>
      <c r="B102" t="s">
        <v>248</v>
      </c>
      <c r="C102" t="s">
        <v>179</v>
      </c>
      <c r="D102" t="s">
        <v>195</v>
      </c>
      <c r="E102" t="s">
        <v>28</v>
      </c>
      <c r="G102">
        <v>0</v>
      </c>
    </row>
    <row r="103" spans="1:7" ht="12.75">
      <c r="A103" t="s">
        <v>264</v>
      </c>
      <c r="B103" t="s">
        <v>252</v>
      </c>
      <c r="C103" t="s">
        <v>179</v>
      </c>
      <c r="D103" t="s">
        <v>195</v>
      </c>
      <c r="E103" t="s">
        <v>260</v>
      </c>
      <c r="G103">
        <v>6091</v>
      </c>
    </row>
    <row r="104" spans="1:7" ht="12.75">
      <c r="A104" t="s">
        <v>264</v>
      </c>
      <c r="B104" t="s">
        <v>256</v>
      </c>
      <c r="C104" t="s">
        <v>179</v>
      </c>
      <c r="D104" t="s">
        <v>195</v>
      </c>
      <c r="E104" t="s">
        <v>260</v>
      </c>
      <c r="G104">
        <v>18799</v>
      </c>
    </row>
    <row r="105" spans="1:7" ht="12.75">
      <c r="A105" t="s">
        <v>264</v>
      </c>
      <c r="B105" t="s">
        <v>248</v>
      </c>
      <c r="C105" t="s">
        <v>179</v>
      </c>
      <c r="D105" t="s">
        <v>195</v>
      </c>
      <c r="E105" t="s">
        <v>260</v>
      </c>
      <c r="G105">
        <v>0</v>
      </c>
    </row>
    <row r="106" spans="1:12" ht="12.75">
      <c r="A106" t="s">
        <v>265</v>
      </c>
      <c r="B106" t="s">
        <v>248</v>
      </c>
      <c r="C106" t="s">
        <v>179</v>
      </c>
      <c r="D106" t="s">
        <v>196</v>
      </c>
      <c r="E106" t="s">
        <v>174</v>
      </c>
      <c r="G106">
        <v>721</v>
      </c>
      <c r="H106" t="s">
        <v>249</v>
      </c>
      <c r="I106">
        <v>0.0370594</v>
      </c>
      <c r="J106" t="s">
        <v>138</v>
      </c>
      <c r="K106" t="s">
        <v>250</v>
      </c>
      <c r="L106" t="s">
        <v>251</v>
      </c>
    </row>
    <row r="107" spans="1:12" ht="12.75">
      <c r="A107" t="s">
        <v>265</v>
      </c>
      <c r="B107" t="s">
        <v>252</v>
      </c>
      <c r="C107" t="s">
        <v>179</v>
      </c>
      <c r="D107" t="s">
        <v>196</v>
      </c>
      <c r="E107" t="s">
        <v>174</v>
      </c>
      <c r="F107" t="s">
        <v>253</v>
      </c>
      <c r="G107">
        <v>7.73</v>
      </c>
      <c r="H107" t="s">
        <v>249</v>
      </c>
      <c r="I107">
        <v>0.01864476</v>
      </c>
      <c r="J107" t="s">
        <v>138</v>
      </c>
      <c r="K107" t="s">
        <v>254</v>
      </c>
      <c r="L107" t="s">
        <v>255</v>
      </c>
    </row>
    <row r="108" spans="1:12" ht="12.75">
      <c r="A108" t="s">
        <v>265</v>
      </c>
      <c r="B108" t="s">
        <v>256</v>
      </c>
      <c r="C108" t="s">
        <v>179</v>
      </c>
      <c r="D108" t="s">
        <v>196</v>
      </c>
      <c r="E108" t="s">
        <v>174</v>
      </c>
      <c r="F108" t="s">
        <v>253</v>
      </c>
      <c r="G108">
        <v>7.89</v>
      </c>
      <c r="H108" t="s">
        <v>249</v>
      </c>
      <c r="I108">
        <v>0.002367</v>
      </c>
      <c r="J108" t="s">
        <v>138</v>
      </c>
      <c r="K108" t="s">
        <v>257</v>
      </c>
      <c r="L108" t="s">
        <v>258</v>
      </c>
    </row>
    <row r="109" spans="1:12" ht="12.75">
      <c r="A109" t="s">
        <v>265</v>
      </c>
      <c r="B109" t="s">
        <v>248</v>
      </c>
      <c r="C109" t="s">
        <v>179</v>
      </c>
      <c r="D109" t="s">
        <v>196</v>
      </c>
      <c r="E109" t="s">
        <v>175</v>
      </c>
      <c r="G109">
        <v>261</v>
      </c>
      <c r="H109" t="s">
        <v>249</v>
      </c>
      <c r="I109">
        <v>0.0134154</v>
      </c>
      <c r="J109" t="s">
        <v>138</v>
      </c>
      <c r="K109" t="s">
        <v>250</v>
      </c>
      <c r="L109" t="s">
        <v>251</v>
      </c>
    </row>
    <row r="110" spans="1:12" ht="12.75">
      <c r="A110" t="s">
        <v>265</v>
      </c>
      <c r="B110" t="s">
        <v>252</v>
      </c>
      <c r="C110" t="s">
        <v>179</v>
      </c>
      <c r="D110" t="s">
        <v>196</v>
      </c>
      <c r="E110" t="s">
        <v>175</v>
      </c>
      <c r="F110" t="s">
        <v>253</v>
      </c>
      <c r="G110">
        <v>0.41</v>
      </c>
      <c r="H110" t="s">
        <v>249</v>
      </c>
      <c r="I110">
        <v>0.00098892</v>
      </c>
      <c r="J110" t="s">
        <v>138</v>
      </c>
      <c r="K110" t="s">
        <v>254</v>
      </c>
      <c r="L110" t="s">
        <v>255</v>
      </c>
    </row>
    <row r="111" spans="1:12" ht="12.75">
      <c r="A111" t="s">
        <v>265</v>
      </c>
      <c r="B111" t="s">
        <v>256</v>
      </c>
      <c r="C111" t="s">
        <v>179</v>
      </c>
      <c r="D111" t="s">
        <v>196</v>
      </c>
      <c r="E111" t="s">
        <v>175</v>
      </c>
      <c r="F111" t="s">
        <v>253</v>
      </c>
      <c r="G111">
        <v>0.42</v>
      </c>
      <c r="H111" t="s">
        <v>249</v>
      </c>
      <c r="I111">
        <v>0.000126</v>
      </c>
      <c r="J111" t="s">
        <v>138</v>
      </c>
      <c r="K111" t="s">
        <v>257</v>
      </c>
      <c r="L111" t="s">
        <v>258</v>
      </c>
    </row>
    <row r="112" spans="1:12" ht="12.75">
      <c r="A112" t="s">
        <v>265</v>
      </c>
      <c r="B112" t="s">
        <v>256</v>
      </c>
      <c r="C112" t="s">
        <v>179</v>
      </c>
      <c r="D112" t="s">
        <v>196</v>
      </c>
      <c r="E112" t="s">
        <v>29</v>
      </c>
      <c r="F112" t="s">
        <v>253</v>
      </c>
      <c r="G112">
        <v>25</v>
      </c>
      <c r="H112" t="s">
        <v>249</v>
      </c>
      <c r="I112">
        <v>0.0075</v>
      </c>
      <c r="J112" t="s">
        <v>138</v>
      </c>
      <c r="K112" t="s">
        <v>257</v>
      </c>
      <c r="L112" t="s">
        <v>258</v>
      </c>
    </row>
    <row r="113" spans="1:12" ht="12.75">
      <c r="A113" t="s">
        <v>265</v>
      </c>
      <c r="B113" t="s">
        <v>248</v>
      </c>
      <c r="C113" t="s">
        <v>179</v>
      </c>
      <c r="D113" t="s">
        <v>196</v>
      </c>
      <c r="E113" t="s">
        <v>176</v>
      </c>
      <c r="G113">
        <v>1095</v>
      </c>
      <c r="H113" t="s">
        <v>249</v>
      </c>
      <c r="I113">
        <v>0.056283</v>
      </c>
      <c r="J113" t="s">
        <v>138</v>
      </c>
      <c r="K113" t="s">
        <v>250</v>
      </c>
      <c r="L113" t="s">
        <v>251</v>
      </c>
    </row>
    <row r="114" spans="1:12" ht="12.75">
      <c r="A114" t="s">
        <v>265</v>
      </c>
      <c r="B114" t="s">
        <v>252</v>
      </c>
      <c r="C114" t="s">
        <v>179</v>
      </c>
      <c r="D114" t="s">
        <v>196</v>
      </c>
      <c r="E114" t="s">
        <v>176</v>
      </c>
      <c r="F114" t="s">
        <v>253</v>
      </c>
      <c r="G114">
        <v>1.26</v>
      </c>
      <c r="H114" t="s">
        <v>249</v>
      </c>
      <c r="I114">
        <v>0.00303912</v>
      </c>
      <c r="J114" t="s">
        <v>138</v>
      </c>
      <c r="K114" t="s">
        <v>254</v>
      </c>
      <c r="L114" t="s">
        <v>255</v>
      </c>
    </row>
    <row r="115" spans="1:12" ht="12.75">
      <c r="A115" t="s">
        <v>265</v>
      </c>
      <c r="B115" t="s">
        <v>256</v>
      </c>
      <c r="C115" t="s">
        <v>179</v>
      </c>
      <c r="D115" t="s">
        <v>196</v>
      </c>
      <c r="E115" t="s">
        <v>176</v>
      </c>
      <c r="F115" t="s">
        <v>253</v>
      </c>
      <c r="G115">
        <v>1.29</v>
      </c>
      <c r="H115" t="s">
        <v>249</v>
      </c>
      <c r="I115">
        <v>0.000387</v>
      </c>
      <c r="J115" t="s">
        <v>138</v>
      </c>
      <c r="K115" t="s">
        <v>257</v>
      </c>
      <c r="L115" t="s">
        <v>258</v>
      </c>
    </row>
    <row r="116" spans="1:12" ht="12.75">
      <c r="A116" t="s">
        <v>265</v>
      </c>
      <c r="B116" t="s">
        <v>252</v>
      </c>
      <c r="C116" t="s">
        <v>179</v>
      </c>
      <c r="D116" t="s">
        <v>196</v>
      </c>
      <c r="E116" t="s">
        <v>30</v>
      </c>
      <c r="G116">
        <v>620232.1724709785</v>
      </c>
      <c r="H116" t="s">
        <v>249</v>
      </c>
      <c r="I116">
        <v>1496</v>
      </c>
      <c r="J116" t="s">
        <v>138</v>
      </c>
      <c r="K116" t="s">
        <v>254</v>
      </c>
      <c r="L116" t="s">
        <v>255</v>
      </c>
    </row>
    <row r="117" spans="1:12" ht="12.75">
      <c r="A117" t="s">
        <v>265</v>
      </c>
      <c r="B117" t="s">
        <v>252</v>
      </c>
      <c r="C117" t="s">
        <v>179</v>
      </c>
      <c r="D117" t="s">
        <v>196</v>
      </c>
      <c r="E117" t="s">
        <v>189</v>
      </c>
      <c r="G117">
        <v>286.0696517412935</v>
      </c>
      <c r="H117" t="s">
        <v>249</v>
      </c>
      <c r="I117">
        <v>0.69</v>
      </c>
      <c r="J117" t="s">
        <v>138</v>
      </c>
      <c r="K117" t="s">
        <v>254</v>
      </c>
      <c r="L117" t="s">
        <v>255</v>
      </c>
    </row>
    <row r="118" spans="1:12" ht="12.75">
      <c r="A118" t="s">
        <v>265</v>
      </c>
      <c r="B118" t="s">
        <v>256</v>
      </c>
      <c r="C118" t="s">
        <v>179</v>
      </c>
      <c r="D118" t="s">
        <v>196</v>
      </c>
      <c r="E118" t="s">
        <v>189</v>
      </c>
      <c r="F118" t="s">
        <v>253</v>
      </c>
      <c r="G118">
        <v>14</v>
      </c>
      <c r="H118" t="s">
        <v>249</v>
      </c>
      <c r="I118">
        <v>0.0042</v>
      </c>
      <c r="J118" t="s">
        <v>138</v>
      </c>
      <c r="K118" t="s">
        <v>257</v>
      </c>
      <c r="L118" t="s">
        <v>258</v>
      </c>
    </row>
    <row r="119" spans="1:12" ht="12.75">
      <c r="A119" t="s">
        <v>265</v>
      </c>
      <c r="B119" t="s">
        <v>256</v>
      </c>
      <c r="C119" t="s">
        <v>179</v>
      </c>
      <c r="D119" t="s">
        <v>196</v>
      </c>
      <c r="E119" t="s">
        <v>178</v>
      </c>
      <c r="G119">
        <v>3.01</v>
      </c>
      <c r="H119" t="s">
        <v>249</v>
      </c>
      <c r="I119">
        <v>0.000903</v>
      </c>
      <c r="J119" t="s">
        <v>138</v>
      </c>
      <c r="K119" t="s">
        <v>257</v>
      </c>
      <c r="L119" t="s">
        <v>258</v>
      </c>
    </row>
    <row r="120" spans="1:12" ht="12.75">
      <c r="A120" t="s">
        <v>265</v>
      </c>
      <c r="B120" t="s">
        <v>248</v>
      </c>
      <c r="C120" t="s">
        <v>179</v>
      </c>
      <c r="D120" t="s">
        <v>196</v>
      </c>
      <c r="E120" t="s">
        <v>178</v>
      </c>
      <c r="G120">
        <v>4752</v>
      </c>
      <c r="H120" t="s">
        <v>249</v>
      </c>
      <c r="I120">
        <v>0.2442528</v>
      </c>
      <c r="J120" t="s">
        <v>138</v>
      </c>
      <c r="K120" t="s">
        <v>250</v>
      </c>
      <c r="L120" t="s">
        <v>251</v>
      </c>
    </row>
    <row r="121" spans="1:12" ht="12.75">
      <c r="A121" t="s">
        <v>265</v>
      </c>
      <c r="B121" t="s">
        <v>252</v>
      </c>
      <c r="C121" t="s">
        <v>179</v>
      </c>
      <c r="D121" t="s">
        <v>196</v>
      </c>
      <c r="E121" t="s">
        <v>178</v>
      </c>
      <c r="F121" t="s">
        <v>253</v>
      </c>
      <c r="G121">
        <v>1.14</v>
      </c>
      <c r="H121" t="s">
        <v>249</v>
      </c>
      <c r="I121">
        <v>0.00274968</v>
      </c>
      <c r="J121" t="s">
        <v>138</v>
      </c>
      <c r="K121" t="s">
        <v>254</v>
      </c>
      <c r="L121" t="s">
        <v>255</v>
      </c>
    </row>
    <row r="122" spans="1:8" ht="12.75">
      <c r="A122" t="s">
        <v>265</v>
      </c>
      <c r="B122" t="s">
        <v>252</v>
      </c>
      <c r="C122" t="s">
        <v>179</v>
      </c>
      <c r="D122" t="s">
        <v>196</v>
      </c>
      <c r="E122" t="s">
        <v>259</v>
      </c>
      <c r="G122">
        <v>2412</v>
      </c>
      <c r="H122" t="s">
        <v>138</v>
      </c>
    </row>
    <row r="123" spans="1:8" ht="12.75">
      <c r="A123" t="s">
        <v>265</v>
      </c>
      <c r="B123" t="s">
        <v>256</v>
      </c>
      <c r="C123" t="s">
        <v>179</v>
      </c>
      <c r="D123" t="s">
        <v>196</v>
      </c>
      <c r="E123" t="s">
        <v>259</v>
      </c>
      <c r="G123">
        <v>300</v>
      </c>
      <c r="H123" t="s">
        <v>138</v>
      </c>
    </row>
    <row r="124" spans="1:8" ht="12.75">
      <c r="A124" t="s">
        <v>265</v>
      </c>
      <c r="B124" t="s">
        <v>248</v>
      </c>
      <c r="C124" t="s">
        <v>179</v>
      </c>
      <c r="D124" t="s">
        <v>196</v>
      </c>
      <c r="E124" t="s">
        <v>259</v>
      </c>
      <c r="G124">
        <v>51.4</v>
      </c>
      <c r="H124" t="s">
        <v>138</v>
      </c>
    </row>
    <row r="125" spans="1:7" ht="12.75">
      <c r="A125" t="s">
        <v>265</v>
      </c>
      <c r="B125" t="s">
        <v>252</v>
      </c>
      <c r="C125" t="s">
        <v>179</v>
      </c>
      <c r="D125" t="s">
        <v>196</v>
      </c>
      <c r="E125" t="s">
        <v>28</v>
      </c>
      <c r="G125">
        <v>0.046</v>
      </c>
    </row>
    <row r="126" spans="1:7" ht="12.75">
      <c r="A126" t="s">
        <v>265</v>
      </c>
      <c r="B126" t="s">
        <v>256</v>
      </c>
      <c r="C126" t="s">
        <v>179</v>
      </c>
      <c r="D126" t="s">
        <v>196</v>
      </c>
      <c r="E126" t="s">
        <v>28</v>
      </c>
      <c r="G126">
        <v>0.054</v>
      </c>
    </row>
    <row r="127" spans="1:7" ht="12.75">
      <c r="A127" t="s">
        <v>265</v>
      </c>
      <c r="B127" t="s">
        <v>248</v>
      </c>
      <c r="C127" t="s">
        <v>179</v>
      </c>
      <c r="D127" t="s">
        <v>196</v>
      </c>
      <c r="E127" t="s">
        <v>28</v>
      </c>
      <c r="G127">
        <v>0</v>
      </c>
    </row>
    <row r="128" spans="1:7" ht="12.75">
      <c r="A128" t="s">
        <v>265</v>
      </c>
      <c r="B128" t="s">
        <v>252</v>
      </c>
      <c r="C128" t="s">
        <v>179</v>
      </c>
      <c r="D128" t="s">
        <v>196</v>
      </c>
      <c r="E128" t="s">
        <v>260</v>
      </c>
      <c r="G128">
        <v>5810</v>
      </c>
    </row>
    <row r="129" spans="1:7" ht="12.75">
      <c r="A129" t="s">
        <v>265</v>
      </c>
      <c r="B129" t="s">
        <v>256</v>
      </c>
      <c r="C129" t="s">
        <v>179</v>
      </c>
      <c r="D129" t="s">
        <v>196</v>
      </c>
      <c r="E129" t="s">
        <v>260</v>
      </c>
      <c r="G129">
        <v>19034</v>
      </c>
    </row>
    <row r="130" spans="1:7" ht="12.75">
      <c r="A130" t="s">
        <v>265</v>
      </c>
      <c r="B130" t="s">
        <v>248</v>
      </c>
      <c r="C130" t="s">
        <v>179</v>
      </c>
      <c r="D130" t="s">
        <v>196</v>
      </c>
      <c r="E130" t="s">
        <v>260</v>
      </c>
      <c r="G130">
        <v>0</v>
      </c>
    </row>
    <row r="131" spans="1:12" ht="12.75">
      <c r="A131" t="s">
        <v>266</v>
      </c>
      <c r="B131" t="s">
        <v>248</v>
      </c>
      <c r="C131" t="s">
        <v>179</v>
      </c>
      <c r="D131" t="s">
        <v>197</v>
      </c>
      <c r="E131" t="s">
        <v>174</v>
      </c>
      <c r="G131">
        <v>713</v>
      </c>
      <c r="H131" t="s">
        <v>249</v>
      </c>
      <c r="I131">
        <v>2.1894804</v>
      </c>
      <c r="J131" t="s">
        <v>138</v>
      </c>
      <c r="K131" t="s">
        <v>250</v>
      </c>
      <c r="L131" t="s">
        <v>251</v>
      </c>
    </row>
    <row r="132" spans="1:12" ht="12.75">
      <c r="A132" t="s">
        <v>266</v>
      </c>
      <c r="B132" t="s">
        <v>256</v>
      </c>
      <c r="C132" t="s">
        <v>179</v>
      </c>
      <c r="D132" t="s">
        <v>197</v>
      </c>
      <c r="E132" t="s">
        <v>174</v>
      </c>
      <c r="F132" t="s">
        <v>253</v>
      </c>
      <c r="G132">
        <v>7.73</v>
      </c>
      <c r="H132" t="s">
        <v>249</v>
      </c>
      <c r="I132">
        <v>0.002291172</v>
      </c>
      <c r="J132" t="s">
        <v>138</v>
      </c>
      <c r="K132" t="s">
        <v>257</v>
      </c>
      <c r="L132" t="s">
        <v>258</v>
      </c>
    </row>
    <row r="133" spans="1:12" ht="12.75">
      <c r="A133" t="s">
        <v>266</v>
      </c>
      <c r="B133" t="s">
        <v>252</v>
      </c>
      <c r="C133" t="s">
        <v>179</v>
      </c>
      <c r="D133" t="s">
        <v>197</v>
      </c>
      <c r="E133" t="s">
        <v>174</v>
      </c>
      <c r="F133" t="s">
        <v>253</v>
      </c>
      <c r="G133">
        <v>7.81</v>
      </c>
      <c r="H133" t="s">
        <v>249</v>
      </c>
      <c r="I133">
        <v>0.018744</v>
      </c>
      <c r="J133" t="s">
        <v>138</v>
      </c>
      <c r="K133" t="s">
        <v>254</v>
      </c>
      <c r="L133" t="s">
        <v>255</v>
      </c>
    </row>
    <row r="134" spans="1:12" ht="12.75">
      <c r="A134" t="s">
        <v>266</v>
      </c>
      <c r="B134" t="s">
        <v>248</v>
      </c>
      <c r="C134" t="s">
        <v>179</v>
      </c>
      <c r="D134" t="s">
        <v>197</v>
      </c>
      <c r="E134" t="s">
        <v>175</v>
      </c>
      <c r="G134">
        <v>261</v>
      </c>
      <c r="H134" t="s">
        <v>249</v>
      </c>
      <c r="I134">
        <v>0.8014788</v>
      </c>
      <c r="J134" t="s">
        <v>138</v>
      </c>
      <c r="K134" t="s">
        <v>250</v>
      </c>
      <c r="L134" t="s">
        <v>251</v>
      </c>
    </row>
    <row r="135" spans="1:12" ht="12.75">
      <c r="A135" t="s">
        <v>266</v>
      </c>
      <c r="B135" t="s">
        <v>256</v>
      </c>
      <c r="C135" t="s">
        <v>179</v>
      </c>
      <c r="D135" t="s">
        <v>197</v>
      </c>
      <c r="E135" t="s">
        <v>175</v>
      </c>
      <c r="F135" t="s">
        <v>253</v>
      </c>
      <c r="G135">
        <v>0.41</v>
      </c>
      <c r="H135" t="s">
        <v>249</v>
      </c>
      <c r="I135">
        <v>0.000121524</v>
      </c>
      <c r="J135" t="s">
        <v>138</v>
      </c>
      <c r="K135" t="s">
        <v>257</v>
      </c>
      <c r="L135" t="s">
        <v>258</v>
      </c>
    </row>
    <row r="136" spans="1:12" ht="12.75">
      <c r="A136" t="s">
        <v>266</v>
      </c>
      <c r="B136" t="s">
        <v>252</v>
      </c>
      <c r="C136" t="s">
        <v>179</v>
      </c>
      <c r="D136" t="s">
        <v>197</v>
      </c>
      <c r="E136" t="s">
        <v>175</v>
      </c>
      <c r="F136" t="s">
        <v>253</v>
      </c>
      <c r="G136">
        <v>0.42</v>
      </c>
      <c r="H136" t="s">
        <v>249</v>
      </c>
      <c r="I136">
        <v>0.001008</v>
      </c>
      <c r="J136" t="s">
        <v>138</v>
      </c>
      <c r="K136" t="s">
        <v>254</v>
      </c>
      <c r="L136" t="s">
        <v>255</v>
      </c>
    </row>
    <row r="137" spans="1:12" ht="12.75">
      <c r="A137" t="s">
        <v>266</v>
      </c>
      <c r="B137" t="s">
        <v>248</v>
      </c>
      <c r="C137" t="s">
        <v>179</v>
      </c>
      <c r="D137" t="s">
        <v>197</v>
      </c>
      <c r="E137" t="s">
        <v>176</v>
      </c>
      <c r="G137">
        <v>1087</v>
      </c>
      <c r="H137" t="s">
        <v>249</v>
      </c>
      <c r="I137">
        <v>3.3379596</v>
      </c>
      <c r="J137" t="s">
        <v>138</v>
      </c>
      <c r="K137" t="s">
        <v>250</v>
      </c>
      <c r="L137" t="s">
        <v>251</v>
      </c>
    </row>
    <row r="138" spans="1:12" ht="12.75">
      <c r="A138" t="s">
        <v>266</v>
      </c>
      <c r="B138" t="s">
        <v>256</v>
      </c>
      <c r="C138" t="s">
        <v>179</v>
      </c>
      <c r="D138" t="s">
        <v>197</v>
      </c>
      <c r="E138" t="s">
        <v>176</v>
      </c>
      <c r="F138" t="s">
        <v>253</v>
      </c>
      <c r="G138">
        <v>1.26</v>
      </c>
      <c r="H138" t="s">
        <v>249</v>
      </c>
      <c r="I138">
        <v>0.000373464</v>
      </c>
      <c r="J138" t="s">
        <v>138</v>
      </c>
      <c r="K138" t="s">
        <v>257</v>
      </c>
      <c r="L138" t="s">
        <v>258</v>
      </c>
    </row>
    <row r="139" spans="1:12" ht="12.75">
      <c r="A139" t="s">
        <v>266</v>
      </c>
      <c r="B139" t="s">
        <v>252</v>
      </c>
      <c r="C139" t="s">
        <v>179</v>
      </c>
      <c r="D139" t="s">
        <v>197</v>
      </c>
      <c r="E139" t="s">
        <v>176</v>
      </c>
      <c r="F139" t="s">
        <v>253</v>
      </c>
      <c r="G139">
        <v>1.27</v>
      </c>
      <c r="H139" t="s">
        <v>249</v>
      </c>
      <c r="I139">
        <v>0.003048</v>
      </c>
      <c r="J139" t="s">
        <v>138</v>
      </c>
      <c r="K139" t="s">
        <v>254</v>
      </c>
      <c r="L139" t="s">
        <v>255</v>
      </c>
    </row>
    <row r="140" spans="1:12" ht="12.75">
      <c r="A140" t="s">
        <v>266</v>
      </c>
      <c r="B140" t="s">
        <v>252</v>
      </c>
      <c r="C140" t="s">
        <v>179</v>
      </c>
      <c r="D140" t="s">
        <v>197</v>
      </c>
      <c r="E140" t="s">
        <v>30</v>
      </c>
      <c r="G140">
        <v>586250</v>
      </c>
      <c r="H140" t="s">
        <v>249</v>
      </c>
      <c r="I140">
        <v>1407</v>
      </c>
      <c r="J140" t="s">
        <v>138</v>
      </c>
      <c r="K140" t="s">
        <v>254</v>
      </c>
      <c r="L140" t="s">
        <v>255</v>
      </c>
    </row>
    <row r="141" spans="1:12" ht="12.75">
      <c r="A141" t="s">
        <v>266</v>
      </c>
      <c r="B141" t="s">
        <v>256</v>
      </c>
      <c r="C141" t="s">
        <v>179</v>
      </c>
      <c r="D141" t="s">
        <v>197</v>
      </c>
      <c r="E141" t="s">
        <v>30</v>
      </c>
      <c r="F141" t="s">
        <v>253</v>
      </c>
      <c r="G141">
        <v>25</v>
      </c>
      <c r="H141" t="s">
        <v>249</v>
      </c>
      <c r="I141">
        <v>0.00741</v>
      </c>
      <c r="J141" t="s">
        <v>138</v>
      </c>
      <c r="K141" t="s">
        <v>257</v>
      </c>
      <c r="L141" t="s">
        <v>258</v>
      </c>
    </row>
    <row r="142" spans="1:12" ht="12.75">
      <c r="A142" t="s">
        <v>266</v>
      </c>
      <c r="B142" t="s">
        <v>256</v>
      </c>
      <c r="C142" t="s">
        <v>179</v>
      </c>
      <c r="D142" t="s">
        <v>197</v>
      </c>
      <c r="E142" t="s">
        <v>189</v>
      </c>
      <c r="G142">
        <v>33.73819163292847</v>
      </c>
      <c r="H142" t="s">
        <v>249</v>
      </c>
      <c r="I142">
        <v>0.01</v>
      </c>
      <c r="J142" t="s">
        <v>138</v>
      </c>
      <c r="K142" t="s">
        <v>257</v>
      </c>
      <c r="L142" t="s">
        <v>258</v>
      </c>
    </row>
    <row r="143" spans="1:12" ht="12.75">
      <c r="A143" t="s">
        <v>266</v>
      </c>
      <c r="B143" t="s">
        <v>252</v>
      </c>
      <c r="C143" t="s">
        <v>179</v>
      </c>
      <c r="D143" t="s">
        <v>197</v>
      </c>
      <c r="E143" t="s">
        <v>189</v>
      </c>
      <c r="G143">
        <v>275</v>
      </c>
      <c r="H143" t="s">
        <v>249</v>
      </c>
      <c r="I143">
        <v>0.66</v>
      </c>
      <c r="J143" t="s">
        <v>138</v>
      </c>
      <c r="K143" t="s">
        <v>254</v>
      </c>
      <c r="L143" t="s">
        <v>255</v>
      </c>
    </row>
    <row r="144" spans="1:12" ht="12.75">
      <c r="A144" t="s">
        <v>266</v>
      </c>
      <c r="B144" t="s">
        <v>256</v>
      </c>
      <c r="C144" t="s">
        <v>179</v>
      </c>
      <c r="D144" t="s">
        <v>197</v>
      </c>
      <c r="E144" t="s">
        <v>178</v>
      </c>
      <c r="G144">
        <v>3.83</v>
      </c>
      <c r="H144" t="s">
        <v>249</v>
      </c>
      <c r="I144">
        <v>0.001135212</v>
      </c>
      <c r="J144" t="s">
        <v>138</v>
      </c>
      <c r="K144" t="s">
        <v>257</v>
      </c>
      <c r="L144" t="s">
        <v>258</v>
      </c>
    </row>
    <row r="145" spans="1:12" ht="12.75">
      <c r="A145" t="s">
        <v>266</v>
      </c>
      <c r="B145" t="s">
        <v>248</v>
      </c>
      <c r="C145" t="s">
        <v>179</v>
      </c>
      <c r="D145" t="s">
        <v>197</v>
      </c>
      <c r="E145" t="s">
        <v>178</v>
      </c>
      <c r="G145">
        <v>4695</v>
      </c>
      <c r="H145" t="s">
        <v>249</v>
      </c>
      <c r="I145">
        <v>14.417406</v>
      </c>
      <c r="J145" t="s">
        <v>138</v>
      </c>
      <c r="K145" t="s">
        <v>250</v>
      </c>
      <c r="L145" t="s">
        <v>251</v>
      </c>
    </row>
    <row r="146" spans="1:12" ht="12.75">
      <c r="A146" t="s">
        <v>266</v>
      </c>
      <c r="B146" t="s">
        <v>252</v>
      </c>
      <c r="C146" t="s">
        <v>179</v>
      </c>
      <c r="D146" t="s">
        <v>197</v>
      </c>
      <c r="E146" t="s">
        <v>178</v>
      </c>
      <c r="F146" t="s">
        <v>253</v>
      </c>
      <c r="G146">
        <v>1.15</v>
      </c>
      <c r="H146" t="s">
        <v>249</v>
      </c>
      <c r="I146">
        <v>0.00276</v>
      </c>
      <c r="J146" t="s">
        <v>138</v>
      </c>
      <c r="K146" t="s">
        <v>254</v>
      </c>
      <c r="L146" t="s">
        <v>255</v>
      </c>
    </row>
    <row r="147" spans="1:8" ht="12.75">
      <c r="A147" t="s">
        <v>266</v>
      </c>
      <c r="B147" t="s">
        <v>252</v>
      </c>
      <c r="C147" t="s">
        <v>179</v>
      </c>
      <c r="D147" t="s">
        <v>197</v>
      </c>
      <c r="E147" t="s">
        <v>259</v>
      </c>
      <c r="G147">
        <v>2400</v>
      </c>
      <c r="H147" t="s">
        <v>138</v>
      </c>
    </row>
    <row r="148" spans="1:8" ht="12.75">
      <c r="A148" t="s">
        <v>266</v>
      </c>
      <c r="B148" t="s">
        <v>256</v>
      </c>
      <c r="C148" t="s">
        <v>179</v>
      </c>
      <c r="D148" t="s">
        <v>197</v>
      </c>
      <c r="E148" t="s">
        <v>259</v>
      </c>
      <c r="G148">
        <v>296.4</v>
      </c>
      <c r="H148" t="s">
        <v>138</v>
      </c>
    </row>
    <row r="149" spans="1:8" ht="12.75">
      <c r="A149" t="s">
        <v>266</v>
      </c>
      <c r="B149" t="s">
        <v>248</v>
      </c>
      <c r="C149" t="s">
        <v>179</v>
      </c>
      <c r="D149" t="s">
        <v>197</v>
      </c>
      <c r="E149" t="s">
        <v>259</v>
      </c>
      <c r="G149">
        <v>3070.8</v>
      </c>
      <c r="H149" t="s">
        <v>138</v>
      </c>
    </row>
    <row r="150" spans="1:7" ht="12.75">
      <c r="A150" t="s">
        <v>266</v>
      </c>
      <c r="B150" t="s">
        <v>252</v>
      </c>
      <c r="C150" t="s">
        <v>179</v>
      </c>
      <c r="D150" t="s">
        <v>197</v>
      </c>
      <c r="E150" t="s">
        <v>28</v>
      </c>
      <c r="G150">
        <v>0.042</v>
      </c>
    </row>
    <row r="151" spans="1:7" ht="12.75">
      <c r="A151" t="s">
        <v>266</v>
      </c>
      <c r="B151" t="s">
        <v>256</v>
      </c>
      <c r="C151" t="s">
        <v>179</v>
      </c>
      <c r="D151" t="s">
        <v>197</v>
      </c>
      <c r="E151" t="s">
        <v>28</v>
      </c>
      <c r="G151">
        <v>0.041</v>
      </c>
    </row>
    <row r="152" spans="1:7" ht="12.75">
      <c r="A152" t="s">
        <v>266</v>
      </c>
      <c r="B152" t="s">
        <v>248</v>
      </c>
      <c r="C152" t="s">
        <v>179</v>
      </c>
      <c r="D152" t="s">
        <v>197</v>
      </c>
      <c r="E152" t="s">
        <v>28</v>
      </c>
      <c r="G152">
        <v>0</v>
      </c>
    </row>
    <row r="153" spans="1:7" ht="12.75">
      <c r="A153" t="s">
        <v>266</v>
      </c>
      <c r="B153" t="s">
        <v>252</v>
      </c>
      <c r="C153" t="s">
        <v>179</v>
      </c>
      <c r="D153" t="s">
        <v>197</v>
      </c>
      <c r="E153" t="s">
        <v>260</v>
      </c>
      <c r="G153">
        <v>5908</v>
      </c>
    </row>
    <row r="154" spans="1:7" ht="12.75">
      <c r="A154" t="s">
        <v>266</v>
      </c>
      <c r="B154" t="s">
        <v>256</v>
      </c>
      <c r="C154" t="s">
        <v>179</v>
      </c>
      <c r="D154" t="s">
        <v>197</v>
      </c>
      <c r="E154" t="s">
        <v>260</v>
      </c>
      <c r="G154">
        <v>19043</v>
      </c>
    </row>
    <row r="155" spans="1:7" ht="12.75">
      <c r="A155" t="s">
        <v>266</v>
      </c>
      <c r="B155" t="s">
        <v>248</v>
      </c>
      <c r="C155" t="s">
        <v>179</v>
      </c>
      <c r="D155" t="s">
        <v>197</v>
      </c>
      <c r="E155" t="s">
        <v>260</v>
      </c>
      <c r="G155">
        <v>0</v>
      </c>
    </row>
    <row r="156" spans="1:12" ht="12.75">
      <c r="A156" t="s">
        <v>267</v>
      </c>
      <c r="B156" t="s">
        <v>248</v>
      </c>
      <c r="C156" t="s">
        <v>188</v>
      </c>
      <c r="D156" t="s">
        <v>194</v>
      </c>
      <c r="E156" t="s">
        <v>174</v>
      </c>
      <c r="G156">
        <v>726</v>
      </c>
      <c r="H156" t="s">
        <v>249</v>
      </c>
      <c r="I156">
        <v>0.0358644</v>
      </c>
      <c r="J156" t="s">
        <v>138</v>
      </c>
      <c r="K156" t="s">
        <v>250</v>
      </c>
      <c r="L156" t="s">
        <v>251</v>
      </c>
    </row>
    <row r="157" spans="1:12" ht="12.75">
      <c r="A157" t="s">
        <v>267</v>
      </c>
      <c r="B157" t="s">
        <v>256</v>
      </c>
      <c r="C157" t="s">
        <v>188</v>
      </c>
      <c r="D157" t="s">
        <v>194</v>
      </c>
      <c r="E157" t="s">
        <v>174</v>
      </c>
      <c r="F157" t="s">
        <v>253</v>
      </c>
      <c r="G157">
        <v>7.81</v>
      </c>
      <c r="H157" t="s">
        <v>249</v>
      </c>
      <c r="I157">
        <v>0.0032802</v>
      </c>
      <c r="J157" t="s">
        <v>138</v>
      </c>
      <c r="K157" t="s">
        <v>257</v>
      </c>
      <c r="L157" t="s">
        <v>258</v>
      </c>
    </row>
    <row r="158" spans="1:12" ht="12.75">
      <c r="A158" t="s">
        <v>267</v>
      </c>
      <c r="B158" t="s">
        <v>252</v>
      </c>
      <c r="C158" t="s">
        <v>188</v>
      </c>
      <c r="D158" t="s">
        <v>194</v>
      </c>
      <c r="E158" t="s">
        <v>174</v>
      </c>
      <c r="F158" t="s">
        <v>253</v>
      </c>
      <c r="G158">
        <v>7.93</v>
      </c>
      <c r="H158" t="s">
        <v>249</v>
      </c>
      <c r="I158">
        <v>0.01912716</v>
      </c>
      <c r="J158" t="s">
        <v>138</v>
      </c>
      <c r="K158" t="s">
        <v>254</v>
      </c>
      <c r="L158" t="s">
        <v>255</v>
      </c>
    </row>
    <row r="159" spans="1:12" ht="12.75">
      <c r="A159" t="s">
        <v>267</v>
      </c>
      <c r="B159" t="s">
        <v>248</v>
      </c>
      <c r="C159" t="s">
        <v>188</v>
      </c>
      <c r="D159" t="s">
        <v>194</v>
      </c>
      <c r="E159" t="s">
        <v>175</v>
      </c>
      <c r="G159">
        <v>263</v>
      </c>
      <c r="H159" t="s">
        <v>249</v>
      </c>
      <c r="I159">
        <v>0.0129922</v>
      </c>
      <c r="J159" t="s">
        <v>138</v>
      </c>
      <c r="K159" t="s">
        <v>250</v>
      </c>
      <c r="L159" t="s">
        <v>251</v>
      </c>
    </row>
    <row r="160" spans="1:12" ht="12.75">
      <c r="A160" t="s">
        <v>267</v>
      </c>
      <c r="B160" t="s">
        <v>256</v>
      </c>
      <c r="C160" t="s">
        <v>188</v>
      </c>
      <c r="D160" t="s">
        <v>194</v>
      </c>
      <c r="E160" t="s">
        <v>175</v>
      </c>
      <c r="F160" t="s">
        <v>253</v>
      </c>
      <c r="G160">
        <v>0.42</v>
      </c>
      <c r="H160" t="s">
        <v>249</v>
      </c>
      <c r="I160">
        <v>0.0001764</v>
      </c>
      <c r="J160" t="s">
        <v>138</v>
      </c>
      <c r="K160" t="s">
        <v>257</v>
      </c>
      <c r="L160" t="s">
        <v>258</v>
      </c>
    </row>
    <row r="161" spans="1:12" ht="12.75">
      <c r="A161" t="s">
        <v>267</v>
      </c>
      <c r="B161" t="s">
        <v>252</v>
      </c>
      <c r="C161" t="s">
        <v>188</v>
      </c>
      <c r="D161" t="s">
        <v>194</v>
      </c>
      <c r="E161" t="s">
        <v>175</v>
      </c>
      <c r="F161" t="s">
        <v>253</v>
      </c>
      <c r="G161">
        <v>0.42</v>
      </c>
      <c r="H161" t="s">
        <v>249</v>
      </c>
      <c r="I161">
        <v>0.00101304</v>
      </c>
      <c r="J161" t="s">
        <v>138</v>
      </c>
      <c r="K161" t="s">
        <v>254</v>
      </c>
      <c r="L161" t="s">
        <v>255</v>
      </c>
    </row>
    <row r="162" spans="1:12" ht="12.75">
      <c r="A162" t="s">
        <v>267</v>
      </c>
      <c r="B162" t="s">
        <v>256</v>
      </c>
      <c r="C162" t="s">
        <v>188</v>
      </c>
      <c r="D162" t="s">
        <v>194</v>
      </c>
      <c r="E162" t="s">
        <v>29</v>
      </c>
      <c r="G162">
        <v>119.04761904762</v>
      </c>
      <c r="H162" t="s">
        <v>249</v>
      </c>
      <c r="I162">
        <v>0.05</v>
      </c>
      <c r="J162" t="s">
        <v>138</v>
      </c>
      <c r="K162" t="s">
        <v>257</v>
      </c>
      <c r="L162" t="s">
        <v>258</v>
      </c>
    </row>
    <row r="163" spans="1:12" ht="12.75">
      <c r="A163" t="s">
        <v>267</v>
      </c>
      <c r="B163" t="s">
        <v>248</v>
      </c>
      <c r="C163" t="s">
        <v>188</v>
      </c>
      <c r="D163" t="s">
        <v>194</v>
      </c>
      <c r="E163" t="s">
        <v>176</v>
      </c>
      <c r="G163">
        <v>1095</v>
      </c>
      <c r="H163" t="s">
        <v>249</v>
      </c>
      <c r="I163">
        <v>0.054093</v>
      </c>
      <c r="J163" t="s">
        <v>138</v>
      </c>
      <c r="K163" t="s">
        <v>250</v>
      </c>
      <c r="L163" t="s">
        <v>251</v>
      </c>
    </row>
    <row r="164" spans="1:12" ht="12.75">
      <c r="A164" t="s">
        <v>267</v>
      </c>
      <c r="B164" t="s">
        <v>256</v>
      </c>
      <c r="C164" t="s">
        <v>188</v>
      </c>
      <c r="D164" t="s">
        <v>194</v>
      </c>
      <c r="E164" t="s">
        <v>176</v>
      </c>
      <c r="F164" t="s">
        <v>253</v>
      </c>
      <c r="G164">
        <v>1.27</v>
      </c>
      <c r="H164" t="s">
        <v>249</v>
      </c>
      <c r="I164">
        <v>0.0005334</v>
      </c>
      <c r="J164" t="s">
        <v>138</v>
      </c>
      <c r="K164" t="s">
        <v>257</v>
      </c>
      <c r="L164" t="s">
        <v>258</v>
      </c>
    </row>
    <row r="165" spans="1:12" ht="12.75">
      <c r="A165" t="s">
        <v>267</v>
      </c>
      <c r="B165" t="s">
        <v>252</v>
      </c>
      <c r="C165" t="s">
        <v>188</v>
      </c>
      <c r="D165" t="s">
        <v>194</v>
      </c>
      <c r="E165" t="s">
        <v>176</v>
      </c>
      <c r="F165" t="s">
        <v>253</v>
      </c>
      <c r="G165">
        <v>1.29</v>
      </c>
      <c r="H165" t="s">
        <v>249</v>
      </c>
      <c r="I165">
        <v>0.00311148</v>
      </c>
      <c r="J165" t="s">
        <v>138</v>
      </c>
      <c r="K165" t="s">
        <v>254</v>
      </c>
      <c r="L165" t="s">
        <v>255</v>
      </c>
    </row>
    <row r="166" spans="1:12" ht="12.75">
      <c r="A166" t="s">
        <v>267</v>
      </c>
      <c r="B166" t="s">
        <v>252</v>
      </c>
      <c r="C166" t="s">
        <v>188</v>
      </c>
      <c r="D166" t="s">
        <v>194</v>
      </c>
      <c r="E166" t="s">
        <v>30</v>
      </c>
      <c r="G166">
        <v>482172.4709784411</v>
      </c>
      <c r="H166" t="s">
        <v>249</v>
      </c>
      <c r="I166">
        <v>1163</v>
      </c>
      <c r="J166" t="s">
        <v>138</v>
      </c>
      <c r="K166" t="s">
        <v>254</v>
      </c>
      <c r="L166" t="s">
        <v>255</v>
      </c>
    </row>
    <row r="167" spans="1:12" ht="12.75">
      <c r="A167" t="s">
        <v>267</v>
      </c>
      <c r="B167" t="s">
        <v>256</v>
      </c>
      <c r="C167" t="s">
        <v>188</v>
      </c>
      <c r="D167" t="s">
        <v>194</v>
      </c>
      <c r="E167" t="s">
        <v>189</v>
      </c>
      <c r="G167">
        <v>23.80952380952381</v>
      </c>
      <c r="H167" t="s">
        <v>249</v>
      </c>
      <c r="I167">
        <v>0.01</v>
      </c>
      <c r="J167" t="s">
        <v>138</v>
      </c>
      <c r="K167" t="s">
        <v>257</v>
      </c>
      <c r="L167" t="s">
        <v>258</v>
      </c>
    </row>
    <row r="168" spans="1:12" ht="12.75">
      <c r="A168" t="s">
        <v>267</v>
      </c>
      <c r="B168" t="s">
        <v>252</v>
      </c>
      <c r="C168" t="s">
        <v>188</v>
      </c>
      <c r="D168" t="s">
        <v>194</v>
      </c>
      <c r="E168" t="s">
        <v>189</v>
      </c>
      <c r="G168">
        <v>85298.50746268657</v>
      </c>
      <c r="H168" t="s">
        <v>249</v>
      </c>
      <c r="I168">
        <v>205.74</v>
      </c>
      <c r="J168" t="s">
        <v>138</v>
      </c>
      <c r="K168" t="s">
        <v>254</v>
      </c>
      <c r="L168" t="s">
        <v>255</v>
      </c>
    </row>
    <row r="169" spans="1:12" ht="12.75">
      <c r="A169" t="s">
        <v>267</v>
      </c>
      <c r="B169" t="s">
        <v>256</v>
      </c>
      <c r="C169" t="s">
        <v>188</v>
      </c>
      <c r="D169" t="s">
        <v>194</v>
      </c>
      <c r="E169" t="s">
        <v>178</v>
      </c>
      <c r="G169">
        <v>3.14</v>
      </c>
      <c r="H169" t="s">
        <v>249</v>
      </c>
      <c r="I169">
        <v>0.0013188</v>
      </c>
      <c r="J169" t="s">
        <v>138</v>
      </c>
      <c r="K169" t="s">
        <v>257</v>
      </c>
      <c r="L169" t="s">
        <v>258</v>
      </c>
    </row>
    <row r="170" spans="1:12" ht="12.75">
      <c r="A170" t="s">
        <v>267</v>
      </c>
      <c r="B170" t="s">
        <v>248</v>
      </c>
      <c r="C170" t="s">
        <v>188</v>
      </c>
      <c r="D170" t="s">
        <v>194</v>
      </c>
      <c r="E170" t="s">
        <v>178</v>
      </c>
      <c r="G170">
        <v>4811</v>
      </c>
      <c r="H170" t="s">
        <v>249</v>
      </c>
      <c r="I170">
        <v>0.2376634</v>
      </c>
      <c r="J170" t="s">
        <v>138</v>
      </c>
      <c r="K170" t="s">
        <v>250</v>
      </c>
      <c r="L170" t="s">
        <v>251</v>
      </c>
    </row>
    <row r="171" spans="1:12" ht="12.75">
      <c r="A171" t="s">
        <v>267</v>
      </c>
      <c r="B171" t="s">
        <v>252</v>
      </c>
      <c r="C171" t="s">
        <v>188</v>
      </c>
      <c r="D171" t="s">
        <v>194</v>
      </c>
      <c r="E171" t="s">
        <v>178</v>
      </c>
      <c r="F171" t="s">
        <v>253</v>
      </c>
      <c r="G171">
        <v>1.16</v>
      </c>
      <c r="H171" t="s">
        <v>249</v>
      </c>
      <c r="I171">
        <v>0.00279792</v>
      </c>
      <c r="J171" t="s">
        <v>138</v>
      </c>
      <c r="K171" t="s">
        <v>254</v>
      </c>
      <c r="L171" t="s">
        <v>255</v>
      </c>
    </row>
    <row r="172" spans="1:8" ht="12.75">
      <c r="A172" t="s">
        <v>267</v>
      </c>
      <c r="B172" t="s">
        <v>252</v>
      </c>
      <c r="C172" t="s">
        <v>188</v>
      </c>
      <c r="D172" t="s">
        <v>194</v>
      </c>
      <c r="E172" t="s">
        <v>259</v>
      </c>
      <c r="G172">
        <v>2412</v>
      </c>
      <c r="H172" t="s">
        <v>138</v>
      </c>
    </row>
    <row r="173" spans="1:8" ht="12.75">
      <c r="A173" t="s">
        <v>267</v>
      </c>
      <c r="B173" t="s">
        <v>256</v>
      </c>
      <c r="C173" t="s">
        <v>188</v>
      </c>
      <c r="D173" t="s">
        <v>194</v>
      </c>
      <c r="E173" t="s">
        <v>259</v>
      </c>
      <c r="G173">
        <v>420</v>
      </c>
      <c r="H173" t="s">
        <v>138</v>
      </c>
    </row>
    <row r="174" spans="1:8" ht="12.75">
      <c r="A174" t="s">
        <v>267</v>
      </c>
      <c r="B174" t="s">
        <v>248</v>
      </c>
      <c r="C174" t="s">
        <v>188</v>
      </c>
      <c r="D174" t="s">
        <v>194</v>
      </c>
      <c r="E174" t="s">
        <v>259</v>
      </c>
      <c r="G174">
        <v>49.4</v>
      </c>
      <c r="H174" t="s">
        <v>138</v>
      </c>
    </row>
    <row r="175" spans="1:7" ht="12.75">
      <c r="A175" t="s">
        <v>267</v>
      </c>
      <c r="B175" t="s">
        <v>252</v>
      </c>
      <c r="C175" t="s">
        <v>188</v>
      </c>
      <c r="D175" t="s">
        <v>194</v>
      </c>
      <c r="E175" t="s">
        <v>28</v>
      </c>
      <c r="G175">
        <v>0.02</v>
      </c>
    </row>
    <row r="176" spans="1:7" ht="12.75">
      <c r="A176" t="s">
        <v>267</v>
      </c>
      <c r="B176" t="s">
        <v>256</v>
      </c>
      <c r="C176" t="s">
        <v>188</v>
      </c>
      <c r="D176" t="s">
        <v>194</v>
      </c>
      <c r="E176" t="s">
        <v>28</v>
      </c>
      <c r="G176">
        <v>0.046</v>
      </c>
    </row>
    <row r="177" spans="1:7" ht="12.75">
      <c r="A177" t="s">
        <v>267</v>
      </c>
      <c r="B177" t="s">
        <v>248</v>
      </c>
      <c r="C177" t="s">
        <v>188</v>
      </c>
      <c r="D177" t="s">
        <v>194</v>
      </c>
      <c r="E177" t="s">
        <v>28</v>
      </c>
      <c r="G177">
        <v>0</v>
      </c>
    </row>
    <row r="178" spans="1:7" ht="12.75">
      <c r="A178" t="s">
        <v>267</v>
      </c>
      <c r="B178" t="s">
        <v>252</v>
      </c>
      <c r="C178" t="s">
        <v>188</v>
      </c>
      <c r="D178" t="s">
        <v>194</v>
      </c>
      <c r="E178" t="s">
        <v>260</v>
      </c>
      <c r="G178">
        <v>7883</v>
      </c>
    </row>
    <row r="179" spans="1:7" ht="12.75">
      <c r="A179" t="s">
        <v>267</v>
      </c>
      <c r="B179" t="s">
        <v>256</v>
      </c>
      <c r="C179" t="s">
        <v>188</v>
      </c>
      <c r="D179" t="s">
        <v>194</v>
      </c>
      <c r="E179" t="s">
        <v>260</v>
      </c>
      <c r="G179">
        <v>18978</v>
      </c>
    </row>
    <row r="180" spans="1:7" ht="12.75">
      <c r="A180" t="s">
        <v>267</v>
      </c>
      <c r="B180" t="s">
        <v>248</v>
      </c>
      <c r="C180" t="s">
        <v>188</v>
      </c>
      <c r="D180" t="s">
        <v>194</v>
      </c>
      <c r="E180" t="s">
        <v>260</v>
      </c>
      <c r="G180">
        <v>0</v>
      </c>
    </row>
    <row r="181" spans="1:12" ht="12.75">
      <c r="A181" t="s">
        <v>268</v>
      </c>
      <c r="B181" t="s">
        <v>248</v>
      </c>
      <c r="C181" t="s">
        <v>188</v>
      </c>
      <c r="D181" t="s">
        <v>195</v>
      </c>
      <c r="E181" t="s">
        <v>174</v>
      </c>
      <c r="G181">
        <v>724</v>
      </c>
      <c r="H181" t="s">
        <v>249</v>
      </c>
      <c r="I181">
        <v>0.0357656</v>
      </c>
      <c r="J181" t="s">
        <v>138</v>
      </c>
      <c r="K181" t="s">
        <v>250</v>
      </c>
      <c r="L181" t="s">
        <v>251</v>
      </c>
    </row>
    <row r="182" spans="1:12" ht="12.75">
      <c r="A182" t="s">
        <v>268</v>
      </c>
      <c r="B182" t="s">
        <v>256</v>
      </c>
      <c r="C182" t="s">
        <v>188</v>
      </c>
      <c r="D182" t="s">
        <v>195</v>
      </c>
      <c r="E182" t="s">
        <v>174</v>
      </c>
      <c r="F182" t="s">
        <v>253</v>
      </c>
      <c r="G182">
        <v>7.73</v>
      </c>
      <c r="H182" t="s">
        <v>249</v>
      </c>
      <c r="I182">
        <v>0.002708592</v>
      </c>
      <c r="J182" t="s">
        <v>138</v>
      </c>
      <c r="K182" t="s">
        <v>257</v>
      </c>
      <c r="L182" t="s">
        <v>258</v>
      </c>
    </row>
    <row r="183" spans="1:12" ht="12.75">
      <c r="A183" t="s">
        <v>268</v>
      </c>
      <c r="B183" t="s">
        <v>252</v>
      </c>
      <c r="C183" t="s">
        <v>188</v>
      </c>
      <c r="D183" t="s">
        <v>195</v>
      </c>
      <c r="E183" t="s">
        <v>174</v>
      </c>
      <c r="F183" t="s">
        <v>253</v>
      </c>
      <c r="G183">
        <v>7.89</v>
      </c>
      <c r="H183" t="s">
        <v>249</v>
      </c>
      <c r="I183">
        <v>0.0184626</v>
      </c>
      <c r="J183" t="s">
        <v>138</v>
      </c>
      <c r="K183" t="s">
        <v>254</v>
      </c>
      <c r="L183" t="s">
        <v>255</v>
      </c>
    </row>
    <row r="184" spans="1:12" ht="12.75">
      <c r="A184" t="s">
        <v>268</v>
      </c>
      <c r="B184" t="s">
        <v>248</v>
      </c>
      <c r="C184" t="s">
        <v>188</v>
      </c>
      <c r="D184" t="s">
        <v>195</v>
      </c>
      <c r="E184" t="s">
        <v>175</v>
      </c>
      <c r="G184">
        <v>263</v>
      </c>
      <c r="H184" t="s">
        <v>249</v>
      </c>
      <c r="I184">
        <v>0.0129922</v>
      </c>
      <c r="J184" t="s">
        <v>138</v>
      </c>
      <c r="K184" t="s">
        <v>250</v>
      </c>
      <c r="L184" t="s">
        <v>251</v>
      </c>
    </row>
    <row r="185" spans="1:12" ht="12.75">
      <c r="A185" t="s">
        <v>268</v>
      </c>
      <c r="B185" t="s">
        <v>256</v>
      </c>
      <c r="C185" t="s">
        <v>188</v>
      </c>
      <c r="D185" t="s">
        <v>195</v>
      </c>
      <c r="E185" t="s">
        <v>175</v>
      </c>
      <c r="F185" t="s">
        <v>253</v>
      </c>
      <c r="G185">
        <v>0.41</v>
      </c>
      <c r="H185" t="s">
        <v>249</v>
      </c>
      <c r="I185">
        <v>0.000143664</v>
      </c>
      <c r="J185" t="s">
        <v>138</v>
      </c>
      <c r="K185" t="s">
        <v>257</v>
      </c>
      <c r="L185" t="s">
        <v>258</v>
      </c>
    </row>
    <row r="186" spans="1:12" ht="12.75">
      <c r="A186" t="s">
        <v>268</v>
      </c>
      <c r="B186" t="s">
        <v>252</v>
      </c>
      <c r="C186" t="s">
        <v>188</v>
      </c>
      <c r="D186" t="s">
        <v>195</v>
      </c>
      <c r="E186" t="s">
        <v>175</v>
      </c>
      <c r="F186" t="s">
        <v>253</v>
      </c>
      <c r="G186">
        <v>0.42</v>
      </c>
      <c r="H186" t="s">
        <v>249</v>
      </c>
      <c r="I186">
        <v>0.0009828</v>
      </c>
      <c r="J186" t="s">
        <v>138</v>
      </c>
      <c r="K186" t="s">
        <v>254</v>
      </c>
      <c r="L186" t="s">
        <v>255</v>
      </c>
    </row>
    <row r="187" spans="1:12" ht="12.75">
      <c r="A187" t="s">
        <v>268</v>
      </c>
      <c r="B187" t="s">
        <v>256</v>
      </c>
      <c r="C187" t="s">
        <v>188</v>
      </c>
      <c r="D187" t="s">
        <v>195</v>
      </c>
      <c r="E187" t="s">
        <v>29</v>
      </c>
      <c r="G187">
        <v>57.077625570776256</v>
      </c>
      <c r="H187" t="s">
        <v>249</v>
      </c>
      <c r="I187">
        <v>0.02</v>
      </c>
      <c r="J187" t="s">
        <v>138</v>
      </c>
      <c r="K187" t="s">
        <v>257</v>
      </c>
      <c r="L187" t="s">
        <v>258</v>
      </c>
    </row>
    <row r="188" spans="1:12" ht="12.75">
      <c r="A188" t="s">
        <v>268</v>
      </c>
      <c r="B188" t="s">
        <v>248</v>
      </c>
      <c r="C188" t="s">
        <v>188</v>
      </c>
      <c r="D188" t="s">
        <v>195</v>
      </c>
      <c r="E188" t="s">
        <v>176</v>
      </c>
      <c r="G188">
        <v>1098</v>
      </c>
      <c r="H188" t="s">
        <v>249</v>
      </c>
      <c r="I188">
        <v>0.0542412</v>
      </c>
      <c r="J188" t="s">
        <v>138</v>
      </c>
      <c r="K188" t="s">
        <v>250</v>
      </c>
      <c r="L188" t="s">
        <v>251</v>
      </c>
    </row>
    <row r="189" spans="1:12" ht="12.75">
      <c r="A189" t="s">
        <v>268</v>
      </c>
      <c r="B189" t="s">
        <v>256</v>
      </c>
      <c r="C189" t="s">
        <v>188</v>
      </c>
      <c r="D189" t="s">
        <v>195</v>
      </c>
      <c r="E189" t="s">
        <v>176</v>
      </c>
      <c r="F189" t="s">
        <v>253</v>
      </c>
      <c r="G189">
        <v>1.26</v>
      </c>
      <c r="H189" t="s">
        <v>249</v>
      </c>
      <c r="I189">
        <v>0.000441504</v>
      </c>
      <c r="J189" t="s">
        <v>138</v>
      </c>
      <c r="K189" t="s">
        <v>257</v>
      </c>
      <c r="L189" t="s">
        <v>258</v>
      </c>
    </row>
    <row r="190" spans="1:12" ht="12.75">
      <c r="A190" t="s">
        <v>268</v>
      </c>
      <c r="B190" t="s">
        <v>252</v>
      </c>
      <c r="C190" t="s">
        <v>188</v>
      </c>
      <c r="D190" t="s">
        <v>195</v>
      </c>
      <c r="E190" t="s">
        <v>176</v>
      </c>
      <c r="F190" t="s">
        <v>253</v>
      </c>
      <c r="G190">
        <v>1.29</v>
      </c>
      <c r="H190" t="s">
        <v>249</v>
      </c>
      <c r="I190">
        <v>0.0030186</v>
      </c>
      <c r="J190" t="s">
        <v>138</v>
      </c>
      <c r="K190" t="s">
        <v>254</v>
      </c>
      <c r="L190" t="s">
        <v>255</v>
      </c>
    </row>
    <row r="191" spans="1:12" ht="12.75">
      <c r="A191" t="s">
        <v>268</v>
      </c>
      <c r="B191" t="s">
        <v>252</v>
      </c>
      <c r="C191" t="s">
        <v>188</v>
      </c>
      <c r="D191" t="s">
        <v>195</v>
      </c>
      <c r="E191" t="s">
        <v>30</v>
      </c>
      <c r="G191">
        <v>490170.94017094</v>
      </c>
      <c r="H191" t="s">
        <v>249</v>
      </c>
      <c r="I191">
        <v>1147</v>
      </c>
      <c r="J191" t="s">
        <v>138</v>
      </c>
      <c r="K191" t="s">
        <v>254</v>
      </c>
      <c r="L191" t="s">
        <v>255</v>
      </c>
    </row>
    <row r="192" spans="1:12" ht="12.75">
      <c r="A192" t="s">
        <v>268</v>
      </c>
      <c r="B192" t="s">
        <v>252</v>
      </c>
      <c r="C192" t="s">
        <v>188</v>
      </c>
      <c r="D192" t="s">
        <v>195</v>
      </c>
      <c r="E192" t="s">
        <v>189</v>
      </c>
      <c r="G192">
        <v>140901.70940171</v>
      </c>
      <c r="H192" t="s">
        <v>249</v>
      </c>
      <c r="I192">
        <v>329.71</v>
      </c>
      <c r="J192" t="s">
        <v>138</v>
      </c>
      <c r="K192" t="s">
        <v>254</v>
      </c>
      <c r="L192" t="s">
        <v>255</v>
      </c>
    </row>
    <row r="193" spans="1:12" ht="12.75">
      <c r="A193" t="s">
        <v>268</v>
      </c>
      <c r="B193" t="s">
        <v>256</v>
      </c>
      <c r="C193" t="s">
        <v>188</v>
      </c>
      <c r="D193" t="s">
        <v>195</v>
      </c>
      <c r="E193" t="s">
        <v>189</v>
      </c>
      <c r="F193" t="s">
        <v>253</v>
      </c>
      <c r="G193">
        <v>16</v>
      </c>
      <c r="H193" t="s">
        <v>249</v>
      </c>
      <c r="I193">
        <v>0.0056064</v>
      </c>
      <c r="J193" t="s">
        <v>138</v>
      </c>
      <c r="K193" t="s">
        <v>257</v>
      </c>
      <c r="L193" t="s">
        <v>258</v>
      </c>
    </row>
    <row r="194" spans="1:12" ht="12.75">
      <c r="A194" t="s">
        <v>268</v>
      </c>
      <c r="B194" t="s">
        <v>256</v>
      </c>
      <c r="C194" t="s">
        <v>188</v>
      </c>
      <c r="D194" t="s">
        <v>195</v>
      </c>
      <c r="E194" t="s">
        <v>178</v>
      </c>
      <c r="G194">
        <v>3.1</v>
      </c>
      <c r="H194" t="s">
        <v>249</v>
      </c>
      <c r="I194">
        <v>0.00108624</v>
      </c>
      <c r="J194" t="s">
        <v>138</v>
      </c>
      <c r="K194" t="s">
        <v>257</v>
      </c>
      <c r="L194" t="s">
        <v>258</v>
      </c>
    </row>
    <row r="195" spans="1:12" ht="12.75">
      <c r="A195" t="s">
        <v>268</v>
      </c>
      <c r="B195" t="s">
        <v>248</v>
      </c>
      <c r="C195" t="s">
        <v>188</v>
      </c>
      <c r="D195" t="s">
        <v>195</v>
      </c>
      <c r="E195" t="s">
        <v>178</v>
      </c>
      <c r="G195">
        <v>4791</v>
      </c>
      <c r="H195" t="s">
        <v>249</v>
      </c>
      <c r="I195">
        <v>0.2366754</v>
      </c>
      <c r="J195" t="s">
        <v>138</v>
      </c>
      <c r="K195" t="s">
        <v>250</v>
      </c>
      <c r="L195" t="s">
        <v>251</v>
      </c>
    </row>
    <row r="196" spans="1:12" ht="12.75">
      <c r="A196" t="s">
        <v>268</v>
      </c>
      <c r="B196" t="s">
        <v>252</v>
      </c>
      <c r="C196" t="s">
        <v>188</v>
      </c>
      <c r="D196" t="s">
        <v>195</v>
      </c>
      <c r="E196" t="s">
        <v>178</v>
      </c>
      <c r="F196" t="s">
        <v>253</v>
      </c>
      <c r="G196">
        <v>1.16</v>
      </c>
      <c r="H196" t="s">
        <v>249</v>
      </c>
      <c r="I196">
        <v>0.0027144</v>
      </c>
      <c r="J196" t="s">
        <v>138</v>
      </c>
      <c r="K196" t="s">
        <v>254</v>
      </c>
      <c r="L196" t="s">
        <v>255</v>
      </c>
    </row>
    <row r="197" spans="1:8" ht="12.75">
      <c r="A197" t="s">
        <v>268</v>
      </c>
      <c r="B197" t="s">
        <v>252</v>
      </c>
      <c r="C197" t="s">
        <v>188</v>
      </c>
      <c r="D197" t="s">
        <v>195</v>
      </c>
      <c r="E197" t="s">
        <v>259</v>
      </c>
      <c r="G197">
        <v>2340</v>
      </c>
      <c r="H197" t="s">
        <v>138</v>
      </c>
    </row>
    <row r="198" spans="1:8" ht="12.75">
      <c r="A198" t="s">
        <v>268</v>
      </c>
      <c r="B198" t="s">
        <v>256</v>
      </c>
      <c r="C198" t="s">
        <v>188</v>
      </c>
      <c r="D198" t="s">
        <v>195</v>
      </c>
      <c r="E198" t="s">
        <v>259</v>
      </c>
      <c r="G198">
        <v>350.4</v>
      </c>
      <c r="H198" t="s">
        <v>138</v>
      </c>
    </row>
    <row r="199" spans="1:8" ht="12.75">
      <c r="A199" t="s">
        <v>268</v>
      </c>
      <c r="B199" t="s">
        <v>248</v>
      </c>
      <c r="C199" t="s">
        <v>188</v>
      </c>
      <c r="D199" t="s">
        <v>195</v>
      </c>
      <c r="E199" t="s">
        <v>259</v>
      </c>
      <c r="G199">
        <v>49.4</v>
      </c>
      <c r="H199" t="s">
        <v>138</v>
      </c>
    </row>
    <row r="200" spans="1:7" ht="12.75">
      <c r="A200" t="s">
        <v>268</v>
      </c>
      <c r="B200" t="s">
        <v>252</v>
      </c>
      <c r="C200" t="s">
        <v>188</v>
      </c>
      <c r="D200" t="s">
        <v>195</v>
      </c>
      <c r="E200" t="s">
        <v>28</v>
      </c>
      <c r="G200">
        <v>0.02</v>
      </c>
    </row>
    <row r="201" spans="1:7" ht="12.75">
      <c r="A201" t="s">
        <v>268</v>
      </c>
      <c r="B201" t="s">
        <v>256</v>
      </c>
      <c r="C201" t="s">
        <v>188</v>
      </c>
      <c r="D201" t="s">
        <v>195</v>
      </c>
      <c r="E201" t="s">
        <v>28</v>
      </c>
      <c r="G201">
        <v>0.03</v>
      </c>
    </row>
    <row r="202" spans="1:7" ht="12.75">
      <c r="A202" t="s">
        <v>268</v>
      </c>
      <c r="B202" t="s">
        <v>248</v>
      </c>
      <c r="C202" t="s">
        <v>188</v>
      </c>
      <c r="D202" t="s">
        <v>195</v>
      </c>
      <c r="E202" t="s">
        <v>28</v>
      </c>
      <c r="G202">
        <v>0</v>
      </c>
    </row>
    <row r="203" spans="1:7" ht="12.75">
      <c r="A203" t="s">
        <v>268</v>
      </c>
      <c r="B203" t="s">
        <v>252</v>
      </c>
      <c r="C203" t="s">
        <v>188</v>
      </c>
      <c r="D203" t="s">
        <v>195</v>
      </c>
      <c r="E203" t="s">
        <v>260</v>
      </c>
      <c r="G203">
        <v>7092</v>
      </c>
    </row>
    <row r="204" spans="1:7" ht="12.75">
      <c r="A204" t="s">
        <v>268</v>
      </c>
      <c r="B204" t="s">
        <v>256</v>
      </c>
      <c r="C204" t="s">
        <v>188</v>
      </c>
      <c r="D204" t="s">
        <v>195</v>
      </c>
      <c r="E204" t="s">
        <v>260</v>
      </c>
      <c r="G204">
        <v>19355</v>
      </c>
    </row>
    <row r="205" spans="1:7" ht="12.75">
      <c r="A205" t="s">
        <v>268</v>
      </c>
      <c r="B205" t="s">
        <v>248</v>
      </c>
      <c r="C205" t="s">
        <v>188</v>
      </c>
      <c r="D205" t="s">
        <v>195</v>
      </c>
      <c r="E205" t="s">
        <v>260</v>
      </c>
      <c r="G205">
        <v>0</v>
      </c>
    </row>
    <row r="206" spans="1:12" ht="12.75">
      <c r="A206" t="s">
        <v>269</v>
      </c>
      <c r="B206" t="s">
        <v>248</v>
      </c>
      <c r="C206" t="s">
        <v>188</v>
      </c>
      <c r="D206" t="s">
        <v>196</v>
      </c>
      <c r="E206" t="s">
        <v>174</v>
      </c>
      <c r="G206">
        <v>701</v>
      </c>
      <c r="H206" t="s">
        <v>249</v>
      </c>
      <c r="I206">
        <v>0.0326666</v>
      </c>
      <c r="J206" t="s">
        <v>138</v>
      </c>
      <c r="K206" t="s">
        <v>250</v>
      </c>
      <c r="L206" t="s">
        <v>251</v>
      </c>
    </row>
    <row r="207" spans="1:12" ht="12.75">
      <c r="A207" t="s">
        <v>269</v>
      </c>
      <c r="B207" t="s">
        <v>252</v>
      </c>
      <c r="C207" t="s">
        <v>188</v>
      </c>
      <c r="D207" t="s">
        <v>196</v>
      </c>
      <c r="E207" t="s">
        <v>174</v>
      </c>
      <c r="F207" t="s">
        <v>253</v>
      </c>
      <c r="G207">
        <v>7.69</v>
      </c>
      <c r="H207" t="s">
        <v>249</v>
      </c>
      <c r="I207">
        <v>0.0186867</v>
      </c>
      <c r="J207" t="s">
        <v>138</v>
      </c>
      <c r="K207" t="s">
        <v>254</v>
      </c>
      <c r="L207" t="s">
        <v>255</v>
      </c>
    </row>
    <row r="208" spans="1:12" ht="12.75">
      <c r="A208" t="s">
        <v>269</v>
      </c>
      <c r="B208" t="s">
        <v>256</v>
      </c>
      <c r="C208" t="s">
        <v>188</v>
      </c>
      <c r="D208" t="s">
        <v>196</v>
      </c>
      <c r="E208" t="s">
        <v>174</v>
      </c>
      <c r="F208" t="s">
        <v>253</v>
      </c>
      <c r="G208">
        <v>7.81</v>
      </c>
      <c r="H208" t="s">
        <v>249</v>
      </c>
      <c r="I208">
        <v>0.002005608</v>
      </c>
      <c r="J208" t="s">
        <v>138</v>
      </c>
      <c r="K208" t="s">
        <v>257</v>
      </c>
      <c r="L208" t="s">
        <v>258</v>
      </c>
    </row>
    <row r="209" spans="1:12" ht="12.75">
      <c r="A209" t="s">
        <v>269</v>
      </c>
      <c r="B209" t="s">
        <v>248</v>
      </c>
      <c r="C209" t="s">
        <v>188</v>
      </c>
      <c r="D209" t="s">
        <v>196</v>
      </c>
      <c r="E209" t="s">
        <v>175</v>
      </c>
      <c r="G209">
        <v>255</v>
      </c>
      <c r="H209" t="s">
        <v>249</v>
      </c>
      <c r="I209">
        <v>0.011883</v>
      </c>
      <c r="J209" t="s">
        <v>138</v>
      </c>
      <c r="K209" t="s">
        <v>250</v>
      </c>
      <c r="L209" t="s">
        <v>251</v>
      </c>
    </row>
    <row r="210" spans="1:12" ht="12.75">
      <c r="A210" t="s">
        <v>269</v>
      </c>
      <c r="B210" t="s">
        <v>252</v>
      </c>
      <c r="C210" t="s">
        <v>188</v>
      </c>
      <c r="D210" t="s">
        <v>196</v>
      </c>
      <c r="E210" t="s">
        <v>175</v>
      </c>
      <c r="F210" t="s">
        <v>253</v>
      </c>
      <c r="G210">
        <v>0.41</v>
      </c>
      <c r="H210" t="s">
        <v>249</v>
      </c>
      <c r="I210">
        <v>0.0009963</v>
      </c>
      <c r="J210" t="s">
        <v>138</v>
      </c>
      <c r="K210" t="s">
        <v>254</v>
      </c>
      <c r="L210" t="s">
        <v>255</v>
      </c>
    </row>
    <row r="211" spans="1:12" ht="12.75">
      <c r="A211" t="s">
        <v>269</v>
      </c>
      <c r="B211" t="s">
        <v>256</v>
      </c>
      <c r="C211" t="s">
        <v>188</v>
      </c>
      <c r="D211" t="s">
        <v>196</v>
      </c>
      <c r="E211" t="s">
        <v>175</v>
      </c>
      <c r="F211" t="s">
        <v>253</v>
      </c>
      <c r="G211">
        <v>0.42</v>
      </c>
      <c r="H211" t="s">
        <v>249</v>
      </c>
      <c r="I211">
        <v>0.000107856</v>
      </c>
      <c r="J211" t="s">
        <v>138</v>
      </c>
      <c r="K211" t="s">
        <v>257</v>
      </c>
      <c r="L211" t="s">
        <v>258</v>
      </c>
    </row>
    <row r="212" spans="1:12" ht="12.75">
      <c r="A212" t="s">
        <v>269</v>
      </c>
      <c r="B212" t="s">
        <v>256</v>
      </c>
      <c r="C212" t="s">
        <v>188</v>
      </c>
      <c r="D212" t="s">
        <v>196</v>
      </c>
      <c r="E212" t="s">
        <v>29</v>
      </c>
      <c r="G212">
        <v>38.94080996884735</v>
      </c>
      <c r="H212" t="s">
        <v>249</v>
      </c>
      <c r="I212">
        <v>0.01</v>
      </c>
      <c r="J212" t="s">
        <v>138</v>
      </c>
      <c r="K212" t="s">
        <v>257</v>
      </c>
      <c r="L212" t="s">
        <v>258</v>
      </c>
    </row>
    <row r="213" spans="1:12" ht="12.75">
      <c r="A213" t="s">
        <v>269</v>
      </c>
      <c r="B213" t="s">
        <v>248</v>
      </c>
      <c r="C213" t="s">
        <v>188</v>
      </c>
      <c r="D213" t="s">
        <v>196</v>
      </c>
      <c r="E213" t="s">
        <v>176</v>
      </c>
      <c r="G213">
        <v>1070</v>
      </c>
      <c r="H213" t="s">
        <v>249</v>
      </c>
      <c r="I213">
        <v>0.049862</v>
      </c>
      <c r="J213" t="s">
        <v>138</v>
      </c>
      <c r="K213" t="s">
        <v>250</v>
      </c>
      <c r="L213" t="s">
        <v>251</v>
      </c>
    </row>
    <row r="214" spans="1:12" ht="12.75">
      <c r="A214" t="s">
        <v>269</v>
      </c>
      <c r="B214" t="s">
        <v>252</v>
      </c>
      <c r="C214" t="s">
        <v>188</v>
      </c>
      <c r="D214" t="s">
        <v>196</v>
      </c>
      <c r="E214" t="s">
        <v>176</v>
      </c>
      <c r="F214" t="s">
        <v>253</v>
      </c>
      <c r="G214">
        <v>1.25</v>
      </c>
      <c r="H214" t="s">
        <v>249</v>
      </c>
      <c r="I214">
        <v>0.0030375</v>
      </c>
      <c r="J214" t="s">
        <v>138</v>
      </c>
      <c r="K214" t="s">
        <v>254</v>
      </c>
      <c r="L214" t="s">
        <v>255</v>
      </c>
    </row>
    <row r="215" spans="1:12" ht="12.75">
      <c r="A215" t="s">
        <v>269</v>
      </c>
      <c r="B215" t="s">
        <v>256</v>
      </c>
      <c r="C215" t="s">
        <v>188</v>
      </c>
      <c r="D215" t="s">
        <v>196</v>
      </c>
      <c r="E215" t="s">
        <v>176</v>
      </c>
      <c r="F215" t="s">
        <v>253</v>
      </c>
      <c r="G215">
        <v>1.27</v>
      </c>
      <c r="H215" t="s">
        <v>249</v>
      </c>
      <c r="I215">
        <v>0.000326136</v>
      </c>
      <c r="J215" t="s">
        <v>138</v>
      </c>
      <c r="K215" t="s">
        <v>257</v>
      </c>
      <c r="L215" t="s">
        <v>258</v>
      </c>
    </row>
    <row r="216" spans="1:12" ht="12.75">
      <c r="A216" t="s">
        <v>269</v>
      </c>
      <c r="B216" t="s">
        <v>252</v>
      </c>
      <c r="C216" t="s">
        <v>188</v>
      </c>
      <c r="D216" t="s">
        <v>196</v>
      </c>
      <c r="E216" t="s">
        <v>30</v>
      </c>
      <c r="G216">
        <v>490123.4567901235</v>
      </c>
      <c r="H216" t="s">
        <v>249</v>
      </c>
      <c r="I216">
        <v>1191</v>
      </c>
      <c r="J216" t="s">
        <v>138</v>
      </c>
      <c r="K216" t="s">
        <v>254</v>
      </c>
      <c r="L216" t="s">
        <v>255</v>
      </c>
    </row>
    <row r="217" spans="1:12" ht="12.75">
      <c r="A217" t="s">
        <v>269</v>
      </c>
      <c r="B217" t="s">
        <v>252</v>
      </c>
      <c r="C217" t="s">
        <v>188</v>
      </c>
      <c r="D217" t="s">
        <v>196</v>
      </c>
      <c r="E217" t="s">
        <v>189</v>
      </c>
      <c r="G217">
        <v>104300.41152263375</v>
      </c>
      <c r="H217" t="s">
        <v>249</v>
      </c>
      <c r="I217">
        <v>253.45</v>
      </c>
      <c r="J217" t="s">
        <v>138</v>
      </c>
      <c r="K217" t="s">
        <v>254</v>
      </c>
      <c r="L217" t="s">
        <v>255</v>
      </c>
    </row>
    <row r="218" spans="1:12" ht="12.75">
      <c r="A218" t="s">
        <v>269</v>
      </c>
      <c r="B218" t="s">
        <v>256</v>
      </c>
      <c r="C218" t="s">
        <v>188</v>
      </c>
      <c r="D218" t="s">
        <v>196</v>
      </c>
      <c r="E218" t="s">
        <v>189</v>
      </c>
      <c r="F218" t="s">
        <v>253</v>
      </c>
      <c r="G218">
        <v>16</v>
      </c>
      <c r="H218" t="s">
        <v>249</v>
      </c>
      <c r="I218">
        <v>0.0041088</v>
      </c>
      <c r="J218" t="s">
        <v>138</v>
      </c>
      <c r="K218" t="s">
        <v>257</v>
      </c>
      <c r="L218" t="s">
        <v>258</v>
      </c>
    </row>
    <row r="219" spans="1:12" ht="12.75">
      <c r="A219" t="s">
        <v>269</v>
      </c>
      <c r="B219" t="s">
        <v>252</v>
      </c>
      <c r="C219" t="s">
        <v>188</v>
      </c>
      <c r="D219" t="s">
        <v>196</v>
      </c>
      <c r="E219" t="s">
        <v>178</v>
      </c>
      <c r="G219">
        <v>1.15</v>
      </c>
      <c r="H219" t="s">
        <v>249</v>
      </c>
      <c r="I219">
        <v>0.0027945</v>
      </c>
      <c r="J219" t="s">
        <v>138</v>
      </c>
      <c r="K219" t="s">
        <v>254</v>
      </c>
      <c r="L219" t="s">
        <v>255</v>
      </c>
    </row>
    <row r="220" spans="1:12" ht="12.75">
      <c r="A220" t="s">
        <v>269</v>
      </c>
      <c r="B220" t="s">
        <v>256</v>
      </c>
      <c r="C220" t="s">
        <v>188</v>
      </c>
      <c r="D220" t="s">
        <v>196</v>
      </c>
      <c r="E220" t="s">
        <v>178</v>
      </c>
      <c r="G220">
        <v>6.28</v>
      </c>
      <c r="H220" t="s">
        <v>249</v>
      </c>
      <c r="I220">
        <v>0.001612704</v>
      </c>
      <c r="J220" t="s">
        <v>138</v>
      </c>
      <c r="K220" t="s">
        <v>257</v>
      </c>
      <c r="L220" t="s">
        <v>258</v>
      </c>
    </row>
    <row r="221" spans="1:12" ht="12.75">
      <c r="A221" t="s">
        <v>269</v>
      </c>
      <c r="B221" t="s">
        <v>248</v>
      </c>
      <c r="C221" t="s">
        <v>188</v>
      </c>
      <c r="D221" t="s">
        <v>196</v>
      </c>
      <c r="E221" t="s">
        <v>178</v>
      </c>
      <c r="G221">
        <v>4642</v>
      </c>
      <c r="H221" t="s">
        <v>249</v>
      </c>
      <c r="I221">
        <v>0.2163172</v>
      </c>
      <c r="J221" t="s">
        <v>138</v>
      </c>
      <c r="K221" t="s">
        <v>250</v>
      </c>
      <c r="L221" t="s">
        <v>251</v>
      </c>
    </row>
    <row r="222" spans="1:8" ht="12.75">
      <c r="A222" t="s">
        <v>269</v>
      </c>
      <c r="B222" t="s">
        <v>252</v>
      </c>
      <c r="C222" t="s">
        <v>188</v>
      </c>
      <c r="D222" t="s">
        <v>196</v>
      </c>
      <c r="E222" t="s">
        <v>259</v>
      </c>
      <c r="G222">
        <v>2430</v>
      </c>
      <c r="H222" t="s">
        <v>138</v>
      </c>
    </row>
    <row r="223" spans="1:8" ht="12.75">
      <c r="A223" t="s">
        <v>269</v>
      </c>
      <c r="B223" t="s">
        <v>256</v>
      </c>
      <c r="C223" t="s">
        <v>188</v>
      </c>
      <c r="D223" t="s">
        <v>196</v>
      </c>
      <c r="E223" t="s">
        <v>259</v>
      </c>
      <c r="G223">
        <v>256.8</v>
      </c>
      <c r="H223" t="s">
        <v>138</v>
      </c>
    </row>
    <row r="224" spans="1:8" ht="12.75">
      <c r="A224" t="s">
        <v>269</v>
      </c>
      <c r="B224" t="s">
        <v>248</v>
      </c>
      <c r="C224" t="s">
        <v>188</v>
      </c>
      <c r="D224" t="s">
        <v>196</v>
      </c>
      <c r="E224" t="s">
        <v>259</v>
      </c>
      <c r="G224">
        <v>46.6</v>
      </c>
      <c r="H224" t="s">
        <v>138</v>
      </c>
    </row>
    <row r="225" spans="1:7" ht="12.75">
      <c r="A225" t="s">
        <v>269</v>
      </c>
      <c r="B225" t="s">
        <v>252</v>
      </c>
      <c r="C225" t="s">
        <v>188</v>
      </c>
      <c r="D225" t="s">
        <v>196</v>
      </c>
      <c r="E225" t="s">
        <v>28</v>
      </c>
      <c r="G225">
        <v>0.02</v>
      </c>
    </row>
    <row r="226" spans="1:7" ht="12.75">
      <c r="A226" t="s">
        <v>269</v>
      </c>
      <c r="B226" t="s">
        <v>256</v>
      </c>
      <c r="C226" t="s">
        <v>188</v>
      </c>
      <c r="D226" t="s">
        <v>196</v>
      </c>
      <c r="E226" t="s">
        <v>28</v>
      </c>
      <c r="G226">
        <v>0.03</v>
      </c>
    </row>
    <row r="227" spans="1:7" ht="12.75">
      <c r="A227" t="s">
        <v>269</v>
      </c>
      <c r="B227" t="s">
        <v>248</v>
      </c>
      <c r="C227" t="s">
        <v>188</v>
      </c>
      <c r="D227" t="s">
        <v>196</v>
      </c>
      <c r="E227" t="s">
        <v>28</v>
      </c>
      <c r="G227">
        <v>0</v>
      </c>
    </row>
    <row r="228" spans="1:7" ht="12.75">
      <c r="A228" t="s">
        <v>269</v>
      </c>
      <c r="B228" t="s">
        <v>252</v>
      </c>
      <c r="C228" t="s">
        <v>188</v>
      </c>
      <c r="D228" t="s">
        <v>196</v>
      </c>
      <c r="E228" t="s">
        <v>260</v>
      </c>
      <c r="G228">
        <v>6865</v>
      </c>
    </row>
    <row r="229" spans="1:7" ht="12.75">
      <c r="A229" t="s">
        <v>269</v>
      </c>
      <c r="B229" t="s">
        <v>256</v>
      </c>
      <c r="C229" t="s">
        <v>188</v>
      </c>
      <c r="D229" t="s">
        <v>196</v>
      </c>
      <c r="E229" t="s">
        <v>260</v>
      </c>
      <c r="G229">
        <v>19145</v>
      </c>
    </row>
    <row r="230" spans="1:7" ht="12.75">
      <c r="A230" t="s">
        <v>269</v>
      </c>
      <c r="B230" t="s">
        <v>248</v>
      </c>
      <c r="C230" t="s">
        <v>188</v>
      </c>
      <c r="D230" t="s">
        <v>196</v>
      </c>
      <c r="E230" t="s">
        <v>260</v>
      </c>
      <c r="G230">
        <v>0</v>
      </c>
    </row>
    <row r="231" spans="1:12" ht="12.75">
      <c r="A231" t="s">
        <v>270</v>
      </c>
      <c r="B231" t="s">
        <v>252</v>
      </c>
      <c r="C231" t="s">
        <v>190</v>
      </c>
      <c r="D231" t="s">
        <v>194</v>
      </c>
      <c r="E231" t="s">
        <v>174</v>
      </c>
      <c r="F231" t="s">
        <v>253</v>
      </c>
      <c r="G231">
        <v>7.97</v>
      </c>
      <c r="H231" t="s">
        <v>249</v>
      </c>
      <c r="I231">
        <v>0.0124332</v>
      </c>
      <c r="J231" t="s">
        <v>138</v>
      </c>
      <c r="K231" t="s">
        <v>254</v>
      </c>
      <c r="L231" t="s">
        <v>255</v>
      </c>
    </row>
    <row r="232" spans="1:12" ht="12.75">
      <c r="A232" t="s">
        <v>270</v>
      </c>
      <c r="B232" t="s">
        <v>252</v>
      </c>
      <c r="C232" t="s">
        <v>190</v>
      </c>
      <c r="D232" t="s">
        <v>194</v>
      </c>
      <c r="E232" t="s">
        <v>175</v>
      </c>
      <c r="G232">
        <v>0.46</v>
      </c>
      <c r="H232" t="s">
        <v>249</v>
      </c>
      <c r="I232">
        <v>0.0007176</v>
      </c>
      <c r="J232" t="s">
        <v>138</v>
      </c>
      <c r="K232" t="s">
        <v>254</v>
      </c>
      <c r="L232" t="s">
        <v>255</v>
      </c>
    </row>
    <row r="233" spans="1:12" ht="12.75">
      <c r="A233" t="s">
        <v>270</v>
      </c>
      <c r="B233" t="s">
        <v>252</v>
      </c>
      <c r="C233" t="s">
        <v>190</v>
      </c>
      <c r="D233" t="s">
        <v>194</v>
      </c>
      <c r="E233" t="s">
        <v>176</v>
      </c>
      <c r="G233">
        <v>12.69</v>
      </c>
      <c r="H233" t="s">
        <v>249</v>
      </c>
      <c r="I233">
        <v>0.0197964</v>
      </c>
      <c r="J233" t="s">
        <v>138</v>
      </c>
      <c r="K233" t="s">
        <v>254</v>
      </c>
      <c r="L233" t="s">
        <v>255</v>
      </c>
    </row>
    <row r="234" spans="1:12" ht="12.75">
      <c r="A234" t="s">
        <v>270</v>
      </c>
      <c r="B234" t="s">
        <v>252</v>
      </c>
      <c r="C234" t="s">
        <v>190</v>
      </c>
      <c r="D234" t="s">
        <v>194</v>
      </c>
      <c r="E234" t="s">
        <v>30</v>
      </c>
      <c r="G234">
        <v>334615.3846153846</v>
      </c>
      <c r="H234" t="s">
        <v>249</v>
      </c>
      <c r="I234">
        <v>522</v>
      </c>
      <c r="J234" t="s">
        <v>138</v>
      </c>
      <c r="K234" t="s">
        <v>254</v>
      </c>
      <c r="L234" t="s">
        <v>255</v>
      </c>
    </row>
    <row r="235" spans="1:12" ht="12.75">
      <c r="A235" t="s">
        <v>270</v>
      </c>
      <c r="B235" t="s">
        <v>252</v>
      </c>
      <c r="C235" t="s">
        <v>190</v>
      </c>
      <c r="D235" t="s">
        <v>194</v>
      </c>
      <c r="E235" t="s">
        <v>189</v>
      </c>
      <c r="G235">
        <v>20198.717948718</v>
      </c>
      <c r="H235" t="s">
        <v>249</v>
      </c>
      <c r="I235">
        <v>31.51</v>
      </c>
      <c r="J235" t="s">
        <v>138</v>
      </c>
      <c r="K235" t="s">
        <v>254</v>
      </c>
      <c r="L235" t="s">
        <v>255</v>
      </c>
    </row>
    <row r="236" spans="1:12" ht="12.75">
      <c r="A236" t="s">
        <v>270</v>
      </c>
      <c r="B236" t="s">
        <v>252</v>
      </c>
      <c r="C236" t="s">
        <v>190</v>
      </c>
      <c r="D236" t="s">
        <v>194</v>
      </c>
      <c r="E236" t="s">
        <v>178</v>
      </c>
      <c r="G236">
        <v>9.87</v>
      </c>
      <c r="H236" t="s">
        <v>249</v>
      </c>
      <c r="I236">
        <v>0.0153972</v>
      </c>
      <c r="J236" t="s">
        <v>138</v>
      </c>
      <c r="K236" t="s">
        <v>254</v>
      </c>
      <c r="L236" t="s">
        <v>255</v>
      </c>
    </row>
    <row r="237" spans="1:8" ht="12.75">
      <c r="A237" t="s">
        <v>270</v>
      </c>
      <c r="B237" t="s">
        <v>252</v>
      </c>
      <c r="C237" t="s">
        <v>190</v>
      </c>
      <c r="D237" t="s">
        <v>194</v>
      </c>
      <c r="E237" t="s">
        <v>259</v>
      </c>
      <c r="G237">
        <v>1560</v>
      </c>
      <c r="H237" t="s">
        <v>138</v>
      </c>
    </row>
    <row r="238" spans="1:7" ht="12.75">
      <c r="A238" t="s">
        <v>270</v>
      </c>
      <c r="B238" t="s">
        <v>252</v>
      </c>
      <c r="C238" t="s">
        <v>190</v>
      </c>
      <c r="D238" t="s">
        <v>194</v>
      </c>
      <c r="E238" t="s">
        <v>28</v>
      </c>
      <c r="G238">
        <v>0.876</v>
      </c>
    </row>
    <row r="239" spans="1:7" ht="12.75">
      <c r="A239" t="s">
        <v>270</v>
      </c>
      <c r="B239" t="s">
        <v>252</v>
      </c>
      <c r="C239" t="s">
        <v>190</v>
      </c>
      <c r="D239" t="s">
        <v>194</v>
      </c>
      <c r="E239" t="s">
        <v>260</v>
      </c>
      <c r="G239">
        <v>11149</v>
      </c>
    </row>
    <row r="240" spans="1:12" ht="12.75">
      <c r="A240" t="s">
        <v>271</v>
      </c>
      <c r="B240" t="s">
        <v>252</v>
      </c>
      <c r="C240" t="s">
        <v>190</v>
      </c>
      <c r="D240" t="s">
        <v>195</v>
      </c>
      <c r="E240" t="s">
        <v>174</v>
      </c>
      <c r="F240" t="s">
        <v>253</v>
      </c>
      <c r="G240">
        <v>7.81</v>
      </c>
      <c r="H240" t="s">
        <v>249</v>
      </c>
      <c r="I240">
        <v>0.01232418</v>
      </c>
      <c r="J240" t="s">
        <v>138</v>
      </c>
      <c r="K240" t="s">
        <v>254</v>
      </c>
      <c r="L240" t="s">
        <v>255</v>
      </c>
    </row>
    <row r="241" spans="1:12" ht="12.75">
      <c r="A241" t="s">
        <v>271</v>
      </c>
      <c r="B241" t="s">
        <v>252</v>
      </c>
      <c r="C241" t="s">
        <v>190</v>
      </c>
      <c r="D241" t="s">
        <v>195</v>
      </c>
      <c r="E241" t="s">
        <v>175</v>
      </c>
      <c r="F241" t="s">
        <v>253</v>
      </c>
      <c r="G241">
        <v>0.42</v>
      </c>
      <c r="H241" t="s">
        <v>249</v>
      </c>
      <c r="I241">
        <v>0.00066276</v>
      </c>
      <c r="J241" t="s">
        <v>138</v>
      </c>
      <c r="K241" t="s">
        <v>254</v>
      </c>
      <c r="L241" t="s">
        <v>255</v>
      </c>
    </row>
    <row r="242" spans="1:12" ht="12.75">
      <c r="A242" t="s">
        <v>271</v>
      </c>
      <c r="B242" t="s">
        <v>252</v>
      </c>
      <c r="C242" t="s">
        <v>190</v>
      </c>
      <c r="D242" t="s">
        <v>195</v>
      </c>
      <c r="E242" t="s">
        <v>176</v>
      </c>
      <c r="G242">
        <v>11.95</v>
      </c>
      <c r="H242" t="s">
        <v>249</v>
      </c>
      <c r="I242">
        <v>0.0188571</v>
      </c>
      <c r="J242" t="s">
        <v>138</v>
      </c>
      <c r="K242" t="s">
        <v>254</v>
      </c>
      <c r="L242" t="s">
        <v>255</v>
      </c>
    </row>
    <row r="243" spans="1:12" ht="12.75">
      <c r="A243" t="s">
        <v>271</v>
      </c>
      <c r="B243" t="s">
        <v>252</v>
      </c>
      <c r="C243" t="s">
        <v>190</v>
      </c>
      <c r="D243" t="s">
        <v>195</v>
      </c>
      <c r="E243" t="s">
        <v>30</v>
      </c>
      <c r="G243">
        <v>338403.0418250951</v>
      </c>
      <c r="H243" t="s">
        <v>249</v>
      </c>
      <c r="I243">
        <v>534</v>
      </c>
      <c r="J243" t="s">
        <v>138</v>
      </c>
      <c r="K243" t="s">
        <v>254</v>
      </c>
      <c r="L243" t="s">
        <v>255</v>
      </c>
    </row>
    <row r="244" spans="1:12" ht="12.75">
      <c r="A244" t="s">
        <v>271</v>
      </c>
      <c r="B244" t="s">
        <v>252</v>
      </c>
      <c r="C244" t="s">
        <v>190</v>
      </c>
      <c r="D244" t="s">
        <v>195</v>
      </c>
      <c r="E244" t="s">
        <v>189</v>
      </c>
      <c r="G244">
        <v>20000</v>
      </c>
      <c r="H244" t="s">
        <v>249</v>
      </c>
      <c r="I244">
        <v>31.56</v>
      </c>
      <c r="J244" t="s">
        <v>138</v>
      </c>
      <c r="K244" t="s">
        <v>254</v>
      </c>
      <c r="L244" t="s">
        <v>255</v>
      </c>
    </row>
    <row r="245" spans="1:12" ht="12.75">
      <c r="A245" t="s">
        <v>271</v>
      </c>
      <c r="B245" t="s">
        <v>252</v>
      </c>
      <c r="C245" t="s">
        <v>190</v>
      </c>
      <c r="D245" t="s">
        <v>195</v>
      </c>
      <c r="E245" t="s">
        <v>178</v>
      </c>
      <c r="G245">
        <v>9.67</v>
      </c>
      <c r="H245" t="s">
        <v>249</v>
      </c>
      <c r="I245">
        <v>0.01525926</v>
      </c>
      <c r="J245" t="s">
        <v>138</v>
      </c>
      <c r="K245" t="s">
        <v>254</v>
      </c>
      <c r="L245" t="s">
        <v>255</v>
      </c>
    </row>
    <row r="246" spans="1:8" ht="12.75">
      <c r="A246" t="s">
        <v>271</v>
      </c>
      <c r="B246" t="s">
        <v>252</v>
      </c>
      <c r="C246" t="s">
        <v>190</v>
      </c>
      <c r="D246" t="s">
        <v>195</v>
      </c>
      <c r="E246" t="s">
        <v>259</v>
      </c>
      <c r="G246">
        <v>1578</v>
      </c>
      <c r="H246" t="s">
        <v>138</v>
      </c>
    </row>
    <row r="247" spans="1:7" ht="12.75">
      <c r="A247" t="s">
        <v>271</v>
      </c>
      <c r="B247" t="s">
        <v>252</v>
      </c>
      <c r="C247" t="s">
        <v>190</v>
      </c>
      <c r="D247" t="s">
        <v>195</v>
      </c>
      <c r="E247" t="s">
        <v>28</v>
      </c>
      <c r="G247">
        <v>0.843</v>
      </c>
    </row>
    <row r="248" spans="1:7" ht="12.75">
      <c r="A248" t="s">
        <v>271</v>
      </c>
      <c r="B248" t="s">
        <v>252</v>
      </c>
      <c r="C248" t="s">
        <v>190</v>
      </c>
      <c r="D248" t="s">
        <v>195</v>
      </c>
      <c r="E248" t="s">
        <v>260</v>
      </c>
      <c r="G248">
        <v>10966</v>
      </c>
    </row>
    <row r="249" spans="1:12" ht="12.75">
      <c r="A249" t="s">
        <v>272</v>
      </c>
      <c r="B249" t="s">
        <v>252</v>
      </c>
      <c r="C249" t="s">
        <v>190</v>
      </c>
      <c r="D249" t="s">
        <v>196</v>
      </c>
      <c r="E249" t="s">
        <v>174</v>
      </c>
      <c r="G249">
        <v>7.97</v>
      </c>
      <c r="H249" t="s">
        <v>249</v>
      </c>
      <c r="I249">
        <v>0.01262448</v>
      </c>
      <c r="J249" t="s">
        <v>138</v>
      </c>
      <c r="K249" t="s">
        <v>254</v>
      </c>
      <c r="L249" t="s">
        <v>255</v>
      </c>
    </row>
    <row r="250" spans="1:12" ht="12.75">
      <c r="A250" t="s">
        <v>272</v>
      </c>
      <c r="B250" t="s">
        <v>252</v>
      </c>
      <c r="C250" t="s">
        <v>190</v>
      </c>
      <c r="D250" t="s">
        <v>196</v>
      </c>
      <c r="E250" t="s">
        <v>175</v>
      </c>
      <c r="F250" t="s">
        <v>253</v>
      </c>
      <c r="G250">
        <v>0.41</v>
      </c>
      <c r="H250" t="s">
        <v>249</v>
      </c>
      <c r="I250">
        <v>0.00064944</v>
      </c>
      <c r="J250" t="s">
        <v>138</v>
      </c>
      <c r="K250" t="s">
        <v>254</v>
      </c>
      <c r="L250" t="s">
        <v>255</v>
      </c>
    </row>
    <row r="251" spans="1:12" ht="12.75">
      <c r="A251" t="s">
        <v>272</v>
      </c>
      <c r="B251" t="s">
        <v>252</v>
      </c>
      <c r="C251" t="s">
        <v>190</v>
      </c>
      <c r="D251" t="s">
        <v>196</v>
      </c>
      <c r="E251" t="s">
        <v>176</v>
      </c>
      <c r="G251">
        <v>11.5</v>
      </c>
      <c r="H251" t="s">
        <v>249</v>
      </c>
      <c r="I251">
        <v>0.018216</v>
      </c>
      <c r="J251" t="s">
        <v>138</v>
      </c>
      <c r="K251" t="s">
        <v>254</v>
      </c>
      <c r="L251" t="s">
        <v>255</v>
      </c>
    </row>
    <row r="252" spans="1:12" ht="12.75">
      <c r="A252" t="s">
        <v>272</v>
      </c>
      <c r="B252" t="s">
        <v>252</v>
      </c>
      <c r="C252" t="s">
        <v>190</v>
      </c>
      <c r="D252" t="s">
        <v>196</v>
      </c>
      <c r="E252" t="s">
        <v>30</v>
      </c>
      <c r="G252">
        <v>287247.4747474748</v>
      </c>
      <c r="H252" t="s">
        <v>249</v>
      </c>
      <c r="I252">
        <v>455</v>
      </c>
      <c r="J252" t="s">
        <v>138</v>
      </c>
      <c r="K252" t="s">
        <v>254</v>
      </c>
      <c r="L252" t="s">
        <v>255</v>
      </c>
    </row>
    <row r="253" spans="1:12" ht="12.75">
      <c r="A253" t="s">
        <v>272</v>
      </c>
      <c r="B253" t="s">
        <v>252</v>
      </c>
      <c r="C253" t="s">
        <v>190</v>
      </c>
      <c r="D253" t="s">
        <v>196</v>
      </c>
      <c r="E253" t="s">
        <v>189</v>
      </c>
      <c r="G253">
        <v>21799.242424242424</v>
      </c>
      <c r="H253" t="s">
        <v>249</v>
      </c>
      <c r="I253">
        <v>34.53</v>
      </c>
      <c r="J253" t="s">
        <v>138</v>
      </c>
      <c r="K253" t="s">
        <v>254</v>
      </c>
      <c r="L253" t="s">
        <v>255</v>
      </c>
    </row>
    <row r="254" spans="1:12" ht="12.75">
      <c r="A254" t="s">
        <v>272</v>
      </c>
      <c r="B254" t="s">
        <v>252</v>
      </c>
      <c r="C254" t="s">
        <v>190</v>
      </c>
      <c r="D254" t="s">
        <v>196</v>
      </c>
      <c r="E254" t="s">
        <v>178</v>
      </c>
      <c r="G254">
        <v>9.3</v>
      </c>
      <c r="H254" t="s">
        <v>249</v>
      </c>
      <c r="I254">
        <v>0.0147312</v>
      </c>
      <c r="J254" t="s">
        <v>138</v>
      </c>
      <c r="K254" t="s">
        <v>254</v>
      </c>
      <c r="L254" t="s">
        <v>255</v>
      </c>
    </row>
    <row r="255" spans="1:8" ht="12.75">
      <c r="A255" t="s">
        <v>272</v>
      </c>
      <c r="B255" t="s">
        <v>252</v>
      </c>
      <c r="C255" t="s">
        <v>190</v>
      </c>
      <c r="D255" t="s">
        <v>196</v>
      </c>
      <c r="E255" t="s">
        <v>259</v>
      </c>
      <c r="G255">
        <v>1584</v>
      </c>
      <c r="H255" t="s">
        <v>138</v>
      </c>
    </row>
    <row r="256" spans="1:7" ht="12.75">
      <c r="A256" t="s">
        <v>272</v>
      </c>
      <c r="B256" t="s">
        <v>252</v>
      </c>
      <c r="C256" t="s">
        <v>190</v>
      </c>
      <c r="D256" t="s">
        <v>196</v>
      </c>
      <c r="E256" t="s">
        <v>28</v>
      </c>
      <c r="G256">
        <v>0.926</v>
      </c>
    </row>
    <row r="257" spans="1:7" ht="12.75">
      <c r="A257" t="s">
        <v>272</v>
      </c>
      <c r="B257" t="s">
        <v>252</v>
      </c>
      <c r="C257" t="s">
        <v>190</v>
      </c>
      <c r="D257" t="s">
        <v>196</v>
      </c>
      <c r="E257" t="s">
        <v>260</v>
      </c>
      <c r="G257">
        <v>10808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1"/>
  <sheetViews>
    <sheetView workbookViewId="0" topLeftCell="B1">
      <selection activeCell="B31" sqref="B31"/>
    </sheetView>
  </sheetViews>
  <sheetFormatPr defaultColWidth="9.140625" defaultRowHeight="12.75"/>
  <cols>
    <col min="1" max="1" width="3.28125" style="1" hidden="1" customWidth="1"/>
    <col min="2" max="2" width="23.8515625" style="1" customWidth="1"/>
    <col min="3" max="3" width="71.00390625" style="1" customWidth="1"/>
    <col min="4" max="4" width="12.7109375" style="1" customWidth="1"/>
    <col min="5" max="16384" width="8.8515625" style="1" customWidth="1"/>
  </cols>
  <sheetData>
    <row r="1" spans="2:12" ht="12.75">
      <c r="B1" s="2" t="s">
        <v>58</v>
      </c>
      <c r="C1" s="36"/>
      <c r="D1" s="9"/>
      <c r="E1" s="9"/>
      <c r="F1" s="9"/>
      <c r="G1" s="9"/>
      <c r="H1" s="9"/>
      <c r="I1" s="9"/>
      <c r="J1" s="9"/>
      <c r="K1" s="9"/>
      <c r="L1" s="9"/>
    </row>
    <row r="2" spans="2:12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2.75">
      <c r="B3" s="9" t="s">
        <v>300</v>
      </c>
      <c r="C3" s="10">
        <v>348</v>
      </c>
      <c r="D3" s="9"/>
      <c r="E3" s="9"/>
      <c r="F3" s="9"/>
      <c r="G3" s="9"/>
      <c r="H3" s="9"/>
      <c r="I3" s="9"/>
      <c r="J3" s="9"/>
      <c r="K3" s="9"/>
      <c r="L3" s="9"/>
    </row>
    <row r="4" spans="2:12" ht="12.75">
      <c r="B4" s="9" t="s">
        <v>0</v>
      </c>
      <c r="C4" s="91"/>
      <c r="D4" s="9"/>
      <c r="E4" s="9"/>
      <c r="F4" s="9"/>
      <c r="G4" s="9"/>
      <c r="H4" s="9"/>
      <c r="I4" s="9"/>
      <c r="J4" s="9"/>
      <c r="K4" s="9"/>
      <c r="L4" s="9"/>
    </row>
    <row r="5" spans="2:12" ht="12.75">
      <c r="B5" s="9" t="s">
        <v>1</v>
      </c>
      <c r="C5" s="9" t="s">
        <v>126</v>
      </c>
      <c r="D5" s="9"/>
      <c r="E5" s="9"/>
      <c r="F5" s="9"/>
      <c r="G5" s="9"/>
      <c r="H5" s="9"/>
      <c r="I5" s="9"/>
      <c r="J5" s="9"/>
      <c r="K5" s="9"/>
      <c r="L5" s="9"/>
    </row>
    <row r="6" spans="2:12" ht="12.75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ht="12.75">
      <c r="B7" s="9" t="s">
        <v>3</v>
      </c>
      <c r="C7" s="9" t="s">
        <v>125</v>
      </c>
      <c r="D7" s="9"/>
      <c r="E7" s="9"/>
      <c r="F7" s="9"/>
      <c r="G7" s="9"/>
      <c r="H7" s="9"/>
      <c r="I7" s="9"/>
      <c r="J7" s="9"/>
      <c r="K7" s="9"/>
      <c r="L7" s="9"/>
    </row>
    <row r="8" spans="2:12" ht="12.75">
      <c r="B8" s="9" t="s">
        <v>4</v>
      </c>
      <c r="C8" s="9" t="s">
        <v>76</v>
      </c>
      <c r="D8" s="9"/>
      <c r="E8" s="9"/>
      <c r="F8" s="9"/>
      <c r="G8" s="9"/>
      <c r="H8" s="9"/>
      <c r="I8" s="9"/>
      <c r="J8" s="9"/>
      <c r="K8" s="9"/>
      <c r="L8" s="9"/>
    </row>
    <row r="9" spans="2:12" ht="12.7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</row>
    <row r="10" spans="2:12" ht="12.75">
      <c r="B10" s="9" t="s">
        <v>6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2.75">
      <c r="B11" s="9" t="s">
        <v>298</v>
      </c>
      <c r="C11" s="9" t="s">
        <v>127</v>
      </c>
      <c r="D11" s="9"/>
      <c r="E11" s="9"/>
      <c r="F11" s="9"/>
      <c r="G11" s="9"/>
      <c r="H11" s="9"/>
      <c r="I11" s="9"/>
      <c r="J11" s="9"/>
      <c r="K11" s="9"/>
      <c r="L11" s="9"/>
    </row>
    <row r="12" spans="2:12" ht="12.75">
      <c r="B12" s="9" t="s">
        <v>301</v>
      </c>
      <c r="C12" s="9" t="s">
        <v>304</v>
      </c>
      <c r="D12" s="9"/>
      <c r="E12" s="9"/>
      <c r="F12" s="9"/>
      <c r="G12" s="9"/>
      <c r="H12" s="9"/>
      <c r="I12" s="9"/>
      <c r="J12" s="9"/>
      <c r="K12" s="9"/>
      <c r="L12" s="9"/>
    </row>
    <row r="13" spans="2:12" s="31" customFormat="1" ht="27">
      <c r="B13" s="30" t="s">
        <v>47</v>
      </c>
      <c r="C13" s="30" t="s">
        <v>130</v>
      </c>
      <c r="D13" s="35"/>
      <c r="E13" s="30"/>
      <c r="F13" s="30"/>
      <c r="G13" s="30"/>
      <c r="H13" s="30"/>
      <c r="I13" s="30"/>
      <c r="J13" s="30"/>
      <c r="K13" s="30"/>
      <c r="L13" s="30"/>
    </row>
    <row r="14" spans="2:12" s="31" customFormat="1" ht="12.75">
      <c r="B14" s="30" t="s">
        <v>53</v>
      </c>
      <c r="C14" s="44"/>
      <c r="D14" s="30"/>
      <c r="E14" s="30"/>
      <c r="F14" s="30"/>
      <c r="G14" s="30"/>
      <c r="H14" s="30"/>
      <c r="I14" s="30"/>
      <c r="J14" s="30"/>
      <c r="K14" s="30"/>
      <c r="L14" s="30"/>
    </row>
    <row r="15" spans="2:12" s="31" customFormat="1" ht="12.75">
      <c r="B15" s="9" t="s">
        <v>59</v>
      </c>
      <c r="C15" s="30" t="s">
        <v>299</v>
      </c>
      <c r="F15" s="30"/>
      <c r="G15" s="30"/>
      <c r="H15" s="30"/>
      <c r="I15" s="30"/>
      <c r="J15" s="30"/>
      <c r="K15" s="30"/>
      <c r="L15" s="30"/>
    </row>
    <row r="16" spans="2:12" s="31" customFormat="1" ht="12.75">
      <c r="B16" s="30" t="s">
        <v>303</v>
      </c>
      <c r="C16" s="30" t="s">
        <v>128</v>
      </c>
      <c r="D16" s="30"/>
      <c r="E16" s="30"/>
      <c r="F16" s="30"/>
      <c r="G16" s="30"/>
      <c r="H16" s="30"/>
      <c r="I16" s="30"/>
      <c r="J16" s="30"/>
      <c r="K16" s="30"/>
      <c r="L16" s="30"/>
    </row>
    <row r="17" spans="2:12" s="31" customFormat="1" ht="12.75">
      <c r="B17" s="30" t="s">
        <v>302</v>
      </c>
      <c r="C17" s="30" t="s">
        <v>305</v>
      </c>
      <c r="D17" s="30"/>
      <c r="E17" s="30"/>
      <c r="F17" s="30"/>
      <c r="G17" s="30"/>
      <c r="H17" s="30"/>
      <c r="I17" s="30"/>
      <c r="J17" s="30"/>
      <c r="K17" s="30"/>
      <c r="L17" s="30"/>
    </row>
    <row r="18" spans="2:12" ht="12.75">
      <c r="B18" s="30" t="s">
        <v>7</v>
      </c>
      <c r="C18" s="30" t="s">
        <v>129</v>
      </c>
      <c r="D18" s="9"/>
      <c r="E18" s="9"/>
      <c r="F18" s="9"/>
      <c r="G18" s="9"/>
      <c r="H18" s="9"/>
      <c r="I18" s="9"/>
      <c r="J18" s="9"/>
      <c r="K18" s="9"/>
      <c r="L18" s="9"/>
    </row>
    <row r="19" spans="2:12" ht="12.75">
      <c r="B19" s="9" t="s">
        <v>81</v>
      </c>
      <c r="C19" s="9" t="s">
        <v>131</v>
      </c>
      <c r="D19" s="9"/>
      <c r="E19" s="9"/>
      <c r="F19" s="9"/>
      <c r="G19" s="9"/>
      <c r="H19" s="9"/>
      <c r="I19" s="9"/>
      <c r="J19" s="9"/>
      <c r="K19" s="9"/>
      <c r="L19" s="9"/>
    </row>
    <row r="20" spans="2:12" ht="38.25">
      <c r="B20" s="30" t="s">
        <v>60</v>
      </c>
      <c r="C20" s="39" t="s">
        <v>171</v>
      </c>
      <c r="D20" s="9"/>
      <c r="E20" s="9"/>
      <c r="F20" s="9"/>
      <c r="G20" s="9"/>
      <c r="H20" s="9"/>
      <c r="I20" s="9"/>
      <c r="J20" s="9"/>
      <c r="K20" s="9"/>
      <c r="L20" s="9"/>
    </row>
    <row r="21" spans="2:12" ht="12.75">
      <c r="B21" s="9" t="s">
        <v>50</v>
      </c>
      <c r="C21" s="30" t="s">
        <v>132</v>
      </c>
      <c r="D21" s="9"/>
      <c r="E21" s="9"/>
      <c r="F21" s="9"/>
      <c r="G21" s="9"/>
      <c r="H21" s="9"/>
      <c r="I21" s="9"/>
      <c r="J21" s="9"/>
      <c r="K21" s="9"/>
      <c r="L21" s="9"/>
    </row>
    <row r="22" spans="2:12" ht="12.7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2:12" ht="12.75">
      <c r="B23" s="9" t="s">
        <v>8</v>
      </c>
      <c r="C23" s="10"/>
      <c r="D23" s="9"/>
      <c r="E23" s="9"/>
      <c r="F23" s="9"/>
      <c r="G23" s="9"/>
      <c r="H23" s="9"/>
      <c r="I23" s="9"/>
      <c r="J23" s="9"/>
      <c r="K23" s="9"/>
      <c r="L23" s="9"/>
    </row>
    <row r="24" spans="2:12" ht="12.75">
      <c r="B24" s="9" t="s">
        <v>9</v>
      </c>
      <c r="C24" s="11">
        <v>2</v>
      </c>
      <c r="D24" s="9"/>
      <c r="E24" s="9"/>
      <c r="F24" s="9"/>
      <c r="G24" s="9"/>
      <c r="H24" s="9"/>
      <c r="I24" s="9"/>
      <c r="J24" s="9"/>
      <c r="K24" s="9"/>
      <c r="L24" s="9"/>
    </row>
    <row r="25" spans="2:12" ht="12.75">
      <c r="B25" s="9" t="s">
        <v>10</v>
      </c>
      <c r="C25" s="10">
        <v>127.5</v>
      </c>
      <c r="D25" s="9"/>
      <c r="E25" s="9"/>
      <c r="F25" s="9"/>
      <c r="G25" s="9"/>
      <c r="H25" s="9"/>
      <c r="I25" s="9"/>
      <c r="J25" s="9"/>
      <c r="K25" s="9"/>
      <c r="L25" s="9"/>
    </row>
    <row r="26" spans="2:12" ht="12.75">
      <c r="B26" s="9" t="s">
        <v>55</v>
      </c>
      <c r="C26" s="11">
        <v>19.717463565465778</v>
      </c>
      <c r="D26" s="9"/>
      <c r="E26" s="9"/>
      <c r="F26" s="9"/>
      <c r="G26" s="9"/>
      <c r="H26" s="9"/>
      <c r="I26" s="9"/>
      <c r="J26" s="9"/>
      <c r="K26" s="9"/>
      <c r="L26" s="9"/>
    </row>
    <row r="27" spans="2:12" ht="14.25" customHeight="1">
      <c r="B27" s="9" t="s">
        <v>56</v>
      </c>
      <c r="C27" s="10">
        <v>85.5</v>
      </c>
      <c r="D27" s="9"/>
      <c r="E27" s="9"/>
      <c r="F27" s="9"/>
      <c r="G27" s="9"/>
      <c r="H27" s="9"/>
      <c r="I27" s="9"/>
      <c r="J27" s="9"/>
      <c r="K27" s="9"/>
      <c r="L27" s="9"/>
    </row>
    <row r="28" spans="2:12" ht="12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2" ht="12.75">
      <c r="B29" s="37" t="s">
        <v>11</v>
      </c>
      <c r="C29" s="38"/>
      <c r="D29" s="9"/>
      <c r="E29" s="9"/>
      <c r="F29" s="9"/>
      <c r="G29" s="9"/>
      <c r="H29" s="9"/>
      <c r="I29" s="9"/>
      <c r="J29" s="9"/>
      <c r="K29" s="9"/>
      <c r="L29" s="9"/>
    </row>
    <row r="30" spans="2:12" ht="12.75">
      <c r="B30" s="9" t="s">
        <v>73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2" ht="14.2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51"/>
  <sheetViews>
    <sheetView workbookViewId="0" topLeftCell="B1">
      <selection activeCell="B31" sqref="B31"/>
    </sheetView>
  </sheetViews>
  <sheetFormatPr defaultColWidth="9.140625" defaultRowHeight="12.75"/>
  <cols>
    <col min="1" max="1" width="2.8515625" style="0" hidden="1" customWidth="1"/>
    <col min="2" max="2" width="25.00390625" style="0" customWidth="1"/>
    <col min="3" max="3" width="61.00390625" style="88" customWidth="1"/>
  </cols>
  <sheetData>
    <row r="1" ht="12.75">
      <c r="B1" s="2" t="s">
        <v>170</v>
      </c>
    </row>
    <row r="3" spans="2:12" s="1" customFormat="1" ht="12.75">
      <c r="B3" s="2" t="s">
        <v>167</v>
      </c>
      <c r="C3" s="10"/>
      <c r="D3" s="9"/>
      <c r="E3" s="9"/>
      <c r="F3" s="9"/>
      <c r="G3" s="9"/>
      <c r="H3" s="9"/>
      <c r="I3" s="9"/>
      <c r="J3" s="9"/>
      <c r="K3" s="9"/>
      <c r="L3" s="9"/>
    </row>
    <row r="4" spans="2:12" s="1" customFormat="1" ht="12.75">
      <c r="B4" s="2"/>
      <c r="C4" s="10"/>
      <c r="D4" s="9"/>
      <c r="E4" s="9"/>
      <c r="F4" s="9"/>
      <c r="G4" s="9"/>
      <c r="H4" s="9"/>
      <c r="I4" s="9"/>
      <c r="J4" s="9"/>
      <c r="K4" s="9"/>
      <c r="L4" s="9"/>
    </row>
    <row r="5" spans="2:12" s="61" customFormat="1" ht="38.25">
      <c r="B5" s="62" t="s">
        <v>12</v>
      </c>
      <c r="C5" s="44" t="s">
        <v>135</v>
      </c>
      <c r="D5" s="62"/>
      <c r="E5" s="62"/>
      <c r="F5" s="62"/>
      <c r="G5" s="62"/>
      <c r="H5" s="62"/>
      <c r="I5" s="62"/>
      <c r="J5" s="62"/>
      <c r="K5" s="62"/>
      <c r="L5" s="62"/>
    </row>
    <row r="6" spans="2:12" s="1" customFormat="1" ht="12.75">
      <c r="B6" s="9" t="s">
        <v>74</v>
      </c>
      <c r="C6" s="10" t="s">
        <v>133</v>
      </c>
      <c r="D6" s="34"/>
      <c r="E6" s="9"/>
      <c r="F6" s="9"/>
      <c r="G6" s="9"/>
      <c r="H6" s="9"/>
      <c r="I6" s="9"/>
      <c r="J6" s="9"/>
      <c r="K6" s="9"/>
      <c r="L6" s="9"/>
    </row>
    <row r="7" spans="2:12" s="1" customFormat="1" ht="12.75">
      <c r="B7" s="9" t="s">
        <v>13</v>
      </c>
      <c r="C7" s="10" t="s">
        <v>134</v>
      </c>
      <c r="D7" s="9"/>
      <c r="E7" s="9"/>
      <c r="F7" s="9"/>
      <c r="G7" s="9"/>
      <c r="H7" s="9"/>
      <c r="I7" s="9"/>
      <c r="J7" s="9"/>
      <c r="K7" s="9"/>
      <c r="L7" s="9"/>
    </row>
    <row r="8" spans="2:12" s="1" customFormat="1" ht="12.75">
      <c r="B8" s="9" t="s">
        <v>52</v>
      </c>
      <c r="C8" s="12" t="s">
        <v>136</v>
      </c>
      <c r="D8" s="9"/>
      <c r="E8" s="9"/>
      <c r="F8" s="9"/>
      <c r="G8" s="9"/>
      <c r="H8" s="9"/>
      <c r="I8" s="9"/>
      <c r="J8" s="9"/>
      <c r="K8" s="9"/>
      <c r="L8" s="9"/>
    </row>
    <row r="9" spans="2:12" s="1" customFormat="1" ht="12.75">
      <c r="B9" s="9" t="s">
        <v>294</v>
      </c>
      <c r="C9" s="12">
        <v>35704</v>
      </c>
      <c r="D9" s="9"/>
      <c r="E9" s="9"/>
      <c r="F9" s="9"/>
      <c r="G9" s="9"/>
      <c r="H9" s="9"/>
      <c r="I9" s="9"/>
      <c r="J9" s="9"/>
      <c r="K9" s="9"/>
      <c r="L9" s="9"/>
    </row>
    <row r="10" spans="2:12" s="1" customFormat="1" ht="25.5">
      <c r="B10" s="9" t="s">
        <v>14</v>
      </c>
      <c r="C10" s="89" t="s">
        <v>164</v>
      </c>
      <c r="D10" s="9"/>
      <c r="E10" s="9"/>
      <c r="F10" s="9"/>
      <c r="G10" s="9"/>
      <c r="H10" s="9"/>
      <c r="I10" s="9"/>
      <c r="J10" s="9"/>
      <c r="K10" s="9"/>
      <c r="L10" s="9"/>
    </row>
    <row r="11" spans="2:12" s="1" customFormat="1" ht="15.75">
      <c r="B11" s="9" t="s">
        <v>15</v>
      </c>
      <c r="C11" s="12" t="s">
        <v>137</v>
      </c>
      <c r="D11" s="9"/>
      <c r="E11" s="9"/>
      <c r="F11" s="9"/>
      <c r="G11" s="9"/>
      <c r="H11" s="9"/>
      <c r="I11" s="9"/>
      <c r="J11" s="9"/>
      <c r="K11" s="9"/>
      <c r="L11" s="9"/>
    </row>
    <row r="13" spans="2:5" ht="12.75">
      <c r="B13" s="2" t="s">
        <v>172</v>
      </c>
      <c r="E13" s="78"/>
    </row>
    <row r="14" ht="12.75">
      <c r="E14" s="78"/>
    </row>
    <row r="15" spans="2:5" ht="38.25">
      <c r="B15" s="30" t="s">
        <v>12</v>
      </c>
      <c r="C15" s="92" t="s">
        <v>311</v>
      </c>
      <c r="E15" s="78"/>
    </row>
    <row r="16" spans="2:5" ht="12.75">
      <c r="B16" s="9" t="s">
        <v>74</v>
      </c>
      <c r="C16" s="88" t="s">
        <v>312</v>
      </c>
      <c r="E16" s="78"/>
    </row>
    <row r="17" spans="2:5" ht="12.75">
      <c r="B17" s="9" t="s">
        <v>13</v>
      </c>
      <c r="C17" s="88" t="s">
        <v>312</v>
      </c>
      <c r="E17" s="78"/>
    </row>
    <row r="18" spans="2:5" ht="12.75">
      <c r="B18" s="9" t="s">
        <v>52</v>
      </c>
      <c r="C18" s="88" t="s">
        <v>313</v>
      </c>
      <c r="E18" s="78"/>
    </row>
    <row r="19" spans="2:5" ht="12.75">
      <c r="B19" s="9" t="s">
        <v>294</v>
      </c>
      <c r="C19" s="90">
        <v>34375</v>
      </c>
      <c r="E19" s="78"/>
    </row>
    <row r="20" spans="2:5" ht="12.75">
      <c r="B20" s="9" t="s">
        <v>14</v>
      </c>
      <c r="C20" s="88" t="s">
        <v>315</v>
      </c>
      <c r="E20" s="78"/>
    </row>
    <row r="21" spans="2:5" ht="12.75">
      <c r="B21" s="9" t="s">
        <v>15</v>
      </c>
      <c r="E21" s="78"/>
    </row>
    <row r="22" ht="12.75">
      <c r="E22" s="78"/>
    </row>
    <row r="23" ht="12.75">
      <c r="B23" s="2" t="s">
        <v>179</v>
      </c>
    </row>
    <row r="25" spans="2:3" ht="38.25">
      <c r="B25" s="62" t="s">
        <v>12</v>
      </c>
      <c r="C25" s="92" t="s">
        <v>314</v>
      </c>
    </row>
    <row r="26" spans="2:5" ht="12.75">
      <c r="B26" s="9" t="s">
        <v>74</v>
      </c>
      <c r="C26" s="88" t="s">
        <v>312</v>
      </c>
      <c r="E26" s="78"/>
    </row>
    <row r="27" spans="2:5" ht="12.75">
      <c r="B27" s="9" t="s">
        <v>13</v>
      </c>
      <c r="C27" s="88" t="s">
        <v>312</v>
      </c>
      <c r="E27" s="78"/>
    </row>
    <row r="28" spans="2:5" ht="12.75">
      <c r="B28" s="9" t="s">
        <v>52</v>
      </c>
      <c r="C28" s="88" t="s">
        <v>308</v>
      </c>
      <c r="E28" s="78"/>
    </row>
    <row r="29" spans="2:5" ht="12.75">
      <c r="B29" s="9" t="s">
        <v>294</v>
      </c>
      <c r="C29" s="90">
        <v>34805</v>
      </c>
      <c r="E29" s="78"/>
    </row>
    <row r="30" spans="2:5" ht="12.75">
      <c r="B30" s="9" t="s">
        <v>14</v>
      </c>
      <c r="C30" s="88" t="s">
        <v>316</v>
      </c>
      <c r="E30" s="78"/>
    </row>
    <row r="31" spans="2:5" ht="12.75">
      <c r="B31" s="9" t="s">
        <v>15</v>
      </c>
      <c r="E31" s="78"/>
    </row>
    <row r="32" ht="12.75">
      <c r="E32" s="78"/>
    </row>
    <row r="33" ht="12.75">
      <c r="B33" s="2" t="s">
        <v>188</v>
      </c>
    </row>
    <row r="34" ht="12.75">
      <c r="E34" s="78"/>
    </row>
    <row r="35" spans="2:5" ht="38.25">
      <c r="B35" s="62" t="s">
        <v>12</v>
      </c>
      <c r="C35" s="92" t="s">
        <v>314</v>
      </c>
      <c r="E35" s="78"/>
    </row>
    <row r="36" spans="2:5" ht="12.75">
      <c r="B36" s="9" t="s">
        <v>74</v>
      </c>
      <c r="C36" s="88" t="s">
        <v>312</v>
      </c>
      <c r="E36" s="78"/>
    </row>
    <row r="37" spans="2:5" ht="12.75">
      <c r="B37" s="9" t="s">
        <v>13</v>
      </c>
      <c r="C37" s="88" t="s">
        <v>312</v>
      </c>
      <c r="E37" s="78"/>
    </row>
    <row r="38" spans="2:5" ht="12.75">
      <c r="B38" s="9" t="s">
        <v>52</v>
      </c>
      <c r="C38" s="88" t="s">
        <v>309</v>
      </c>
      <c r="E38" s="78"/>
    </row>
    <row r="39" spans="2:5" ht="12.75">
      <c r="B39" s="9" t="s">
        <v>294</v>
      </c>
      <c r="C39" s="90">
        <v>34805</v>
      </c>
      <c r="E39" s="78"/>
    </row>
    <row r="40" spans="2:5" ht="12.75">
      <c r="B40" s="9" t="s">
        <v>14</v>
      </c>
      <c r="C40" s="88" t="s">
        <v>317</v>
      </c>
      <c r="E40" s="78"/>
    </row>
    <row r="41" spans="2:5" ht="12.75">
      <c r="B41" s="9" t="s">
        <v>15</v>
      </c>
      <c r="E41" s="78"/>
    </row>
    <row r="42" ht="12.75">
      <c r="E42" s="78"/>
    </row>
    <row r="43" spans="2:5" ht="12.75">
      <c r="B43" s="2" t="s">
        <v>190</v>
      </c>
      <c r="E43" s="78"/>
    </row>
    <row r="44" ht="12.75">
      <c r="E44" s="78"/>
    </row>
    <row r="45" spans="2:3" ht="38.25">
      <c r="B45" s="62" t="s">
        <v>12</v>
      </c>
      <c r="C45" s="92" t="s">
        <v>314</v>
      </c>
    </row>
    <row r="46" spans="2:3" ht="12.75">
      <c r="B46" s="9" t="s">
        <v>74</v>
      </c>
      <c r="C46" s="88" t="s">
        <v>312</v>
      </c>
    </row>
    <row r="47" spans="2:3" ht="12.75">
      <c r="B47" s="9" t="s">
        <v>13</v>
      </c>
      <c r="C47" s="88" t="s">
        <v>312</v>
      </c>
    </row>
    <row r="48" spans="2:3" ht="12.75">
      <c r="B48" s="9" t="s">
        <v>52</v>
      </c>
      <c r="C48" s="88" t="s">
        <v>310</v>
      </c>
    </row>
    <row r="49" spans="2:3" ht="12.75">
      <c r="B49" s="9" t="s">
        <v>294</v>
      </c>
      <c r="C49" s="90">
        <v>34805</v>
      </c>
    </row>
    <row r="50" spans="2:3" ht="12.75">
      <c r="B50" s="9" t="s">
        <v>14</v>
      </c>
      <c r="C50" s="88" t="s">
        <v>316</v>
      </c>
    </row>
    <row r="51" ht="12.75">
      <c r="B51" s="9" t="s">
        <v>15</v>
      </c>
    </row>
  </sheetData>
  <printOptions headings="1" horizontalCentered="1"/>
  <pageMargins left="0.25" right="0.25" top="0.5" bottom="0.5" header="0.25" footer="0.25"/>
  <pageSetup horizontalDpi="1200" verticalDpi="12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B24">
      <selection activeCell="G47" sqref="G47"/>
    </sheetView>
  </sheetViews>
  <sheetFormatPr defaultColWidth="9.140625" defaultRowHeight="12.75"/>
  <cols>
    <col min="1" max="1" width="1.7109375" style="14" hidden="1" customWidth="1"/>
    <col min="2" max="2" width="20.140625" style="14" customWidth="1"/>
    <col min="3" max="3" width="12.140625" style="14" customWidth="1"/>
    <col min="4" max="4" width="12.421875" style="4" customWidth="1"/>
    <col min="5" max="5" width="3.8515625" style="4" customWidth="1"/>
    <col min="6" max="6" width="2.7109375" style="4" customWidth="1"/>
    <col min="7" max="7" width="11.8515625" style="14" customWidth="1"/>
    <col min="8" max="8" width="2.7109375" style="14" customWidth="1"/>
    <col min="9" max="9" width="12.140625" style="15" customWidth="1"/>
    <col min="10" max="10" width="2.57421875" style="14" customWidth="1"/>
    <col min="11" max="11" width="12.00390625" style="14" customWidth="1"/>
    <col min="12" max="12" width="2.57421875" style="14" customWidth="1"/>
    <col min="13" max="13" width="12.8515625" style="14" customWidth="1"/>
    <col min="14" max="14" width="2.140625" style="14" customWidth="1"/>
    <col min="15" max="15" width="8.8515625" style="14" customWidth="1"/>
    <col min="16" max="16" width="2.140625" style="14" customWidth="1"/>
    <col min="17" max="16384" width="8.8515625" style="14" customWidth="1"/>
  </cols>
  <sheetData>
    <row r="1" spans="2:5" ht="12.75">
      <c r="B1" s="13" t="s">
        <v>44</v>
      </c>
      <c r="C1" s="13"/>
      <c r="E1" s="33"/>
    </row>
    <row r="2" spans="3:13" ht="12.75">
      <c r="C2" s="8" t="s">
        <v>63</v>
      </c>
      <c r="D2" s="4" t="s">
        <v>16</v>
      </c>
      <c r="E2" s="81" t="s">
        <v>48</v>
      </c>
      <c r="G2" s="4"/>
      <c r="H2" s="4"/>
      <c r="I2" s="19"/>
      <c r="J2" s="19"/>
      <c r="K2" s="20"/>
      <c r="L2" s="19"/>
      <c r="M2" s="19"/>
    </row>
    <row r="3" spans="1:13" s="69" customFormat="1" ht="12.75">
      <c r="A3" s="69" t="s">
        <v>72</v>
      </c>
      <c r="B3" s="70" t="s">
        <v>167</v>
      </c>
      <c r="G3" s="16" t="s">
        <v>194</v>
      </c>
      <c r="H3" s="16"/>
      <c r="I3" s="16" t="s">
        <v>195</v>
      </c>
      <c r="J3" s="16"/>
      <c r="K3" s="16" t="s">
        <v>196</v>
      </c>
      <c r="M3" s="16" t="s">
        <v>198</v>
      </c>
    </row>
    <row r="5" spans="4:9" ht="12.75">
      <c r="D5" s="17"/>
      <c r="E5" s="14"/>
      <c r="F5" s="14"/>
      <c r="I5" s="14"/>
    </row>
    <row r="6" spans="2:13" ht="12.75">
      <c r="B6" s="4" t="s">
        <v>17</v>
      </c>
      <c r="C6" s="4" t="s">
        <v>289</v>
      </c>
      <c r="D6" s="4" t="s">
        <v>18</v>
      </c>
      <c r="E6" s="16" t="s">
        <v>19</v>
      </c>
      <c r="G6" s="47">
        <v>0.0016</v>
      </c>
      <c r="H6" s="47"/>
      <c r="I6" s="47">
        <v>0.00131</v>
      </c>
      <c r="J6" s="47"/>
      <c r="K6" s="47">
        <v>0.000726</v>
      </c>
      <c r="M6" s="84">
        <f>AVERAGE(G6,I6,K6)</f>
        <v>0.0012120000000000002</v>
      </c>
    </row>
    <row r="7" spans="2:13" ht="12.75">
      <c r="B7" s="4" t="s">
        <v>75</v>
      </c>
      <c r="C7" s="4" t="s">
        <v>289</v>
      </c>
      <c r="D7" s="4" t="s">
        <v>20</v>
      </c>
      <c r="E7" s="16" t="s">
        <v>19</v>
      </c>
      <c r="G7" s="25">
        <v>-0.03</v>
      </c>
      <c r="H7" s="25"/>
      <c r="I7" s="25">
        <v>-0.03</v>
      </c>
      <c r="J7" s="25"/>
      <c r="K7" s="25">
        <v>-0.03</v>
      </c>
      <c r="L7" s="18"/>
      <c r="M7" s="18">
        <f>AVERAGE(G7,I7,K7)</f>
        <v>-0.03</v>
      </c>
    </row>
    <row r="8" spans="2:15" ht="12.75">
      <c r="B8" s="4" t="s">
        <v>30</v>
      </c>
      <c r="C8" s="4"/>
      <c r="D8" s="4" t="s">
        <v>138</v>
      </c>
      <c r="G8" s="52">
        <v>0.00947</v>
      </c>
      <c r="H8" s="52"/>
      <c r="I8" s="52">
        <v>0.00659</v>
      </c>
      <c r="J8" s="52"/>
      <c r="K8" s="52">
        <v>0.00779</v>
      </c>
      <c r="M8" s="60"/>
      <c r="O8" s="42"/>
    </row>
    <row r="9" spans="2:15" ht="12.75">
      <c r="B9" s="4" t="s">
        <v>31</v>
      </c>
      <c r="C9" s="4"/>
      <c r="D9" s="4" t="s">
        <v>138</v>
      </c>
      <c r="G9" s="52">
        <v>0.0201</v>
      </c>
      <c r="H9" s="52"/>
      <c r="I9" s="52">
        <v>0.02</v>
      </c>
      <c r="J9" s="52"/>
      <c r="K9" s="52">
        <v>0.0224</v>
      </c>
      <c r="M9" s="60"/>
      <c r="O9" s="42"/>
    </row>
    <row r="10" spans="4:9" ht="12.75">
      <c r="D10" s="14"/>
      <c r="E10" s="14"/>
      <c r="F10" s="14"/>
      <c r="I10" s="14"/>
    </row>
    <row r="11" spans="4:9" ht="12.75">
      <c r="D11" s="14"/>
      <c r="E11" s="14"/>
      <c r="F11" s="14"/>
      <c r="I11" s="14"/>
    </row>
    <row r="12" spans="2:13" ht="12.75">
      <c r="B12" s="4" t="s">
        <v>51</v>
      </c>
      <c r="C12" s="4" t="s">
        <v>139</v>
      </c>
      <c r="G12" s="19"/>
      <c r="H12" s="19"/>
      <c r="I12" s="20"/>
      <c r="J12" s="19"/>
      <c r="K12" s="19"/>
      <c r="L12" s="16"/>
      <c r="M12" s="21"/>
    </row>
    <row r="13" spans="2:13" ht="12.75">
      <c r="B13" s="4" t="s">
        <v>65</v>
      </c>
      <c r="C13" s="4"/>
      <c r="D13" s="4" t="s">
        <v>33</v>
      </c>
      <c r="G13" s="7">
        <v>110</v>
      </c>
      <c r="H13" s="7"/>
      <c r="I13" s="7">
        <v>130</v>
      </c>
      <c r="J13" s="7"/>
      <c r="K13" s="7">
        <v>180</v>
      </c>
      <c r="L13" s="16"/>
      <c r="M13" s="21">
        <f>AVERAGE(G13,I13,K13)</f>
        <v>140</v>
      </c>
    </row>
    <row r="14" spans="2:15" ht="12.75">
      <c r="B14" s="4" t="s">
        <v>66</v>
      </c>
      <c r="C14" s="4"/>
      <c r="D14" s="4" t="s">
        <v>33</v>
      </c>
      <c r="F14" s="4" t="s">
        <v>24</v>
      </c>
      <c r="G14" s="59">
        <v>3.2E-05</v>
      </c>
      <c r="H14" s="40" t="s">
        <v>24</v>
      </c>
      <c r="I14" s="59">
        <v>3E-05</v>
      </c>
      <c r="J14" s="40" t="s">
        <v>24</v>
      </c>
      <c r="K14" s="59">
        <v>3.1E-05</v>
      </c>
      <c r="L14" s="16"/>
      <c r="M14" s="85"/>
      <c r="O14" s="32"/>
    </row>
    <row r="15" spans="2:13" ht="12.75">
      <c r="B15" s="4" t="s">
        <v>32</v>
      </c>
      <c r="C15" s="4"/>
      <c r="D15" s="4" t="s">
        <v>22</v>
      </c>
      <c r="F15" s="4" t="s">
        <v>143</v>
      </c>
      <c r="G15" s="40">
        <f>(G13-G14)/G13*100</f>
        <v>99.9999709090909</v>
      </c>
      <c r="H15" s="19" t="s">
        <v>143</v>
      </c>
      <c r="I15" s="40">
        <f>(I13-I14)/I13*100</f>
        <v>99.99997692307691</v>
      </c>
      <c r="J15" s="19" t="s">
        <v>143</v>
      </c>
      <c r="K15" s="40">
        <f>(K13-K14)/K13*100</f>
        <v>99.99998277777777</v>
      </c>
      <c r="L15" s="16"/>
      <c r="M15" s="85"/>
    </row>
    <row r="16" spans="2:13" ht="12.75">
      <c r="B16" s="4"/>
      <c r="C16" s="4"/>
      <c r="G16" s="19"/>
      <c r="H16" s="19"/>
      <c r="I16" s="20"/>
      <c r="J16" s="19"/>
      <c r="K16" s="19"/>
      <c r="L16" s="16"/>
      <c r="M16" s="21"/>
    </row>
    <row r="17" spans="2:13" ht="12.75">
      <c r="B17" s="4" t="s">
        <v>51</v>
      </c>
      <c r="C17" s="4" t="s">
        <v>140</v>
      </c>
      <c r="L17" s="16"/>
      <c r="M17" s="21"/>
    </row>
    <row r="18" spans="2:13" ht="12.75">
      <c r="B18" s="4" t="s">
        <v>65</v>
      </c>
      <c r="C18" s="4"/>
      <c r="D18" s="4" t="s">
        <v>33</v>
      </c>
      <c r="G18" s="19">
        <v>160</v>
      </c>
      <c r="H18" s="19"/>
      <c r="I18" s="20">
        <v>160</v>
      </c>
      <c r="J18" s="19"/>
      <c r="K18" s="19">
        <v>170</v>
      </c>
      <c r="L18" s="16"/>
      <c r="M18" s="21">
        <f>AVERAGE(G18,I18,K18)</f>
        <v>163.33333333333334</v>
      </c>
    </row>
    <row r="19" spans="2:13" ht="12.75">
      <c r="B19" s="4" t="s">
        <v>66</v>
      </c>
      <c r="C19" s="4"/>
      <c r="D19" s="4" t="s">
        <v>33</v>
      </c>
      <c r="G19" s="59">
        <v>1.2E-05</v>
      </c>
      <c r="H19" s="40"/>
      <c r="I19" s="59">
        <v>6E-06</v>
      </c>
      <c r="J19" s="40" t="s">
        <v>24</v>
      </c>
      <c r="K19" s="59">
        <v>6.3E-06</v>
      </c>
      <c r="L19" s="16"/>
      <c r="M19" s="85">
        <f>AVERAGE(G19,I19,K19)</f>
        <v>8.1E-06</v>
      </c>
    </row>
    <row r="20" spans="2:13" ht="12.75">
      <c r="B20" s="4" t="s">
        <v>32</v>
      </c>
      <c r="C20" s="4"/>
      <c r="D20" s="4" t="s">
        <v>22</v>
      </c>
      <c r="G20" s="41">
        <f>(G18-G19)/G18*100</f>
        <v>99.9999925</v>
      </c>
      <c r="H20" s="19"/>
      <c r="I20" s="41">
        <f>(I18-I19)/I18*100</f>
        <v>99.99999625</v>
      </c>
      <c r="J20" s="19" t="s">
        <v>143</v>
      </c>
      <c r="K20" s="41">
        <f>(K18-K19)/K18*100</f>
        <v>99.99999629411765</v>
      </c>
      <c r="L20" s="19"/>
      <c r="M20" s="86"/>
    </row>
    <row r="21" spans="2:13" ht="12.75">
      <c r="B21" s="4"/>
      <c r="C21" s="4"/>
      <c r="G21" s="19"/>
      <c r="H21" s="19"/>
      <c r="I21" s="20"/>
      <c r="J21" s="19"/>
      <c r="K21" s="20"/>
      <c r="L21" s="19"/>
      <c r="M21" s="20"/>
    </row>
    <row r="22" spans="2:13" ht="12.75">
      <c r="B22" s="4" t="s">
        <v>51</v>
      </c>
      <c r="C22" s="4" t="s">
        <v>141</v>
      </c>
      <c r="G22" s="19"/>
      <c r="H22" s="19"/>
      <c r="I22" s="20"/>
      <c r="J22" s="19"/>
      <c r="K22" s="19"/>
      <c r="L22" s="16"/>
      <c r="M22" s="21"/>
    </row>
    <row r="23" spans="2:13" ht="12.75">
      <c r="B23" s="4" t="s">
        <v>65</v>
      </c>
      <c r="C23" s="4"/>
      <c r="D23" s="4" t="s">
        <v>33</v>
      </c>
      <c r="G23" s="19">
        <v>160</v>
      </c>
      <c r="H23" s="19"/>
      <c r="I23" s="20">
        <v>150</v>
      </c>
      <c r="J23" s="19"/>
      <c r="K23" s="19">
        <v>160</v>
      </c>
      <c r="L23" s="16"/>
      <c r="M23" s="21">
        <f>AVERAGE(G23,I23,K23)</f>
        <v>156.66666666666666</v>
      </c>
    </row>
    <row r="24" spans="2:13" ht="12.75">
      <c r="B24" s="4" t="s">
        <v>66</v>
      </c>
      <c r="C24" s="4"/>
      <c r="D24" s="4" t="s">
        <v>33</v>
      </c>
      <c r="G24" s="59">
        <v>1.3E-05</v>
      </c>
      <c r="H24" s="40"/>
      <c r="I24" s="59">
        <v>1.4E-05</v>
      </c>
      <c r="J24" s="40"/>
      <c r="K24" s="59">
        <v>1.4E-05</v>
      </c>
      <c r="L24" s="16"/>
      <c r="M24" s="85">
        <f>AVERAGE(G24,I24,K24)</f>
        <v>1.3666666666666667E-05</v>
      </c>
    </row>
    <row r="25" spans="2:13" ht="12.75">
      <c r="B25" s="4" t="s">
        <v>32</v>
      </c>
      <c r="C25" s="4"/>
      <c r="D25" s="4" t="s">
        <v>22</v>
      </c>
      <c r="G25" s="41">
        <f>(G23-G24)/G23*100</f>
        <v>99.999991875</v>
      </c>
      <c r="H25" s="41"/>
      <c r="I25" s="41">
        <f>(I23-I24)/I23*100</f>
        <v>99.99999066666668</v>
      </c>
      <c r="J25" s="41"/>
      <c r="K25" s="41">
        <f>(K23-K24)/K23*100</f>
        <v>99.99999125000001</v>
      </c>
      <c r="L25" s="19"/>
      <c r="M25" s="85"/>
    </row>
    <row r="26" spans="2:13" ht="12.75">
      <c r="B26" s="4"/>
      <c r="C26" s="4"/>
      <c r="G26" s="19"/>
      <c r="H26" s="19"/>
      <c r="I26" s="20"/>
      <c r="J26" s="19"/>
      <c r="K26" s="19"/>
      <c r="L26" s="16"/>
      <c r="M26" s="21"/>
    </row>
    <row r="27" spans="2:13" ht="12.75">
      <c r="B27" s="4" t="s">
        <v>51</v>
      </c>
      <c r="C27" s="4" t="s">
        <v>142</v>
      </c>
      <c r="G27" s="19"/>
      <c r="H27" s="19"/>
      <c r="I27" s="20"/>
      <c r="J27" s="19"/>
      <c r="K27" s="19"/>
      <c r="L27" s="16"/>
      <c r="M27" s="21"/>
    </row>
    <row r="28" spans="2:13" ht="12.75">
      <c r="B28" s="4" t="s">
        <v>65</v>
      </c>
      <c r="C28" s="4"/>
      <c r="D28" s="4" t="s">
        <v>33</v>
      </c>
      <c r="G28" s="19">
        <v>740</v>
      </c>
      <c r="H28" s="19"/>
      <c r="I28" s="20">
        <v>850</v>
      </c>
      <c r="J28" s="19"/>
      <c r="K28" s="19">
        <v>910</v>
      </c>
      <c r="L28" s="16"/>
      <c r="M28" s="21">
        <f>AVERAGE(G28,I28,K28)</f>
        <v>833.3333333333334</v>
      </c>
    </row>
    <row r="29" spans="2:13" ht="12.75">
      <c r="B29" s="4" t="s">
        <v>66</v>
      </c>
      <c r="C29" s="4"/>
      <c r="D29" s="4" t="s">
        <v>33</v>
      </c>
      <c r="F29" s="4" t="s">
        <v>24</v>
      </c>
      <c r="G29" s="59">
        <v>0.00029</v>
      </c>
      <c r="H29" s="40" t="s">
        <v>24</v>
      </c>
      <c r="I29" s="59">
        <v>7.35E-05</v>
      </c>
      <c r="J29" s="40" t="s">
        <v>24</v>
      </c>
      <c r="K29" s="59">
        <v>5.32E-05</v>
      </c>
      <c r="L29" s="16"/>
      <c r="M29" s="85">
        <f>AVERAGE(G29,I29,K29)</f>
        <v>0.0001389</v>
      </c>
    </row>
    <row r="30" spans="2:13" ht="12.75">
      <c r="B30" s="4" t="s">
        <v>32</v>
      </c>
      <c r="C30" s="4"/>
      <c r="D30" s="4" t="s">
        <v>22</v>
      </c>
      <c r="F30" s="4" t="s">
        <v>143</v>
      </c>
      <c r="G30" s="40">
        <f>(G28-G29)/G28*100</f>
        <v>99.99996081081082</v>
      </c>
      <c r="H30" s="19" t="s">
        <v>143</v>
      </c>
      <c r="I30" s="41">
        <f>(I28-I29)/I28*100</f>
        <v>99.99999135294118</v>
      </c>
      <c r="J30" s="19" t="s">
        <v>143</v>
      </c>
      <c r="K30" s="41">
        <f>(K28-K29)/K28*100</f>
        <v>99.99999415384615</v>
      </c>
      <c r="L30" s="19"/>
      <c r="M30" s="85"/>
    </row>
    <row r="31" spans="2:13" ht="12.75">
      <c r="B31" s="4"/>
      <c r="C31" s="4"/>
      <c r="G31" s="19" t="s">
        <v>46</v>
      </c>
      <c r="H31" s="19"/>
      <c r="I31" s="20"/>
      <c r="J31" s="19"/>
      <c r="K31" s="41"/>
      <c r="L31" s="16"/>
      <c r="M31" s="21"/>
    </row>
    <row r="32" spans="2:13" ht="12.75">
      <c r="B32" s="4"/>
      <c r="C32" s="4"/>
      <c r="G32" s="19"/>
      <c r="H32" s="19"/>
      <c r="I32" s="20"/>
      <c r="J32" s="19"/>
      <c r="K32" s="19"/>
      <c r="L32" s="16"/>
      <c r="M32" s="21"/>
    </row>
    <row r="33" spans="2:13" ht="12.75">
      <c r="B33" s="4" t="s">
        <v>70</v>
      </c>
      <c r="C33" s="4" t="s">
        <v>64</v>
      </c>
      <c r="D33" s="4" t="s">
        <v>289</v>
      </c>
      <c r="L33" s="16"/>
      <c r="M33" s="87"/>
    </row>
    <row r="34" spans="2:13" ht="12.75">
      <c r="B34" s="4" t="s">
        <v>62</v>
      </c>
      <c r="C34" s="4"/>
      <c r="D34" s="4" t="s">
        <v>21</v>
      </c>
      <c r="G34" s="19">
        <v>6893</v>
      </c>
      <c r="H34" s="19"/>
      <c r="I34" s="19">
        <v>6751</v>
      </c>
      <c r="J34" s="7"/>
      <c r="K34" s="19">
        <v>6455</v>
      </c>
      <c r="M34" s="21">
        <f>AVERAGE(G34,I34,K34)</f>
        <v>6699.666666666667</v>
      </c>
    </row>
    <row r="35" spans="2:13" ht="12.75">
      <c r="B35" s="4" t="s">
        <v>67</v>
      </c>
      <c r="C35" s="4"/>
      <c r="D35" s="4" t="s">
        <v>22</v>
      </c>
      <c r="G35" s="25">
        <v>13.2</v>
      </c>
      <c r="H35" s="19"/>
      <c r="I35" s="25">
        <v>13</v>
      </c>
      <c r="J35" s="19"/>
      <c r="K35" s="25">
        <v>12.3</v>
      </c>
      <c r="M35" s="18">
        <f>AVERAGE(G35,I35,K35)</f>
        <v>12.833333333333334</v>
      </c>
    </row>
    <row r="36" spans="2:13" ht="12.75">
      <c r="B36" s="4" t="s">
        <v>68</v>
      </c>
      <c r="C36" s="4"/>
      <c r="D36" s="4" t="s">
        <v>22</v>
      </c>
      <c r="G36" s="25">
        <v>4.5</v>
      </c>
      <c r="H36" s="19"/>
      <c r="I36" s="25">
        <v>4.2</v>
      </c>
      <c r="J36" s="19"/>
      <c r="K36" s="25">
        <v>5</v>
      </c>
      <c r="M36" s="18">
        <f>AVERAGE(G36,I36,K36)</f>
        <v>4.566666666666666</v>
      </c>
    </row>
    <row r="37" spans="2:13" ht="12.75">
      <c r="B37" s="4" t="s">
        <v>61</v>
      </c>
      <c r="C37" s="4"/>
      <c r="D37" s="4" t="s">
        <v>23</v>
      </c>
      <c r="G37" s="25">
        <v>82.9</v>
      </c>
      <c r="H37" s="19"/>
      <c r="I37" s="25">
        <v>88.1</v>
      </c>
      <c r="J37" s="19"/>
      <c r="K37" s="25">
        <v>85.5</v>
      </c>
      <c r="M37" s="18">
        <f>AVERAGE(G37,I37,K37)</f>
        <v>85.5</v>
      </c>
    </row>
    <row r="38" spans="2:13" ht="12.75">
      <c r="B38" s="4"/>
      <c r="C38" s="4"/>
      <c r="G38" s="19"/>
      <c r="H38" s="19"/>
      <c r="I38" s="20"/>
      <c r="J38" s="19"/>
      <c r="K38" s="19"/>
      <c r="M38" s="87"/>
    </row>
    <row r="39" spans="2:13" ht="12.75">
      <c r="B39" s="4" t="s">
        <v>70</v>
      </c>
      <c r="C39" s="4" t="s">
        <v>144</v>
      </c>
      <c r="G39" s="19"/>
      <c r="H39" s="19"/>
      <c r="I39" s="20"/>
      <c r="J39" s="19"/>
      <c r="K39" s="19"/>
      <c r="M39" s="87"/>
    </row>
    <row r="40" spans="2:13" ht="12.75">
      <c r="B40" s="4" t="s">
        <v>62</v>
      </c>
      <c r="C40" s="4"/>
      <c r="D40" s="4" t="s">
        <v>21</v>
      </c>
      <c r="G40" s="19">
        <v>6295</v>
      </c>
      <c r="H40" s="19"/>
      <c r="I40" s="19">
        <v>6638</v>
      </c>
      <c r="J40" s="19"/>
      <c r="K40" s="19">
        <v>6275</v>
      </c>
      <c r="M40" s="21">
        <f>AVERAGE(G40,I40,K40)</f>
        <v>6402.666666666667</v>
      </c>
    </row>
    <row r="41" spans="2:13" ht="12.75">
      <c r="B41" s="4" t="s">
        <v>67</v>
      </c>
      <c r="C41" s="4"/>
      <c r="D41" s="4" t="s">
        <v>22</v>
      </c>
      <c r="G41" s="5">
        <v>13.2</v>
      </c>
      <c r="H41" s="19"/>
      <c r="I41" s="5">
        <v>13</v>
      </c>
      <c r="J41" s="19"/>
      <c r="K41" s="5">
        <v>12.3</v>
      </c>
      <c r="M41" s="18">
        <f>AVERAGE(G41,I41,K41)</f>
        <v>12.833333333333334</v>
      </c>
    </row>
    <row r="42" spans="2:13" ht="12.75">
      <c r="B42" s="4" t="s">
        <v>68</v>
      </c>
      <c r="C42" s="4"/>
      <c r="D42" s="4" t="s">
        <v>22</v>
      </c>
      <c r="G42" s="19">
        <v>6.4</v>
      </c>
      <c r="H42" s="19"/>
      <c r="I42" s="20">
        <v>5.3</v>
      </c>
      <c r="J42" s="19"/>
      <c r="K42" s="19">
        <v>4.5</v>
      </c>
      <c r="M42" s="21"/>
    </row>
    <row r="43" spans="2:13" ht="12.75">
      <c r="B43" s="4" t="s">
        <v>61</v>
      </c>
      <c r="C43" s="4"/>
      <c r="D43" s="4" t="s">
        <v>23</v>
      </c>
      <c r="G43" s="19">
        <v>91</v>
      </c>
      <c r="H43" s="19"/>
      <c r="I43" s="20">
        <v>89.3</v>
      </c>
      <c r="J43" s="19"/>
      <c r="K43" s="19">
        <v>87.8</v>
      </c>
      <c r="M43" s="21"/>
    </row>
    <row r="44" spans="2:13" ht="13.5" customHeight="1">
      <c r="B44" s="4"/>
      <c r="C44" s="4"/>
      <c r="G44" s="19"/>
      <c r="H44" s="19"/>
      <c r="I44" s="20"/>
      <c r="J44" s="19"/>
      <c r="K44" s="19"/>
      <c r="L44" s="16"/>
      <c r="M44" s="21"/>
    </row>
    <row r="45" spans="2:13" ht="13.5" customHeight="1">
      <c r="B45" s="4" t="s">
        <v>30</v>
      </c>
      <c r="C45" s="4" t="s">
        <v>289</v>
      </c>
      <c r="D45" s="4" t="s">
        <v>20</v>
      </c>
      <c r="E45" s="4" t="s">
        <v>19</v>
      </c>
      <c r="G45" s="6">
        <f>G8*1/60*1/36.5*386.7/G$34*1000000*(21-7)/(21-G$35)</f>
        <v>0.43541680902791724</v>
      </c>
      <c r="H45" s="5"/>
      <c r="I45" s="6">
        <f>I8*1/60*1/36.5*386.7/I$34*1000000*(21-7)/(21-I$35)</f>
        <v>0.30163755547123405</v>
      </c>
      <c r="J45" s="5"/>
      <c r="K45" s="6">
        <f>K8*1/60*1/36.5*386.7/K$34*1000000*(21-7)/(21-K$35)</f>
        <v>0.3429099219052338</v>
      </c>
      <c r="L45" s="5"/>
      <c r="M45" s="87">
        <f>AVERAGE(K45/2,I45,G45)</f>
        <v>0.30283644181725605</v>
      </c>
    </row>
    <row r="46" spans="2:13" ht="13.5" customHeight="1">
      <c r="B46" s="4" t="s">
        <v>31</v>
      </c>
      <c r="C46" s="4" t="s">
        <v>289</v>
      </c>
      <c r="D46" s="4" t="s">
        <v>20</v>
      </c>
      <c r="E46" s="4" t="s">
        <v>19</v>
      </c>
      <c r="G46" s="6">
        <f>G9*1/60*1/71*386.7/G$34*1000000*(21-7)/(21-G$35)</f>
        <v>0.475100825354093</v>
      </c>
      <c r="H46" s="5"/>
      <c r="I46" s="6">
        <f>I9*1/60*1/71*386.7/I$34*1000000*(21-7)/(21-I$35)</f>
        <v>0.47061363887666086</v>
      </c>
      <c r="J46" s="5"/>
      <c r="K46" s="6">
        <f>K9*1/60*1/71*386.7/K$34*1000000*(21-7)/(21-K$35)</f>
        <v>0.506903310762659</v>
      </c>
      <c r="L46" s="5"/>
      <c r="M46" s="18">
        <f>AVERAGE(K46,I46,G46)</f>
        <v>0.4842059249978043</v>
      </c>
    </row>
    <row r="47" spans="2:13" ht="12.75">
      <c r="B47" s="4" t="s">
        <v>69</v>
      </c>
      <c r="C47" s="4" t="s">
        <v>289</v>
      </c>
      <c r="D47" s="4" t="s">
        <v>20</v>
      </c>
      <c r="E47" s="4" t="s">
        <v>19</v>
      </c>
      <c r="G47" s="6">
        <f>G45+G46*2</f>
        <v>1.3856184597361032</v>
      </c>
      <c r="H47" s="6"/>
      <c r="I47" s="6">
        <f>I45+I46*2</f>
        <v>1.2428648332245558</v>
      </c>
      <c r="J47" s="6"/>
      <c r="K47" s="6">
        <f>K45+K46*2</f>
        <v>1.356716543430552</v>
      </c>
      <c r="L47" s="6"/>
      <c r="M47" s="18">
        <f>AVERAGE(K47,I47,G47)</f>
        <v>1.328399945463737</v>
      </c>
    </row>
    <row r="48" spans="2:13" ht="12.75">
      <c r="B48" s="4"/>
      <c r="C48" s="4"/>
      <c r="G48" s="6"/>
      <c r="H48" s="6"/>
      <c r="I48" s="6"/>
      <c r="J48" s="6"/>
      <c r="K48" s="6"/>
      <c r="L48" s="6"/>
      <c r="M48" s="18"/>
    </row>
    <row r="49" spans="2:13" ht="12.75">
      <c r="B49" s="4"/>
      <c r="C49" s="4"/>
      <c r="G49" s="19"/>
      <c r="H49" s="19"/>
      <c r="I49" s="20"/>
      <c r="J49" s="19"/>
      <c r="K49" s="19"/>
      <c r="L49" s="16"/>
      <c r="M49" s="21"/>
    </row>
    <row r="50" spans="2:13" ht="12.75">
      <c r="B50" s="4"/>
      <c r="C50" s="4"/>
      <c r="G50" s="19"/>
      <c r="H50" s="19"/>
      <c r="I50" s="20"/>
      <c r="J50" s="19"/>
      <c r="K50" s="19"/>
      <c r="L50" s="16"/>
      <c r="M50" s="21"/>
    </row>
    <row r="51" spans="2:13" ht="12.75">
      <c r="B51" s="4"/>
      <c r="C51" s="4"/>
      <c r="G51" s="19"/>
      <c r="H51" s="19"/>
      <c r="I51" s="20"/>
      <c r="J51" s="19"/>
      <c r="K51" s="19"/>
      <c r="L51" s="16"/>
      <c r="M51" s="21"/>
    </row>
  </sheetData>
  <printOptions headings="1" horizontalCentered="1"/>
  <pageMargins left="0.25" right="0.25" top="0.5" bottom="0.5" header="0.25" footer="0.25"/>
  <pageSetup horizontalDpi="200" verticalDpi="2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Z216"/>
  <sheetViews>
    <sheetView tabSelected="1" workbookViewId="0" topLeftCell="B1">
      <selection activeCell="P22" sqref="P22"/>
    </sheetView>
  </sheetViews>
  <sheetFormatPr defaultColWidth="9.140625" defaultRowHeight="12.75"/>
  <cols>
    <col min="1" max="1" width="6.421875" style="0" hidden="1" customWidth="1"/>
    <col min="2" max="2" width="22.7109375" style="0" customWidth="1"/>
    <col min="3" max="3" width="9.8515625" style="0" customWidth="1"/>
    <col min="5" max="5" width="3.28125" style="0" customWidth="1"/>
    <col min="6" max="6" width="3.140625" style="0" customWidth="1"/>
    <col min="7" max="7" width="10.421875" style="0" customWidth="1"/>
    <col min="8" max="8" width="3.7109375" style="0" customWidth="1"/>
    <col min="9" max="9" width="9.8515625" style="0" customWidth="1"/>
    <col min="10" max="10" width="4.00390625" style="0" customWidth="1"/>
    <col min="11" max="11" width="10.421875" style="0" customWidth="1"/>
    <col min="12" max="12" width="3.28125" style="0" customWidth="1"/>
    <col min="13" max="13" width="9.421875" style="0" customWidth="1"/>
    <col min="14" max="14" width="4.28125" style="0" customWidth="1"/>
    <col min="15" max="15" width="11.28125" style="0" customWidth="1"/>
  </cols>
  <sheetData>
    <row r="1" spans="2:3" ht="12.75">
      <c r="B1" s="2" t="s">
        <v>199</v>
      </c>
      <c r="C1" s="2"/>
    </row>
    <row r="3" spans="2:15" ht="12.75">
      <c r="B3" s="45" t="s">
        <v>172</v>
      </c>
      <c r="C3" s="45"/>
      <c r="G3" s="67" t="s">
        <v>194</v>
      </c>
      <c r="H3" s="67"/>
      <c r="I3" s="67" t="s">
        <v>195</v>
      </c>
      <c r="J3" s="67"/>
      <c r="K3" s="67" t="s">
        <v>196</v>
      </c>
      <c r="L3" s="67"/>
      <c r="M3" s="67" t="s">
        <v>197</v>
      </c>
      <c r="N3" s="67"/>
      <c r="O3" s="67" t="s">
        <v>198</v>
      </c>
    </row>
    <row r="5" spans="1:15" s="63" customFormat="1" ht="12.75">
      <c r="A5" s="63" t="s">
        <v>172</v>
      </c>
      <c r="B5" s="63" t="s">
        <v>17</v>
      </c>
      <c r="C5" s="63" t="s">
        <v>289</v>
      </c>
      <c r="D5" s="63" t="s">
        <v>18</v>
      </c>
      <c r="E5" s="63" t="s">
        <v>19</v>
      </c>
      <c r="F5" s="64" t="s">
        <v>173</v>
      </c>
      <c r="G5" s="65">
        <v>0.003200031744</v>
      </c>
      <c r="H5" s="65" t="s">
        <v>173</v>
      </c>
      <c r="I5" s="65">
        <v>0.000900008928</v>
      </c>
      <c r="J5" s="65" t="s">
        <v>173</v>
      </c>
      <c r="K5" s="65">
        <v>0.00100000992</v>
      </c>
      <c r="L5" s="65" t="s">
        <v>173</v>
      </c>
      <c r="M5" s="65"/>
      <c r="N5" s="65" t="s">
        <v>173</v>
      </c>
      <c r="O5" s="65">
        <f>AVERAGE(G5,I5,K5)</f>
        <v>0.0017000168640000002</v>
      </c>
    </row>
    <row r="6" spans="6:15" s="63" customFormat="1" ht="12.75">
      <c r="F6" s="64"/>
      <c r="G6" s="65"/>
      <c r="H6" s="65"/>
      <c r="I6" s="65"/>
      <c r="J6" s="65"/>
      <c r="K6" s="65"/>
      <c r="L6" s="65"/>
      <c r="M6" s="65"/>
      <c r="N6" s="65"/>
      <c r="O6" s="65"/>
    </row>
    <row r="7" spans="1:15" s="63" customFormat="1" ht="12.75">
      <c r="A7" s="63" t="s">
        <v>172</v>
      </c>
      <c r="B7" s="63" t="s">
        <v>75</v>
      </c>
      <c r="C7" s="63" t="s">
        <v>289</v>
      </c>
      <c r="D7" s="63" t="s">
        <v>20</v>
      </c>
      <c r="E7" s="63" t="s">
        <v>19</v>
      </c>
      <c r="F7" s="64" t="s">
        <v>173</v>
      </c>
      <c r="G7" s="66">
        <v>8.4</v>
      </c>
      <c r="H7" s="66" t="s">
        <v>173</v>
      </c>
      <c r="I7" s="66">
        <v>6.7</v>
      </c>
      <c r="J7" s="66" t="s">
        <v>173</v>
      </c>
      <c r="K7" s="66">
        <v>8.3</v>
      </c>
      <c r="L7" s="64" t="s">
        <v>173</v>
      </c>
      <c r="M7" s="64"/>
      <c r="N7" s="64" t="s">
        <v>173</v>
      </c>
      <c r="O7" s="66">
        <f>AVERAGE(G7,I7,K7)</f>
        <v>7.800000000000001</v>
      </c>
    </row>
    <row r="8" spans="6:15" s="63" customFormat="1" ht="12.75">
      <c r="F8" s="64"/>
      <c r="G8" s="66"/>
      <c r="H8" s="66"/>
      <c r="I8" s="66"/>
      <c r="J8" s="66"/>
      <c r="K8" s="66"/>
      <c r="L8" s="64"/>
      <c r="M8" s="64"/>
      <c r="N8" s="64"/>
      <c r="O8" s="64"/>
    </row>
    <row r="9" spans="1:15" s="63" customFormat="1" ht="12.75">
      <c r="A9" s="63" t="s">
        <v>172</v>
      </c>
      <c r="B9" s="63" t="s">
        <v>30</v>
      </c>
      <c r="C9" s="63" t="s">
        <v>289</v>
      </c>
      <c r="D9" s="63" t="s">
        <v>20</v>
      </c>
      <c r="E9" s="63" t="s">
        <v>19</v>
      </c>
      <c r="F9" s="64" t="s">
        <v>24</v>
      </c>
      <c r="G9" s="66">
        <v>0.0599718117984564</v>
      </c>
      <c r="H9" s="66" t="s">
        <v>24</v>
      </c>
      <c r="I9" s="66">
        <v>0.04976720099576589</v>
      </c>
      <c r="J9" s="66" t="s">
        <v>24</v>
      </c>
      <c r="K9" s="66">
        <v>0.055308266790175586</v>
      </c>
      <c r="L9" s="64" t="s">
        <v>173</v>
      </c>
      <c r="M9" s="64"/>
      <c r="N9" s="64" t="s">
        <v>173</v>
      </c>
      <c r="O9" s="66">
        <f>AVERAGE(G9,I9,K9)</f>
        <v>0.05501575986146596</v>
      </c>
    </row>
    <row r="10" spans="1:15" s="63" customFormat="1" ht="12.75">
      <c r="A10" s="63" t="s">
        <v>172</v>
      </c>
      <c r="B10" s="63" t="s">
        <v>31</v>
      </c>
      <c r="C10" s="63" t="s">
        <v>289</v>
      </c>
      <c r="D10" s="63" t="s">
        <v>20</v>
      </c>
      <c r="E10" s="63" t="s">
        <v>19</v>
      </c>
      <c r="F10" s="64" t="s">
        <v>173</v>
      </c>
      <c r="G10" s="66">
        <v>0.5362047071941465</v>
      </c>
      <c r="H10" s="66" t="s">
        <v>173</v>
      </c>
      <c r="I10" s="66">
        <v>0.5117107126362952</v>
      </c>
      <c r="J10" s="66" t="s">
        <v>173</v>
      </c>
      <c r="K10" s="66">
        <v>0.2472541024715644</v>
      </c>
      <c r="L10" s="64" t="s">
        <v>173</v>
      </c>
      <c r="M10" s="64"/>
      <c r="N10" s="64" t="s">
        <v>173</v>
      </c>
      <c r="O10" s="66">
        <f>AVERAGE(G10,I10,K10)</f>
        <v>0.4317231741006687</v>
      </c>
    </row>
    <row r="11" spans="2:15" s="63" customFormat="1" ht="12.75">
      <c r="B11" s="63" t="s">
        <v>69</v>
      </c>
      <c r="C11" s="63" t="s">
        <v>289</v>
      </c>
      <c r="D11" s="63" t="s">
        <v>20</v>
      </c>
      <c r="E11" s="63" t="s">
        <v>19</v>
      </c>
      <c r="F11" s="64">
        <v>5.2</v>
      </c>
      <c r="G11" s="66">
        <f>G9+2*G10</f>
        <v>1.1323812261867494</v>
      </c>
      <c r="H11" s="66">
        <v>4.6</v>
      </c>
      <c r="I11" s="66">
        <f>I9+2*I10</f>
        <v>1.0731886262683563</v>
      </c>
      <c r="J11" s="94">
        <v>10</v>
      </c>
      <c r="K11" s="66">
        <f>K9+2*K10</f>
        <v>0.5498164717333044</v>
      </c>
      <c r="L11" s="64"/>
      <c r="M11" s="64"/>
      <c r="N11" s="64">
        <v>5.99</v>
      </c>
      <c r="O11" s="66">
        <f>AVERAGE(G11,I11,K11)</f>
        <v>0.9184621080628034</v>
      </c>
    </row>
    <row r="12" spans="6:15" s="63" customFormat="1" ht="12.75">
      <c r="F12" s="64"/>
      <c r="G12" s="66"/>
      <c r="H12" s="66"/>
      <c r="I12" s="66"/>
      <c r="J12" s="66"/>
      <c r="K12" s="66"/>
      <c r="L12" s="64"/>
      <c r="M12" s="64"/>
      <c r="N12" s="64"/>
      <c r="O12" s="64"/>
    </row>
    <row r="13" spans="1:15" s="63" customFormat="1" ht="12.75">
      <c r="A13" s="63" t="s">
        <v>172</v>
      </c>
      <c r="B13" s="63" t="s">
        <v>174</v>
      </c>
      <c r="C13" s="63" t="s">
        <v>290</v>
      </c>
      <c r="D13" s="63" t="s">
        <v>38</v>
      </c>
      <c r="E13" s="63" t="s">
        <v>19</v>
      </c>
      <c r="F13" s="64" t="s">
        <v>24</v>
      </c>
      <c r="G13" s="66">
        <v>0.9301240223463685</v>
      </c>
      <c r="H13" s="66" t="s">
        <v>24</v>
      </c>
      <c r="I13" s="66">
        <v>0.3490341434687082</v>
      </c>
      <c r="J13" s="66" t="s">
        <v>24</v>
      </c>
      <c r="K13" s="66">
        <v>0.36275969620253157</v>
      </c>
      <c r="L13" s="64" t="s">
        <v>173</v>
      </c>
      <c r="M13" s="64"/>
      <c r="N13" s="64" t="s">
        <v>173</v>
      </c>
      <c r="O13" s="66">
        <f>AVERAGE(G13,I13,K13)</f>
        <v>0.5473059540058695</v>
      </c>
    </row>
    <row r="14" spans="1:15" s="63" customFormat="1" ht="12.75">
      <c r="A14" s="63" t="s">
        <v>172</v>
      </c>
      <c r="B14" s="63" t="s">
        <v>175</v>
      </c>
      <c r="C14" s="63" t="s">
        <v>290</v>
      </c>
      <c r="D14" s="63" t="s">
        <v>38</v>
      </c>
      <c r="E14" s="63" t="s">
        <v>19</v>
      </c>
      <c r="F14" s="64" t="s">
        <v>173</v>
      </c>
      <c r="G14" s="66">
        <v>5.618708379888267</v>
      </c>
      <c r="H14" s="66" t="s">
        <v>173</v>
      </c>
      <c r="I14" s="66">
        <v>1.2807593829984822</v>
      </c>
      <c r="J14" s="66" t="s">
        <v>173</v>
      </c>
      <c r="K14" s="66">
        <v>1.6626486075949367</v>
      </c>
      <c r="L14" s="64" t="s">
        <v>173</v>
      </c>
      <c r="M14" s="64"/>
      <c r="N14" s="64" t="s">
        <v>173</v>
      </c>
      <c r="O14" s="66">
        <f>AVERAGE(G14,I14,K14)</f>
        <v>2.854038790160562</v>
      </c>
    </row>
    <row r="15" spans="1:15" s="63" customFormat="1" ht="12.75">
      <c r="A15" s="63" t="s">
        <v>172</v>
      </c>
      <c r="B15" s="63" t="s">
        <v>176</v>
      </c>
      <c r="C15" s="63" t="s">
        <v>290</v>
      </c>
      <c r="D15" s="63" t="s">
        <v>38</v>
      </c>
      <c r="E15" s="63" t="s">
        <v>19</v>
      </c>
      <c r="F15" s="64" t="s">
        <v>173</v>
      </c>
      <c r="G15" s="66">
        <v>3.291500111731843</v>
      </c>
      <c r="H15" s="66" t="s">
        <v>173</v>
      </c>
      <c r="I15" s="66">
        <v>2.0100303064622</v>
      </c>
      <c r="J15" s="66" t="s">
        <v>173</v>
      </c>
      <c r="K15" s="66">
        <v>2.2119493670886</v>
      </c>
      <c r="L15" s="64" t="s">
        <v>173</v>
      </c>
      <c r="M15" s="64"/>
      <c r="N15" s="64" t="s">
        <v>173</v>
      </c>
      <c r="O15" s="66">
        <f>AVERAGE(G15,I15,K15)</f>
        <v>2.504493261760881</v>
      </c>
    </row>
    <row r="16" spans="1:15" s="63" customFormat="1" ht="12.75">
      <c r="A16" s="63" t="s">
        <v>172</v>
      </c>
      <c r="B16" s="63" t="s">
        <v>177</v>
      </c>
      <c r="C16" s="63" t="s">
        <v>291</v>
      </c>
      <c r="D16" s="63" t="s">
        <v>38</v>
      </c>
      <c r="E16" s="63" t="s">
        <v>19</v>
      </c>
      <c r="F16" s="64" t="s">
        <v>24</v>
      </c>
      <c r="G16" s="66">
        <v>0.32571041733826</v>
      </c>
      <c r="H16" s="66" t="s">
        <v>24</v>
      </c>
      <c r="I16" s="66">
        <v>0.2931295957411412</v>
      </c>
      <c r="J16" s="66" t="s">
        <v>24</v>
      </c>
      <c r="K16" s="66">
        <v>0.26466241356383</v>
      </c>
      <c r="L16" s="64" t="s">
        <v>173</v>
      </c>
      <c r="M16" s="64"/>
      <c r="N16" s="64" t="s">
        <v>173</v>
      </c>
      <c r="O16" s="66">
        <f>AVERAGE(G16,I16,K16)</f>
        <v>0.29450080888107705</v>
      </c>
    </row>
    <row r="17" spans="1:15" s="63" customFormat="1" ht="12.75">
      <c r="A17" s="63" t="s">
        <v>172</v>
      </c>
      <c r="B17" s="63" t="s">
        <v>178</v>
      </c>
      <c r="C17" s="63" t="s">
        <v>290</v>
      </c>
      <c r="D17" s="63" t="s">
        <v>38</v>
      </c>
      <c r="E17" s="63" t="s">
        <v>19</v>
      </c>
      <c r="F17" s="64" t="s">
        <v>173</v>
      </c>
      <c r="G17" s="66">
        <v>9.680882681564245</v>
      </c>
      <c r="H17" s="66" t="s">
        <v>173</v>
      </c>
      <c r="I17" s="66">
        <v>3.3706103875512463</v>
      </c>
      <c r="J17" s="66" t="s">
        <v>173</v>
      </c>
      <c r="K17" s="66">
        <v>3.7234481012658227</v>
      </c>
      <c r="L17" s="64" t="s">
        <v>173</v>
      </c>
      <c r="M17" s="64"/>
      <c r="N17" s="64" t="s">
        <v>173</v>
      </c>
      <c r="O17" s="66">
        <f>AVERAGE(G17,I17,K17)</f>
        <v>5.5916470567937715</v>
      </c>
    </row>
    <row r="18" spans="6:15" s="63" customFormat="1" ht="12.75">
      <c r="F18" s="64"/>
      <c r="G18" s="66"/>
      <c r="H18" s="66"/>
      <c r="I18" s="66"/>
      <c r="J18" s="66"/>
      <c r="K18" s="66"/>
      <c r="L18" s="64"/>
      <c r="M18" s="64"/>
      <c r="N18" s="64"/>
      <c r="O18" s="64"/>
    </row>
    <row r="19" spans="2:15" s="63" customFormat="1" ht="12.75">
      <c r="B19" s="63" t="s">
        <v>39</v>
      </c>
      <c r="C19" s="63" t="s">
        <v>290</v>
      </c>
      <c r="D19" s="63" t="s">
        <v>38</v>
      </c>
      <c r="E19" s="63" t="s">
        <v>19</v>
      </c>
      <c r="F19" s="64"/>
      <c r="G19" s="66">
        <f>G14</f>
        <v>5.618708379888267</v>
      </c>
      <c r="H19" s="66"/>
      <c r="I19" s="66">
        <f>I14</f>
        <v>1.2807593829984822</v>
      </c>
      <c r="J19" s="66"/>
      <c r="K19" s="66">
        <f>K14</f>
        <v>1.6626486075949367</v>
      </c>
      <c r="L19" s="64"/>
      <c r="M19" s="64"/>
      <c r="N19" s="64"/>
      <c r="O19" s="66">
        <f>AVERAGE(G19,I19,K19)</f>
        <v>2.854038790160562</v>
      </c>
    </row>
    <row r="20" spans="2:15" s="63" customFormat="1" ht="12.75">
      <c r="B20" s="63" t="s">
        <v>40</v>
      </c>
      <c r="C20" s="63" t="s">
        <v>290</v>
      </c>
      <c r="D20" s="63" t="s">
        <v>38</v>
      </c>
      <c r="E20" s="63" t="s">
        <v>19</v>
      </c>
      <c r="F20" s="64">
        <v>22</v>
      </c>
      <c r="G20" s="66">
        <f>G13+G15</f>
        <v>4.221624134078212</v>
      </c>
      <c r="H20" s="94">
        <v>14.8</v>
      </c>
      <c r="I20" s="66">
        <f>I13+I15</f>
        <v>2.359064449930908</v>
      </c>
      <c r="J20" s="94">
        <v>14.1</v>
      </c>
      <c r="K20" s="66">
        <f>K13+K15</f>
        <v>2.574709063291132</v>
      </c>
      <c r="L20" s="64"/>
      <c r="M20" s="64"/>
      <c r="N20" s="64">
        <v>17.9</v>
      </c>
      <c r="O20" s="66">
        <f>AVERAGE(G20,I20,K20)</f>
        <v>3.0517992157667506</v>
      </c>
    </row>
    <row r="21" spans="6:15" s="63" customFormat="1" ht="12.75">
      <c r="F21" s="64"/>
      <c r="G21" s="66"/>
      <c r="H21" s="66"/>
      <c r="I21" s="66"/>
      <c r="J21" s="66"/>
      <c r="K21" s="66"/>
      <c r="L21" s="64"/>
      <c r="M21" s="64"/>
      <c r="N21" s="64"/>
      <c r="O21" s="66"/>
    </row>
    <row r="22" spans="2:15" s="63" customFormat="1" ht="12.75">
      <c r="B22" s="63" t="s">
        <v>70</v>
      </c>
      <c r="C22" s="63" t="s">
        <v>200</v>
      </c>
      <c r="D22" s="63" t="s">
        <v>291</v>
      </c>
      <c r="F22" s="64"/>
      <c r="G22" s="66"/>
      <c r="H22" s="66"/>
      <c r="I22" s="66"/>
      <c r="J22" s="66"/>
      <c r="K22" s="66"/>
      <c r="L22" s="64"/>
      <c r="M22" s="64"/>
      <c r="N22" s="64"/>
      <c r="O22" s="66"/>
    </row>
    <row r="23" spans="1:52" s="63" customFormat="1" ht="12.75">
      <c r="A23" s="63" t="s">
        <v>172</v>
      </c>
      <c r="B23" s="63" t="s">
        <v>45</v>
      </c>
      <c r="D23" s="4" t="s">
        <v>22</v>
      </c>
      <c r="G23" s="66">
        <v>2.5</v>
      </c>
      <c r="H23" s="66"/>
      <c r="I23" s="66">
        <v>2.1</v>
      </c>
      <c r="J23" s="66"/>
      <c r="K23" s="66">
        <v>1.6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</row>
    <row r="24" spans="1:52" s="63" customFormat="1" ht="12.75">
      <c r="A24" s="63" t="s">
        <v>172</v>
      </c>
      <c r="B24" s="63" t="s">
        <v>42</v>
      </c>
      <c r="D24" s="4" t="s">
        <v>22</v>
      </c>
      <c r="G24" s="66">
        <v>11.2</v>
      </c>
      <c r="H24" s="66"/>
      <c r="I24" s="66">
        <v>11.2</v>
      </c>
      <c r="J24" s="66"/>
      <c r="K24" s="66">
        <v>11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</row>
    <row r="25" spans="1:52" s="63" customFormat="1" ht="12.75">
      <c r="A25" s="63" t="s">
        <v>172</v>
      </c>
      <c r="B25" s="63" t="s">
        <v>201</v>
      </c>
      <c r="D25" s="4" t="s">
        <v>21</v>
      </c>
      <c r="G25" s="66">
        <v>5761</v>
      </c>
      <c r="H25" s="66"/>
      <c r="I25" s="66">
        <v>6011</v>
      </c>
      <c r="J25" s="66"/>
      <c r="K25" s="66">
        <v>6016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</row>
    <row r="26" spans="1:52" s="63" customFormat="1" ht="12.75">
      <c r="A26" s="63" t="s">
        <v>172</v>
      </c>
      <c r="B26" s="63" t="s">
        <v>202</v>
      </c>
      <c r="D26" s="4" t="s">
        <v>23</v>
      </c>
      <c r="G26" s="66">
        <v>72</v>
      </c>
      <c r="H26" s="66"/>
      <c r="I26" s="66">
        <v>67</v>
      </c>
      <c r="J26" s="66"/>
      <c r="K26" s="66">
        <v>70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</row>
    <row r="27" spans="7:52" s="63" customFormat="1" ht="12.75"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</row>
    <row r="28" spans="2:52" s="63" customFormat="1" ht="12.75">
      <c r="B28" s="63" t="s">
        <v>70</v>
      </c>
      <c r="C28" s="63" t="s">
        <v>203</v>
      </c>
      <c r="D28" s="63" t="s">
        <v>289</v>
      </c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</row>
    <row r="29" spans="1:52" s="63" customFormat="1" ht="12.75">
      <c r="A29" s="63" t="s">
        <v>172</v>
      </c>
      <c r="B29" s="63" t="s">
        <v>45</v>
      </c>
      <c r="D29" s="4" t="s">
        <v>22</v>
      </c>
      <c r="G29" s="66">
        <v>2.5</v>
      </c>
      <c r="H29" s="66"/>
      <c r="I29" s="66">
        <v>2.2</v>
      </c>
      <c r="J29" s="66"/>
      <c r="K29" s="66">
        <v>2.3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</row>
    <row r="30" spans="1:52" s="63" customFormat="1" ht="12.75">
      <c r="A30" s="63" t="s">
        <v>172</v>
      </c>
      <c r="B30" s="63" t="s">
        <v>42</v>
      </c>
      <c r="D30" s="4" t="s">
        <v>22</v>
      </c>
      <c r="G30" s="66">
        <v>11.8</v>
      </c>
      <c r="H30" s="66"/>
      <c r="I30" s="66">
        <v>11.4</v>
      </c>
      <c r="J30" s="66"/>
      <c r="K30" s="66">
        <v>11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</row>
    <row r="31" spans="1:52" s="63" customFormat="1" ht="12.75">
      <c r="A31" s="63" t="s">
        <v>172</v>
      </c>
      <c r="B31" s="63" t="s">
        <v>201</v>
      </c>
      <c r="D31" s="4" t="s">
        <v>21</v>
      </c>
      <c r="G31" s="66">
        <v>6182</v>
      </c>
      <c r="H31" s="66"/>
      <c r="I31" s="66">
        <v>6208</v>
      </c>
      <c r="J31" s="66"/>
      <c r="K31" s="66">
        <v>6167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</row>
    <row r="32" spans="1:52" s="63" customFormat="1" ht="12.75">
      <c r="A32" s="63" t="s">
        <v>172</v>
      </c>
      <c r="B32" s="63" t="s">
        <v>202</v>
      </c>
      <c r="D32" s="4" t="s">
        <v>23</v>
      </c>
      <c r="G32" s="66">
        <v>69</v>
      </c>
      <c r="H32" s="66"/>
      <c r="I32" s="66">
        <v>66</v>
      </c>
      <c r="J32" s="66"/>
      <c r="K32" s="66">
        <v>67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</row>
    <row r="33" spans="7:52" s="63" customFormat="1" ht="12.75"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</row>
    <row r="34" spans="2:52" s="63" customFormat="1" ht="12.75">
      <c r="B34" s="63" t="s">
        <v>70</v>
      </c>
      <c r="C34" s="63" t="s">
        <v>204</v>
      </c>
      <c r="D34" s="63" t="s">
        <v>290</v>
      </c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</row>
    <row r="35" spans="1:52" s="63" customFormat="1" ht="12.75">
      <c r="A35" s="63" t="s">
        <v>172</v>
      </c>
      <c r="B35" s="63" t="s">
        <v>45</v>
      </c>
      <c r="C35" s="4"/>
      <c r="D35" s="4" t="s">
        <v>22</v>
      </c>
      <c r="G35" s="66">
        <v>2.5</v>
      </c>
      <c r="H35" s="66"/>
      <c r="I35" s="66">
        <v>2.2</v>
      </c>
      <c r="J35" s="66"/>
      <c r="K35" s="66">
        <v>2.3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</row>
    <row r="36" spans="1:52" s="63" customFormat="1" ht="12.75">
      <c r="A36" s="63" t="s">
        <v>172</v>
      </c>
      <c r="B36" s="63" t="s">
        <v>42</v>
      </c>
      <c r="C36" s="4"/>
      <c r="D36" s="4" t="s">
        <v>22</v>
      </c>
      <c r="G36" s="66">
        <v>11</v>
      </c>
      <c r="H36" s="66"/>
      <c r="I36" s="66">
        <v>11.2</v>
      </c>
      <c r="J36" s="66"/>
      <c r="K36" s="66">
        <v>11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</row>
    <row r="37" spans="1:52" s="63" customFormat="1" ht="12.75">
      <c r="A37" s="63" t="s">
        <v>172</v>
      </c>
      <c r="B37" s="63" t="s">
        <v>201</v>
      </c>
      <c r="C37" s="4"/>
      <c r="D37" s="4" t="s">
        <v>21</v>
      </c>
      <c r="G37" s="66">
        <v>5907</v>
      </c>
      <c r="H37" s="66"/>
      <c r="I37" s="66">
        <v>6307</v>
      </c>
      <c r="J37" s="66"/>
      <c r="K37" s="66">
        <v>6083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</row>
    <row r="38" spans="1:52" s="63" customFormat="1" ht="12.75">
      <c r="A38" s="63" t="s">
        <v>172</v>
      </c>
      <c r="B38" s="63" t="s">
        <v>202</v>
      </c>
      <c r="C38" s="4"/>
      <c r="D38" s="4" t="s">
        <v>23</v>
      </c>
      <c r="G38" s="66">
        <v>70</v>
      </c>
      <c r="H38" s="66"/>
      <c r="I38" s="66">
        <v>67</v>
      </c>
      <c r="J38" s="66"/>
      <c r="K38" s="66">
        <v>67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</row>
    <row r="39" spans="6:15" s="63" customFormat="1" ht="12.75">
      <c r="F39" s="64"/>
      <c r="G39" s="66"/>
      <c r="H39" s="66"/>
      <c r="I39" s="66"/>
      <c r="J39" s="66"/>
      <c r="K39" s="66"/>
      <c r="L39" s="64"/>
      <c r="M39" s="64"/>
      <c r="N39" s="64"/>
      <c r="O39" s="64"/>
    </row>
    <row r="40" spans="2:15" s="63" customFormat="1" ht="12.75">
      <c r="B40" s="45" t="s">
        <v>179</v>
      </c>
      <c r="C40" s="45"/>
      <c r="F40" s="64"/>
      <c r="G40" s="67" t="s">
        <v>194</v>
      </c>
      <c r="H40" s="67"/>
      <c r="I40" s="67" t="s">
        <v>195</v>
      </c>
      <c r="J40" s="67"/>
      <c r="K40" s="67" t="s">
        <v>196</v>
      </c>
      <c r="L40" s="67"/>
      <c r="M40" s="67" t="s">
        <v>197</v>
      </c>
      <c r="N40" s="67"/>
      <c r="O40" s="67" t="s">
        <v>198</v>
      </c>
    </row>
    <row r="41" spans="6:15" s="63" customFormat="1" ht="12.75">
      <c r="F41" s="64"/>
      <c r="G41" s="66"/>
      <c r="H41" s="66"/>
      <c r="I41" s="66"/>
      <c r="J41" s="66"/>
      <c r="K41" s="66"/>
      <c r="L41" s="64"/>
      <c r="M41" s="64"/>
      <c r="N41" s="64"/>
      <c r="O41" s="64"/>
    </row>
    <row r="42" spans="1:15" s="63" customFormat="1" ht="12.75">
      <c r="A42" s="63" t="s">
        <v>179</v>
      </c>
      <c r="B42" s="63" t="s">
        <v>17</v>
      </c>
      <c r="C42" s="63" t="s">
        <v>289</v>
      </c>
      <c r="D42" s="63" t="s">
        <v>18</v>
      </c>
      <c r="E42" s="63" t="s">
        <v>19</v>
      </c>
      <c r="F42" s="64" t="s">
        <v>173</v>
      </c>
      <c r="G42" s="65">
        <v>0.000200001984</v>
      </c>
      <c r="H42" s="65" t="s">
        <v>173</v>
      </c>
      <c r="I42" s="65">
        <v>0.000300002976</v>
      </c>
      <c r="J42" s="65" t="s">
        <v>173</v>
      </c>
      <c r="K42" s="65">
        <v>0.000400003968</v>
      </c>
      <c r="L42" s="65" t="s">
        <v>173</v>
      </c>
      <c r="M42" s="65"/>
      <c r="N42" s="65" t="s">
        <v>173</v>
      </c>
      <c r="O42" s="65">
        <f>AVERAGE(G42,I42,K42)</f>
        <v>0.000300002976</v>
      </c>
    </row>
    <row r="43" spans="6:15" s="63" customFormat="1" ht="12.75">
      <c r="F43" s="64"/>
      <c r="G43" s="65"/>
      <c r="H43" s="65"/>
      <c r="I43" s="65"/>
      <c r="J43" s="65"/>
      <c r="K43" s="65"/>
      <c r="L43" s="65"/>
      <c r="M43" s="65"/>
      <c r="N43" s="65"/>
      <c r="O43" s="65"/>
    </row>
    <row r="44" spans="1:15" s="63" customFormat="1" ht="12.75">
      <c r="A44" s="63" t="s">
        <v>179</v>
      </c>
      <c r="B44" s="63" t="s">
        <v>75</v>
      </c>
      <c r="C44" s="63" t="s">
        <v>289</v>
      </c>
      <c r="D44" s="63" t="s">
        <v>20</v>
      </c>
      <c r="E44" s="63" t="s">
        <v>19</v>
      </c>
      <c r="F44" s="64" t="s">
        <v>173</v>
      </c>
      <c r="G44" s="66">
        <v>0.8367816091954023</v>
      </c>
      <c r="H44" s="66" t="s">
        <v>173</v>
      </c>
      <c r="I44" s="66">
        <v>-0.1203438395415473</v>
      </c>
      <c r="J44" s="66" t="s">
        <v>173</v>
      </c>
      <c r="K44" s="66">
        <v>0.6671304347826087</v>
      </c>
      <c r="L44" s="64" t="s">
        <v>173</v>
      </c>
      <c r="M44" s="66">
        <v>-0.11005780346820809</v>
      </c>
      <c r="N44" s="64" t="s">
        <v>173</v>
      </c>
      <c r="O44" s="66">
        <f>AVERAGE(G44,I44,K44)</f>
        <v>0.4611894014788212</v>
      </c>
    </row>
    <row r="45" spans="1:15" s="63" customFormat="1" ht="12.75">
      <c r="A45" s="63" t="s">
        <v>179</v>
      </c>
      <c r="B45" s="63" t="s">
        <v>191</v>
      </c>
      <c r="C45" s="63" t="s">
        <v>289</v>
      </c>
      <c r="D45" s="63" t="s">
        <v>20</v>
      </c>
      <c r="E45" s="63" t="s">
        <v>19</v>
      </c>
      <c r="F45" s="64" t="s">
        <v>173</v>
      </c>
      <c r="G45" s="66">
        <v>1.7041379310344826</v>
      </c>
      <c r="H45" s="66" t="s">
        <v>173</v>
      </c>
      <c r="I45" s="66">
        <v>-0.11553008595988538</v>
      </c>
      <c r="J45" s="66" t="s">
        <v>173</v>
      </c>
      <c r="K45" s="66">
        <v>8.133797101449277</v>
      </c>
      <c r="L45" s="64" t="s">
        <v>173</v>
      </c>
      <c r="M45" s="66">
        <v>-0.0938728323699422</v>
      </c>
      <c r="N45" s="64" t="s">
        <v>173</v>
      </c>
      <c r="O45" s="66">
        <f>AVERAGE(G45,I45,K45)</f>
        <v>3.240801648841291</v>
      </c>
    </row>
    <row r="46" spans="1:15" s="63" customFormat="1" ht="12.75">
      <c r="A46" s="63" t="s">
        <v>179</v>
      </c>
      <c r="B46" s="63" t="s">
        <v>193</v>
      </c>
      <c r="C46" s="63" t="s">
        <v>289</v>
      </c>
      <c r="D46" s="63" t="s">
        <v>20</v>
      </c>
      <c r="E46" s="63" t="s">
        <v>19</v>
      </c>
      <c r="F46" s="64" t="s">
        <v>173</v>
      </c>
      <c r="G46" s="66">
        <v>1.2873563218390807</v>
      </c>
      <c r="H46" s="66" t="s">
        <v>173</v>
      </c>
      <c r="I46" s="66">
        <v>0.9627507163323784</v>
      </c>
      <c r="J46" s="66" t="s">
        <v>173</v>
      </c>
      <c r="K46" s="66">
        <v>0.48695652173913</v>
      </c>
      <c r="L46" s="64" t="s">
        <v>173</v>
      </c>
      <c r="M46" s="64"/>
      <c r="N46" s="64" t="s">
        <v>173</v>
      </c>
      <c r="O46" s="66">
        <f>AVERAGE(G46,I46,K46)</f>
        <v>0.9123545199701963</v>
      </c>
    </row>
    <row r="47" spans="1:15" s="63" customFormat="1" ht="12.75">
      <c r="A47" s="63" t="s">
        <v>179</v>
      </c>
      <c r="B47" s="63" t="s">
        <v>192</v>
      </c>
      <c r="C47" s="63" t="s">
        <v>289</v>
      </c>
      <c r="D47" s="63" t="s">
        <v>20</v>
      </c>
      <c r="E47" s="63" t="s">
        <v>19</v>
      </c>
      <c r="F47" s="64" t="s">
        <v>173</v>
      </c>
      <c r="G47" s="66">
        <v>5.3103448275862</v>
      </c>
      <c r="H47" s="66" t="s">
        <v>173</v>
      </c>
      <c r="I47" s="66">
        <v>5.77650429799427</v>
      </c>
      <c r="J47" s="66" t="s">
        <v>173</v>
      </c>
      <c r="K47" s="66">
        <v>2.1101449275362323</v>
      </c>
      <c r="L47" s="64" t="s">
        <v>173</v>
      </c>
      <c r="M47" s="64"/>
      <c r="N47" s="64" t="s">
        <v>173</v>
      </c>
      <c r="O47" s="66">
        <f>AVERAGE(G47,I47,K47)</f>
        <v>4.398998017705568</v>
      </c>
    </row>
    <row r="48" spans="6:15" s="63" customFormat="1" ht="12.75">
      <c r="F48" s="64"/>
      <c r="G48" s="66"/>
      <c r="H48" s="66"/>
      <c r="I48" s="66"/>
      <c r="J48" s="66"/>
      <c r="K48" s="66"/>
      <c r="L48" s="64"/>
      <c r="M48" s="64"/>
      <c r="N48" s="64"/>
      <c r="O48" s="64"/>
    </row>
    <row r="49" spans="1:15" s="63" customFormat="1" ht="12.75">
      <c r="A49" s="63" t="s">
        <v>179</v>
      </c>
      <c r="B49" s="63" t="s">
        <v>30</v>
      </c>
      <c r="C49" s="63" t="s">
        <v>289</v>
      </c>
      <c r="D49" s="63" t="s">
        <v>20</v>
      </c>
      <c r="E49" s="63" t="s">
        <v>19</v>
      </c>
      <c r="F49" s="64" t="s">
        <v>173</v>
      </c>
      <c r="G49" s="66">
        <v>0.6430944507378087</v>
      </c>
      <c r="H49" s="66" t="s">
        <v>173</v>
      </c>
      <c r="I49" s="66">
        <v>2.0823165938295</v>
      </c>
      <c r="J49" s="66" t="s">
        <v>173</v>
      </c>
      <c r="K49" s="66">
        <v>0.9701757696323</v>
      </c>
      <c r="L49" s="64" t="s">
        <v>173</v>
      </c>
      <c r="N49" s="64" t="s">
        <v>173</v>
      </c>
      <c r="O49" s="66">
        <f>AVERAGE(G49,I49,K49)</f>
        <v>1.2318622713998695</v>
      </c>
    </row>
    <row r="50" spans="1:15" s="63" customFormat="1" ht="12.75">
      <c r="A50" s="63" t="s">
        <v>179</v>
      </c>
      <c r="B50" s="63" t="s">
        <v>31</v>
      </c>
      <c r="C50" s="63" t="s">
        <v>289</v>
      </c>
      <c r="D50" s="63" t="s">
        <v>20</v>
      </c>
      <c r="E50" s="63" t="s">
        <v>19</v>
      </c>
      <c r="F50" s="64" t="s">
        <v>173</v>
      </c>
      <c r="G50" s="66">
        <v>0.5410107310284348</v>
      </c>
      <c r="H50" s="66" t="s">
        <v>173</v>
      </c>
      <c r="I50" s="66">
        <v>1.4868445354389</v>
      </c>
      <c r="J50" s="66" t="s">
        <v>173</v>
      </c>
      <c r="K50" s="66">
        <v>0.31173225320078746</v>
      </c>
      <c r="L50" s="64" t="s">
        <v>173</v>
      </c>
      <c r="N50" s="64" t="s">
        <v>173</v>
      </c>
      <c r="O50" s="66">
        <f>AVERAGE(G50,I50,K50)</f>
        <v>0.7798625065560407</v>
      </c>
    </row>
    <row r="51" spans="2:15" s="63" customFormat="1" ht="12.75">
      <c r="B51" s="63" t="s">
        <v>69</v>
      </c>
      <c r="C51" s="63" t="s">
        <v>289</v>
      </c>
      <c r="D51" s="63" t="s">
        <v>20</v>
      </c>
      <c r="E51" s="63" t="s">
        <v>19</v>
      </c>
      <c r="F51" s="64"/>
      <c r="G51" s="66">
        <f>G49+2*G50</f>
        <v>1.7251159127946782</v>
      </c>
      <c r="H51" s="66"/>
      <c r="I51" s="66">
        <f>I49+2*I50</f>
        <v>5.0560056647073</v>
      </c>
      <c r="J51" s="66"/>
      <c r="K51" s="66">
        <f>K49+2*K50</f>
        <v>1.593640276033875</v>
      </c>
      <c r="L51" s="64"/>
      <c r="N51" s="64"/>
      <c r="O51" s="66">
        <f>AVERAGE(G51,I51,K51)</f>
        <v>2.791587284511951</v>
      </c>
    </row>
    <row r="52" spans="6:15" s="63" customFormat="1" ht="12.75">
      <c r="F52" s="64"/>
      <c r="G52" s="66"/>
      <c r="H52" s="66"/>
      <c r="I52" s="66"/>
      <c r="J52" s="66"/>
      <c r="K52" s="66"/>
      <c r="L52" s="64"/>
      <c r="M52" s="64"/>
      <c r="N52" s="64"/>
      <c r="O52" s="64"/>
    </row>
    <row r="53" spans="1:15" s="63" customFormat="1" ht="12.75">
      <c r="A53" s="63" t="s">
        <v>179</v>
      </c>
      <c r="B53" s="63" t="s">
        <v>180</v>
      </c>
      <c r="C53" s="63" t="s">
        <v>290</v>
      </c>
      <c r="D53" s="63" t="s">
        <v>38</v>
      </c>
      <c r="E53" s="63" t="s">
        <v>19</v>
      </c>
      <c r="F53" s="64" t="s">
        <v>173</v>
      </c>
      <c r="G53" s="66"/>
      <c r="H53" s="66" t="s">
        <v>24</v>
      </c>
      <c r="I53" s="66">
        <v>0.27045454545454545</v>
      </c>
      <c r="J53" s="66" t="s">
        <v>24</v>
      </c>
      <c r="K53" s="66">
        <v>0.2930232558139535</v>
      </c>
      <c r="L53" s="64" t="s">
        <v>24</v>
      </c>
      <c r="M53" s="66">
        <v>0.07477272727272727</v>
      </c>
      <c r="N53" s="64" t="s">
        <v>173</v>
      </c>
      <c r="O53" s="66">
        <f>AVERAGE(M53,I53,K53)</f>
        <v>0.21275017618040873</v>
      </c>
    </row>
    <row r="54" spans="1:15" s="63" customFormat="1" ht="12.75">
      <c r="A54" s="63" t="s">
        <v>179</v>
      </c>
      <c r="B54" s="63" t="s">
        <v>174</v>
      </c>
      <c r="C54" s="63" t="s">
        <v>290</v>
      </c>
      <c r="D54" s="63" t="s">
        <v>38</v>
      </c>
      <c r="E54" s="63" t="s">
        <v>19</v>
      </c>
      <c r="F54" s="64" t="s">
        <v>173</v>
      </c>
      <c r="G54" s="66"/>
      <c r="H54" s="66" t="s">
        <v>173</v>
      </c>
      <c r="I54" s="66">
        <v>4.486363636363635</v>
      </c>
      <c r="J54" s="66" t="s">
        <v>173</v>
      </c>
      <c r="K54" s="66">
        <v>4.232558139534884</v>
      </c>
      <c r="L54" s="64" t="s">
        <v>173</v>
      </c>
      <c r="M54" s="66">
        <v>6.093181818181818</v>
      </c>
      <c r="N54" s="64" t="s">
        <v>173</v>
      </c>
      <c r="O54" s="66">
        <f aca="true" t="shared" si="0" ref="O54:O68">AVERAGE(M54,I54,K54)</f>
        <v>4.937367864693446</v>
      </c>
    </row>
    <row r="55" spans="1:15" s="63" customFormat="1" ht="12.75">
      <c r="A55" s="63" t="s">
        <v>179</v>
      </c>
      <c r="B55" s="63" t="s">
        <v>181</v>
      </c>
      <c r="C55" s="63" t="s">
        <v>290</v>
      </c>
      <c r="D55" s="63" t="s">
        <v>38</v>
      </c>
      <c r="E55" s="63" t="s">
        <v>19</v>
      </c>
      <c r="F55" s="64" t="s">
        <v>173</v>
      </c>
      <c r="G55" s="66"/>
      <c r="H55" s="66" t="s">
        <v>173</v>
      </c>
      <c r="I55" s="66">
        <v>0.57909090909091</v>
      </c>
      <c r="J55" s="66" t="s">
        <v>173</v>
      </c>
      <c r="K55" s="66">
        <v>4.672093023255814</v>
      </c>
      <c r="L55" s="64" t="s">
        <v>173</v>
      </c>
      <c r="M55" s="66">
        <v>0.38818181818181813</v>
      </c>
      <c r="N55" s="64" t="s">
        <v>173</v>
      </c>
      <c r="O55" s="66">
        <f t="shared" si="0"/>
        <v>1.879788583509514</v>
      </c>
    </row>
    <row r="56" spans="1:15" s="63" customFormat="1" ht="12.75">
      <c r="A56" s="63" t="s">
        <v>179</v>
      </c>
      <c r="B56" s="63" t="s">
        <v>182</v>
      </c>
      <c r="C56" s="63" t="s">
        <v>290</v>
      </c>
      <c r="D56" s="63" t="s">
        <v>38</v>
      </c>
      <c r="E56" s="63" t="s">
        <v>19</v>
      </c>
      <c r="F56" s="64" t="s">
        <v>173</v>
      </c>
      <c r="G56" s="66"/>
      <c r="H56" s="66" t="s">
        <v>24</v>
      </c>
      <c r="I56" s="66">
        <v>0.15590909090909</v>
      </c>
      <c r="J56" s="66" t="s">
        <v>24</v>
      </c>
      <c r="K56" s="66">
        <v>0.16116279069767442</v>
      </c>
      <c r="L56" s="64" t="s">
        <v>24</v>
      </c>
      <c r="M56" s="66">
        <v>0.175</v>
      </c>
      <c r="N56" s="64" t="s">
        <v>173</v>
      </c>
      <c r="O56" s="66">
        <f t="shared" si="0"/>
        <v>0.16402396053558813</v>
      </c>
    </row>
    <row r="57" spans="1:15" s="63" customFormat="1" ht="12.75">
      <c r="A57" s="63" t="s">
        <v>179</v>
      </c>
      <c r="B57" s="63" t="s">
        <v>175</v>
      </c>
      <c r="C57" s="63" t="s">
        <v>290</v>
      </c>
      <c r="D57" s="63" t="s">
        <v>38</v>
      </c>
      <c r="E57" s="63" t="s">
        <v>19</v>
      </c>
      <c r="F57" s="64" t="s">
        <v>173</v>
      </c>
      <c r="G57" s="66"/>
      <c r="H57" s="66" t="s">
        <v>173</v>
      </c>
      <c r="I57" s="66">
        <v>2.9431818181818183</v>
      </c>
      <c r="J57" s="66" t="s">
        <v>173</v>
      </c>
      <c r="K57" s="66">
        <v>3.23953488372093</v>
      </c>
      <c r="L57" s="64" t="s">
        <v>173</v>
      </c>
      <c r="M57" s="66">
        <v>0.8081818181818181</v>
      </c>
      <c r="N57" s="64" t="s">
        <v>173</v>
      </c>
      <c r="O57" s="66">
        <f t="shared" si="0"/>
        <v>2.3302995066948555</v>
      </c>
    </row>
    <row r="58" spans="1:15" s="63" customFormat="1" ht="12.75">
      <c r="A58" s="63" t="s">
        <v>179</v>
      </c>
      <c r="B58" s="63" t="s">
        <v>176</v>
      </c>
      <c r="C58" s="63" t="s">
        <v>290</v>
      </c>
      <c r="D58" s="63" t="s">
        <v>38</v>
      </c>
      <c r="E58" s="63" t="s">
        <v>19</v>
      </c>
      <c r="F58" s="64" t="s">
        <v>173</v>
      </c>
      <c r="G58" s="66"/>
      <c r="H58" s="66" t="s">
        <v>173</v>
      </c>
      <c r="I58" s="66">
        <v>3.8818181818181814</v>
      </c>
      <c r="J58" s="66" t="s">
        <v>173</v>
      </c>
      <c r="K58" s="66">
        <v>3.3209302325581396</v>
      </c>
      <c r="L58" s="64" t="s">
        <v>173</v>
      </c>
      <c r="M58" s="66">
        <v>0.9656818181818181</v>
      </c>
      <c r="N58" s="64" t="s">
        <v>173</v>
      </c>
      <c r="O58" s="66">
        <f t="shared" si="0"/>
        <v>2.7228100775193798</v>
      </c>
    </row>
    <row r="59" spans="1:15" s="63" customFormat="1" ht="12.75">
      <c r="A59" s="63" t="s">
        <v>179</v>
      </c>
      <c r="B59" s="63" t="s">
        <v>177</v>
      </c>
      <c r="C59" s="63" t="s">
        <v>291</v>
      </c>
      <c r="D59" s="63" t="s">
        <v>38</v>
      </c>
      <c r="E59" s="63" t="s">
        <v>19</v>
      </c>
      <c r="F59" s="64" t="s">
        <v>173</v>
      </c>
      <c r="G59" s="66"/>
      <c r="H59" s="66" t="s">
        <v>173</v>
      </c>
      <c r="I59" s="66">
        <v>2.864367816091954</v>
      </c>
      <c r="J59" s="66" t="s">
        <v>173</v>
      </c>
      <c r="K59" s="66">
        <v>2.3816091954023</v>
      </c>
      <c r="L59" s="64" t="s">
        <v>173</v>
      </c>
      <c r="M59" s="66">
        <v>3.9035294117647</v>
      </c>
      <c r="N59" s="64" t="s">
        <v>173</v>
      </c>
      <c r="O59" s="66">
        <f t="shared" si="0"/>
        <v>3.0498354744196514</v>
      </c>
    </row>
    <row r="60" spans="1:15" s="63" customFormat="1" ht="12.75">
      <c r="A60" s="63" t="s">
        <v>179</v>
      </c>
      <c r="B60" s="63" t="s">
        <v>183</v>
      </c>
      <c r="C60" s="63" t="s">
        <v>290</v>
      </c>
      <c r="D60" s="63" t="s">
        <v>38</v>
      </c>
      <c r="E60" s="63" t="s">
        <v>19</v>
      </c>
      <c r="F60" s="64" t="s">
        <v>173</v>
      </c>
      <c r="G60" s="66"/>
      <c r="H60" s="66" t="s">
        <v>173</v>
      </c>
      <c r="I60" s="66">
        <v>1.861363636363636</v>
      </c>
      <c r="J60" s="66" t="s">
        <v>173</v>
      </c>
      <c r="K60" s="66">
        <v>1.9209302325581394</v>
      </c>
      <c r="L60" s="64" t="s">
        <v>173</v>
      </c>
      <c r="M60" s="66">
        <v>0.9338636363636362</v>
      </c>
      <c r="N60" s="64" t="s">
        <v>173</v>
      </c>
      <c r="O60" s="66">
        <f t="shared" si="0"/>
        <v>1.5720525017618039</v>
      </c>
    </row>
    <row r="61" spans="1:15" s="63" customFormat="1" ht="12.75">
      <c r="A61" s="63" t="s">
        <v>179</v>
      </c>
      <c r="B61" s="63" t="s">
        <v>184</v>
      </c>
      <c r="C61" s="63" t="s">
        <v>290</v>
      </c>
      <c r="D61" s="63" t="s">
        <v>38</v>
      </c>
      <c r="E61" s="63" t="s">
        <v>19</v>
      </c>
      <c r="F61" s="64" t="s">
        <v>173</v>
      </c>
      <c r="G61" s="66"/>
      <c r="H61" s="66" t="s">
        <v>24</v>
      </c>
      <c r="I61" s="66">
        <v>3.0227272727272725</v>
      </c>
      <c r="J61" s="66" t="s">
        <v>24</v>
      </c>
      <c r="K61" s="66">
        <v>4.411627906976745</v>
      </c>
      <c r="L61" s="64" t="s">
        <v>24</v>
      </c>
      <c r="M61" s="66">
        <v>3.4363636363636365</v>
      </c>
      <c r="N61" s="64" t="s">
        <v>173</v>
      </c>
      <c r="O61" s="66">
        <f t="shared" si="0"/>
        <v>3.623572938689218</v>
      </c>
    </row>
    <row r="62" spans="1:15" s="63" customFormat="1" ht="12.75">
      <c r="A62" s="63" t="s">
        <v>179</v>
      </c>
      <c r="B62" s="63" t="s">
        <v>178</v>
      </c>
      <c r="C62" s="63" t="s">
        <v>290</v>
      </c>
      <c r="D62" s="63" t="s">
        <v>38</v>
      </c>
      <c r="E62" s="63" t="s">
        <v>19</v>
      </c>
      <c r="F62" s="64" t="s">
        <v>173</v>
      </c>
      <c r="G62" s="66"/>
      <c r="H62" s="66" t="s">
        <v>173</v>
      </c>
      <c r="I62" s="66">
        <v>59.659090909091</v>
      </c>
      <c r="J62" s="66" t="s">
        <v>173</v>
      </c>
      <c r="K62" s="66">
        <v>66.41860465116278</v>
      </c>
      <c r="L62" s="64" t="s">
        <v>173</v>
      </c>
      <c r="M62" s="66">
        <v>18.93181818181818</v>
      </c>
      <c r="N62" s="64" t="s">
        <v>173</v>
      </c>
      <c r="O62" s="66">
        <f t="shared" si="0"/>
        <v>48.33650458069065</v>
      </c>
    </row>
    <row r="63" spans="1:15" s="63" customFormat="1" ht="12.75">
      <c r="A63" s="63" t="s">
        <v>179</v>
      </c>
      <c r="B63" s="63" t="s">
        <v>185</v>
      </c>
      <c r="C63" s="63" t="s">
        <v>290</v>
      </c>
      <c r="D63" s="63" t="s">
        <v>38</v>
      </c>
      <c r="E63" s="63" t="s">
        <v>19</v>
      </c>
      <c r="F63" s="64" t="s">
        <v>173</v>
      </c>
      <c r="G63" s="66"/>
      <c r="H63" s="66" t="s">
        <v>24</v>
      </c>
      <c r="I63" s="66">
        <v>0.4613636363636363</v>
      </c>
      <c r="J63" s="66" t="s">
        <v>24</v>
      </c>
      <c r="K63" s="66">
        <v>0.13186046511628</v>
      </c>
      <c r="L63" s="64" t="s">
        <v>24</v>
      </c>
      <c r="M63" s="66">
        <v>0.14509090909091</v>
      </c>
      <c r="N63" s="64" t="s">
        <v>173</v>
      </c>
      <c r="O63" s="66">
        <f t="shared" si="0"/>
        <v>0.24610500352360876</v>
      </c>
    </row>
    <row r="64" spans="1:15" s="63" customFormat="1" ht="12.75">
      <c r="A64" s="63" t="s">
        <v>179</v>
      </c>
      <c r="B64" s="63" t="s">
        <v>186</v>
      </c>
      <c r="C64" s="63" t="s">
        <v>290</v>
      </c>
      <c r="D64" s="63" t="s">
        <v>38</v>
      </c>
      <c r="E64" s="63" t="s">
        <v>19</v>
      </c>
      <c r="F64" s="64" t="s">
        <v>173</v>
      </c>
      <c r="G64" s="66"/>
      <c r="H64" s="66" t="s">
        <v>24</v>
      </c>
      <c r="I64" s="66">
        <v>1.1009090909091</v>
      </c>
      <c r="J64" s="66" t="s">
        <v>24</v>
      </c>
      <c r="K64" s="66">
        <v>1.1362790697674419</v>
      </c>
      <c r="L64" s="64" t="s">
        <v>24</v>
      </c>
      <c r="M64" s="66">
        <v>1.26</v>
      </c>
      <c r="N64" s="64" t="s">
        <v>173</v>
      </c>
      <c r="O64" s="66">
        <f t="shared" si="0"/>
        <v>1.1657293868921805</v>
      </c>
    </row>
    <row r="65" spans="1:15" s="63" customFormat="1" ht="12.75">
      <c r="A65" s="63" t="s">
        <v>179</v>
      </c>
      <c r="B65" s="63" t="s">
        <v>187</v>
      </c>
      <c r="C65" s="63" t="s">
        <v>290</v>
      </c>
      <c r="D65" s="63" t="s">
        <v>38</v>
      </c>
      <c r="E65" s="63" t="s">
        <v>19</v>
      </c>
      <c r="F65" s="64" t="s">
        <v>173</v>
      </c>
      <c r="G65" s="66"/>
      <c r="H65" s="66" t="s">
        <v>24</v>
      </c>
      <c r="I65" s="66">
        <v>0.41363636363636364</v>
      </c>
      <c r="J65" s="66" t="s">
        <v>173</v>
      </c>
      <c r="K65" s="66">
        <v>0.43953488372093</v>
      </c>
      <c r="L65" s="64" t="s">
        <v>24</v>
      </c>
      <c r="M65" s="66">
        <v>0.47727272727272724</v>
      </c>
      <c r="N65" s="64" t="s">
        <v>173</v>
      </c>
      <c r="O65" s="66">
        <f t="shared" si="0"/>
        <v>0.44348132487667363</v>
      </c>
    </row>
    <row r="66" spans="6:15" s="63" customFormat="1" ht="12.75">
      <c r="F66" s="64"/>
      <c r="G66" s="66"/>
      <c r="H66" s="66"/>
      <c r="I66" s="66"/>
      <c r="J66" s="66"/>
      <c r="K66" s="66"/>
      <c r="L66" s="64"/>
      <c r="M66" s="66"/>
      <c r="N66" s="64"/>
      <c r="O66" s="66"/>
    </row>
    <row r="67" spans="2:15" s="63" customFormat="1" ht="12.75">
      <c r="B67" s="63" t="s">
        <v>39</v>
      </c>
      <c r="C67" s="63" t="s">
        <v>290</v>
      </c>
      <c r="D67" s="63" t="s">
        <v>38</v>
      </c>
      <c r="E67" s="63" t="s">
        <v>19</v>
      </c>
      <c r="F67" s="64"/>
      <c r="G67" s="66"/>
      <c r="H67" s="66"/>
      <c r="I67" s="66">
        <f>I57+I60</f>
        <v>4.804545454545455</v>
      </c>
      <c r="J67" s="66"/>
      <c r="K67" s="66">
        <f>K57+K60</f>
        <v>5.160465116279069</v>
      </c>
      <c r="L67" s="64"/>
      <c r="M67" s="66">
        <f>M57+M60</f>
        <v>1.7420454545454542</v>
      </c>
      <c r="N67" s="64"/>
      <c r="O67" s="66">
        <f t="shared" si="0"/>
        <v>3.90235200845666</v>
      </c>
    </row>
    <row r="68" spans="2:15" s="63" customFormat="1" ht="12.75">
      <c r="B68" s="63" t="s">
        <v>40</v>
      </c>
      <c r="C68" s="63" t="s">
        <v>290</v>
      </c>
      <c r="D68" s="63" t="s">
        <v>38</v>
      </c>
      <c r="E68" s="63" t="s">
        <v>19</v>
      </c>
      <c r="F68" s="64"/>
      <c r="G68" s="66"/>
      <c r="H68" s="66">
        <v>1.8</v>
      </c>
      <c r="I68" s="66">
        <f>I54+I56+I58</f>
        <v>8.524090909090907</v>
      </c>
      <c r="J68" s="66">
        <v>2.1</v>
      </c>
      <c r="K68" s="66">
        <f>K54+K56+K58</f>
        <v>7.714651162790698</v>
      </c>
      <c r="L68" s="64">
        <v>2.4</v>
      </c>
      <c r="M68" s="66">
        <f>M54+M56+M58</f>
        <v>7.233863636363636</v>
      </c>
      <c r="N68" s="64">
        <v>2.1</v>
      </c>
      <c r="O68" s="66">
        <f t="shared" si="0"/>
        <v>7.824201902748413</v>
      </c>
    </row>
    <row r="69" spans="6:15" s="63" customFormat="1" ht="12.75">
      <c r="F69" s="64"/>
      <c r="G69" s="66"/>
      <c r="H69" s="66"/>
      <c r="I69" s="66"/>
      <c r="J69" s="66"/>
      <c r="K69" s="66"/>
      <c r="L69" s="64"/>
      <c r="M69" s="66"/>
      <c r="N69" s="64"/>
      <c r="O69" s="66"/>
    </row>
    <row r="70" spans="2:15" s="63" customFormat="1" ht="12.75">
      <c r="B70" s="63" t="s">
        <v>70</v>
      </c>
      <c r="C70" s="63" t="s">
        <v>200</v>
      </c>
      <c r="D70" s="63" t="s">
        <v>291</v>
      </c>
      <c r="F70" s="64"/>
      <c r="G70" s="66"/>
      <c r="H70" s="66"/>
      <c r="I70" s="66"/>
      <c r="J70" s="66"/>
      <c r="K70" s="66"/>
      <c r="L70" s="64"/>
      <c r="M70" s="66"/>
      <c r="N70" s="64"/>
      <c r="O70" s="66"/>
    </row>
    <row r="71" spans="1:52" s="63" customFormat="1" ht="12.75">
      <c r="A71" s="63" t="s">
        <v>179</v>
      </c>
      <c r="B71" s="63" t="s">
        <v>45</v>
      </c>
      <c r="D71" s="4" t="s">
        <v>22</v>
      </c>
      <c r="G71" s="66"/>
      <c r="H71" s="66"/>
      <c r="I71" s="66">
        <v>5.3</v>
      </c>
      <c r="J71" s="66"/>
      <c r="K71" s="66">
        <v>5.1</v>
      </c>
      <c r="L71" s="66"/>
      <c r="M71" s="66">
        <v>5.5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</row>
    <row r="72" spans="1:52" s="63" customFormat="1" ht="12.75">
      <c r="A72" s="63" t="s">
        <v>179</v>
      </c>
      <c r="B72" s="63" t="s">
        <v>42</v>
      </c>
      <c r="D72" s="4" t="s">
        <v>22</v>
      </c>
      <c r="G72" s="66"/>
      <c r="H72" s="66"/>
      <c r="I72" s="66">
        <v>12.3</v>
      </c>
      <c r="J72" s="66"/>
      <c r="K72" s="66">
        <v>12.3</v>
      </c>
      <c r="L72" s="66"/>
      <c r="M72" s="66">
        <v>12.5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</row>
    <row r="73" spans="1:52" s="63" customFormat="1" ht="12.75">
      <c r="A73" s="63" t="s">
        <v>179</v>
      </c>
      <c r="B73" s="63" t="s">
        <v>201</v>
      </c>
      <c r="D73" s="4" t="s">
        <v>21</v>
      </c>
      <c r="G73" s="66"/>
      <c r="H73" s="66"/>
      <c r="I73" s="66">
        <v>6485</v>
      </c>
      <c r="J73" s="66"/>
      <c r="K73" s="66">
        <v>5918</v>
      </c>
      <c r="L73" s="66"/>
      <c r="M73" s="66">
        <v>6423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</row>
    <row r="74" spans="1:52" s="63" customFormat="1" ht="12.75">
      <c r="A74" s="63" t="s">
        <v>179</v>
      </c>
      <c r="B74" s="63" t="s">
        <v>202</v>
      </c>
      <c r="D74" s="4" t="s">
        <v>23</v>
      </c>
      <c r="G74" s="66"/>
      <c r="H74" s="66"/>
      <c r="I74" s="66">
        <v>93</v>
      </c>
      <c r="J74" s="66"/>
      <c r="K74" s="66">
        <v>92</v>
      </c>
      <c r="L74" s="66"/>
      <c r="M74" s="66">
        <v>95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</row>
    <row r="75" spans="7:52" s="63" customFormat="1" ht="12.75"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</row>
    <row r="76" spans="2:52" s="63" customFormat="1" ht="12.75">
      <c r="B76" s="63" t="s">
        <v>70</v>
      </c>
      <c r="C76" s="63" t="s">
        <v>203</v>
      </c>
      <c r="D76" s="63" t="s">
        <v>289</v>
      </c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</row>
    <row r="77" spans="1:52" s="63" customFormat="1" ht="12.75">
      <c r="A77" s="63" t="s">
        <v>179</v>
      </c>
      <c r="B77" s="63" t="s">
        <v>45</v>
      </c>
      <c r="D77" s="4" t="s">
        <v>22</v>
      </c>
      <c r="G77" s="66">
        <v>4.8</v>
      </c>
      <c r="H77" s="66"/>
      <c r="I77" s="66">
        <v>5</v>
      </c>
      <c r="J77" s="66"/>
      <c r="K77" s="66">
        <v>4.9</v>
      </c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</row>
    <row r="78" spans="1:52" s="63" customFormat="1" ht="12.75">
      <c r="A78" s="63" t="s">
        <v>179</v>
      </c>
      <c r="B78" s="63" t="s">
        <v>42</v>
      </c>
      <c r="D78" s="4" t="s">
        <v>22</v>
      </c>
      <c r="G78" s="66">
        <v>12.3</v>
      </c>
      <c r="H78" s="66"/>
      <c r="I78" s="66">
        <v>12.1</v>
      </c>
      <c r="J78" s="66"/>
      <c r="K78" s="66">
        <v>12.6</v>
      </c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</row>
    <row r="79" spans="1:52" s="63" customFormat="1" ht="12.75">
      <c r="A79" s="63" t="s">
        <v>179</v>
      </c>
      <c r="B79" s="63" t="s">
        <v>201</v>
      </c>
      <c r="D79" s="4" t="s">
        <v>21</v>
      </c>
      <c r="G79" s="66">
        <v>6429</v>
      </c>
      <c r="H79" s="66"/>
      <c r="I79" s="66">
        <v>6352</v>
      </c>
      <c r="J79" s="66"/>
      <c r="K79" s="66">
        <v>6420</v>
      </c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</row>
    <row r="80" spans="1:52" s="63" customFormat="1" ht="12.75">
      <c r="A80" s="63" t="s">
        <v>179</v>
      </c>
      <c r="B80" s="63" t="s">
        <v>202</v>
      </c>
      <c r="D80" s="4" t="s">
        <v>23</v>
      </c>
      <c r="G80" s="66">
        <v>90</v>
      </c>
      <c r="H80" s="66"/>
      <c r="I80" s="66">
        <v>92</v>
      </c>
      <c r="J80" s="66"/>
      <c r="K80" s="66">
        <v>91</v>
      </c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</row>
    <row r="81" spans="7:52" s="63" customFormat="1" ht="12.75"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</row>
    <row r="82" spans="2:52" s="63" customFormat="1" ht="12.75">
      <c r="B82" s="63" t="s">
        <v>70</v>
      </c>
      <c r="C82" s="63" t="s">
        <v>204</v>
      </c>
      <c r="D82" s="63" t="s">
        <v>290</v>
      </c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</row>
    <row r="83" spans="1:52" s="63" customFormat="1" ht="12.75">
      <c r="A83" s="63" t="s">
        <v>179</v>
      </c>
      <c r="B83" s="63" t="s">
        <v>45</v>
      </c>
      <c r="D83" s="4" t="s">
        <v>22</v>
      </c>
      <c r="G83" s="66"/>
      <c r="H83" s="66"/>
      <c r="I83" s="66">
        <v>5</v>
      </c>
      <c r="J83" s="66"/>
      <c r="K83" s="66">
        <v>4.9</v>
      </c>
      <c r="L83" s="66"/>
      <c r="M83" s="66">
        <v>5.3</v>
      </c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</row>
    <row r="84" spans="1:52" s="63" customFormat="1" ht="12.75">
      <c r="A84" s="63" t="s">
        <v>179</v>
      </c>
      <c r="B84" s="63" t="s">
        <v>42</v>
      </c>
      <c r="D84" s="4" t="s">
        <v>22</v>
      </c>
      <c r="G84" s="66"/>
      <c r="H84" s="66"/>
      <c r="I84" s="66">
        <v>12.2</v>
      </c>
      <c r="J84" s="66"/>
      <c r="K84" s="66">
        <v>12.4</v>
      </c>
      <c r="L84" s="66"/>
      <c r="M84" s="66">
        <v>12.2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</row>
    <row r="85" spans="1:52" s="63" customFormat="1" ht="12.75">
      <c r="A85" s="63" t="s">
        <v>179</v>
      </c>
      <c r="B85" s="63" t="s">
        <v>201</v>
      </c>
      <c r="D85" s="4" t="s">
        <v>21</v>
      </c>
      <c r="G85" s="66"/>
      <c r="H85" s="66"/>
      <c r="I85" s="66">
        <v>6500</v>
      </c>
      <c r="J85" s="66"/>
      <c r="K85" s="66">
        <v>6449</v>
      </c>
      <c r="L85" s="66"/>
      <c r="M85" s="66">
        <v>5701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</row>
    <row r="86" spans="1:52" s="63" customFormat="1" ht="12.75">
      <c r="A86" s="63" t="s">
        <v>179</v>
      </c>
      <c r="B86" s="63" t="s">
        <v>202</v>
      </c>
      <c r="D86" s="4" t="s">
        <v>23</v>
      </c>
      <c r="G86" s="66"/>
      <c r="H86" s="66"/>
      <c r="I86" s="66">
        <v>92</v>
      </c>
      <c r="J86" s="66"/>
      <c r="K86" s="66">
        <v>91</v>
      </c>
      <c r="L86" s="66"/>
      <c r="M86" s="66">
        <v>94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</row>
    <row r="87" spans="7:52" s="63" customFormat="1" ht="12.75"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</row>
    <row r="88" spans="2:52" s="63" customFormat="1" ht="12.75">
      <c r="B88" s="63" t="s">
        <v>70</v>
      </c>
      <c r="C88" s="63" t="s">
        <v>205</v>
      </c>
      <c r="D88" s="63" t="s">
        <v>292</v>
      </c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</row>
    <row r="89" spans="1:52" s="63" customFormat="1" ht="12.75">
      <c r="A89" s="63" t="s">
        <v>179</v>
      </c>
      <c r="B89" s="63" t="s">
        <v>45</v>
      </c>
      <c r="D89" s="4" t="s">
        <v>22</v>
      </c>
      <c r="G89" s="66">
        <v>4.9</v>
      </c>
      <c r="H89" s="66"/>
      <c r="I89" s="66">
        <v>5.2</v>
      </c>
      <c r="J89" s="66"/>
      <c r="K89" s="66">
        <v>5.1</v>
      </c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</row>
    <row r="90" spans="1:52" s="63" customFormat="1" ht="12.75">
      <c r="A90" s="63" t="s">
        <v>179</v>
      </c>
      <c r="B90" s="63" t="s">
        <v>42</v>
      </c>
      <c r="D90" s="4" t="s">
        <v>22</v>
      </c>
      <c r="G90" s="66">
        <v>12.3</v>
      </c>
      <c r="H90" s="66"/>
      <c r="I90" s="66">
        <v>12.5</v>
      </c>
      <c r="J90" s="66"/>
      <c r="K90" s="66">
        <v>12.2</v>
      </c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</row>
    <row r="91" spans="1:52" s="63" customFormat="1" ht="12.75">
      <c r="A91" s="63" t="s">
        <v>179</v>
      </c>
      <c r="B91" s="63" t="s">
        <v>201</v>
      </c>
      <c r="D91" s="4" t="s">
        <v>21</v>
      </c>
      <c r="G91" s="66">
        <v>6245</v>
      </c>
      <c r="H91" s="66"/>
      <c r="I91" s="66">
        <v>6141</v>
      </c>
      <c r="J91" s="66"/>
      <c r="K91" s="66">
        <v>5677</v>
      </c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</row>
    <row r="92" spans="1:52" s="63" customFormat="1" ht="12.75">
      <c r="A92" s="63" t="s">
        <v>179</v>
      </c>
      <c r="B92" s="63" t="s">
        <v>202</v>
      </c>
      <c r="D92" s="4" t="s">
        <v>23</v>
      </c>
      <c r="G92" s="66">
        <v>91</v>
      </c>
      <c r="H92" s="66"/>
      <c r="I92" s="66">
        <v>92</v>
      </c>
      <c r="J92" s="66"/>
      <c r="K92" s="66">
        <v>92</v>
      </c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</row>
    <row r="93" spans="7:52" s="63" customFormat="1" ht="12.75"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</row>
    <row r="94" spans="1:46" s="71" customFormat="1" ht="12.75">
      <c r="A94" s="71" t="s">
        <v>179</v>
      </c>
      <c r="B94" s="71" t="s">
        <v>141</v>
      </c>
      <c r="C94" s="71" t="s">
        <v>32</v>
      </c>
      <c r="D94" s="71" t="s">
        <v>22</v>
      </c>
      <c r="G94" s="72">
        <v>99.999988</v>
      </c>
      <c r="H94" s="72"/>
      <c r="I94" s="72">
        <v>99.999983</v>
      </c>
      <c r="J94" s="72"/>
      <c r="K94" s="72">
        <v>99.9999937</v>
      </c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</row>
    <row r="95" spans="1:46" s="71" customFormat="1" ht="12.75">
      <c r="A95" s="71" t="s">
        <v>179</v>
      </c>
      <c r="B95" s="71" t="s">
        <v>206</v>
      </c>
      <c r="C95" s="71" t="s">
        <v>32</v>
      </c>
      <c r="D95" s="71" t="s">
        <v>22</v>
      </c>
      <c r="G95" s="72">
        <v>99.999989</v>
      </c>
      <c r="H95" s="72"/>
      <c r="I95" s="72">
        <v>99.999985</v>
      </c>
      <c r="J95" s="72"/>
      <c r="K95" s="72">
        <v>99.99998</v>
      </c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</row>
    <row r="96" spans="1:46" s="71" customFormat="1" ht="12.75">
      <c r="A96" s="71" t="s">
        <v>179</v>
      </c>
      <c r="B96" s="71" t="s">
        <v>207</v>
      </c>
      <c r="C96" s="71" t="s">
        <v>32</v>
      </c>
      <c r="D96" s="71" t="s">
        <v>22</v>
      </c>
      <c r="G96" s="72">
        <v>99.9999931</v>
      </c>
      <c r="H96" s="72"/>
      <c r="I96" s="72">
        <v>99.9999929</v>
      </c>
      <c r="J96" s="72"/>
      <c r="K96" s="72">
        <v>99.9999926</v>
      </c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</row>
    <row r="97" spans="1:46" s="71" customFormat="1" ht="12.75">
      <c r="A97" s="71" t="s">
        <v>179</v>
      </c>
      <c r="B97" s="71" t="s">
        <v>208</v>
      </c>
      <c r="C97" s="71" t="s">
        <v>32</v>
      </c>
      <c r="D97" s="71" t="s">
        <v>22</v>
      </c>
      <c r="G97" s="72">
        <v>99.999978</v>
      </c>
      <c r="H97" s="72"/>
      <c r="I97" s="72">
        <v>99.999989</v>
      </c>
      <c r="J97" s="72"/>
      <c r="K97" s="72">
        <v>99.999987</v>
      </c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</row>
    <row r="98" spans="6:15" s="63" customFormat="1" ht="12.75">
      <c r="F98" s="64"/>
      <c r="G98" s="66"/>
      <c r="H98" s="66"/>
      <c r="I98" s="66"/>
      <c r="J98" s="66"/>
      <c r="K98" s="66"/>
      <c r="L98" s="64"/>
      <c r="M98" s="64"/>
      <c r="N98" s="64"/>
      <c r="O98" s="64"/>
    </row>
    <row r="99" spans="2:15" s="63" customFormat="1" ht="12.75">
      <c r="B99" s="45" t="s">
        <v>188</v>
      </c>
      <c r="C99" s="45"/>
      <c r="F99" s="64"/>
      <c r="G99" s="67" t="s">
        <v>194</v>
      </c>
      <c r="H99" s="67"/>
      <c r="I99" s="67" t="s">
        <v>195</v>
      </c>
      <c r="J99" s="67"/>
      <c r="K99" s="67" t="s">
        <v>196</v>
      </c>
      <c r="L99" s="67"/>
      <c r="M99" s="67" t="s">
        <v>197</v>
      </c>
      <c r="N99" s="67"/>
      <c r="O99" s="67" t="s">
        <v>198</v>
      </c>
    </row>
    <row r="100" spans="6:15" s="63" customFormat="1" ht="12.75">
      <c r="F100" s="64"/>
      <c r="G100" s="66"/>
      <c r="H100" s="66"/>
      <c r="I100" s="66"/>
      <c r="J100" s="66"/>
      <c r="K100" s="66"/>
      <c r="L100" s="64"/>
      <c r="M100" s="64"/>
      <c r="N100" s="64"/>
      <c r="O100" s="64"/>
    </row>
    <row r="101" spans="1:15" s="63" customFormat="1" ht="12.75">
      <c r="A101" s="63" t="s">
        <v>188</v>
      </c>
      <c r="B101" s="63" t="s">
        <v>17</v>
      </c>
      <c r="C101" s="63" t="s">
        <v>289</v>
      </c>
      <c r="D101" s="63" t="s">
        <v>18</v>
      </c>
      <c r="E101" s="63" t="s">
        <v>19</v>
      </c>
      <c r="F101" s="64" t="s">
        <v>173</v>
      </c>
      <c r="G101" s="65">
        <v>0.000200001984</v>
      </c>
      <c r="H101" s="65" t="s">
        <v>173</v>
      </c>
      <c r="I101" s="65">
        <v>0.000200001984</v>
      </c>
      <c r="J101" s="65" t="s">
        <v>173</v>
      </c>
      <c r="K101" s="65">
        <v>0.000300002976</v>
      </c>
      <c r="L101" s="65" t="s">
        <v>173</v>
      </c>
      <c r="M101" s="65"/>
      <c r="N101" s="65" t="s">
        <v>173</v>
      </c>
      <c r="O101" s="65">
        <f>AVERAGE(G101,I101,K101)</f>
        <v>0.000233335648</v>
      </c>
    </row>
    <row r="102" spans="6:15" s="63" customFormat="1" ht="12.75">
      <c r="F102" s="64"/>
      <c r="G102" s="65"/>
      <c r="H102" s="65"/>
      <c r="I102" s="65"/>
      <c r="J102" s="65"/>
      <c r="K102" s="65"/>
      <c r="L102" s="65"/>
      <c r="M102" s="65"/>
      <c r="N102" s="65"/>
      <c r="O102" s="65"/>
    </row>
    <row r="103" spans="1:15" s="63" customFormat="1" ht="12.75">
      <c r="A103" s="63" t="s">
        <v>188</v>
      </c>
      <c r="B103" s="63" t="s">
        <v>75</v>
      </c>
      <c r="C103" s="63" t="s">
        <v>289</v>
      </c>
      <c r="D103" s="63" t="s">
        <v>20</v>
      </c>
      <c r="E103" s="63" t="s">
        <v>19</v>
      </c>
      <c r="F103" s="64" t="s">
        <v>173</v>
      </c>
      <c r="G103" s="66">
        <v>1.9695145631068</v>
      </c>
      <c r="H103" s="66" t="s">
        <v>173</v>
      </c>
      <c r="I103" s="66">
        <v>1.578431372549019</v>
      </c>
      <c r="J103" s="66" t="s">
        <v>173</v>
      </c>
      <c r="K103" s="66">
        <v>1.6584096385542169</v>
      </c>
      <c r="L103" s="64" t="s">
        <v>173</v>
      </c>
      <c r="M103" s="64"/>
      <c r="N103" s="64" t="s">
        <v>173</v>
      </c>
      <c r="O103" s="66">
        <f>AVERAGE(G103,I103,K103)</f>
        <v>1.735451858070012</v>
      </c>
    </row>
    <row r="104" spans="1:15" s="63" customFormat="1" ht="12.75">
      <c r="A104" s="63" t="s">
        <v>188</v>
      </c>
      <c r="B104" s="63" t="s">
        <v>191</v>
      </c>
      <c r="C104" s="63" t="s">
        <v>289</v>
      </c>
      <c r="D104" s="63" t="s">
        <v>20</v>
      </c>
      <c r="E104" s="63" t="s">
        <v>19</v>
      </c>
      <c r="F104" s="64" t="s">
        <v>173</v>
      </c>
      <c r="G104" s="66">
        <v>3.604660194174757</v>
      </c>
      <c r="H104" s="66" t="s">
        <v>173</v>
      </c>
      <c r="I104" s="66">
        <v>2.827450980392157</v>
      </c>
      <c r="J104" s="66" t="s">
        <v>173</v>
      </c>
      <c r="K104" s="66">
        <v>1.952578313253012</v>
      </c>
      <c r="L104" s="64" t="s">
        <v>173</v>
      </c>
      <c r="M104" s="64"/>
      <c r="N104" s="64" t="s">
        <v>173</v>
      </c>
      <c r="O104" s="66">
        <f>AVERAGE(G104,I104,K104)</f>
        <v>2.7948964959399754</v>
      </c>
    </row>
    <row r="105" spans="1:15" s="63" customFormat="1" ht="12.75">
      <c r="A105" s="63" t="s">
        <v>188</v>
      </c>
      <c r="B105" s="63" t="s">
        <v>193</v>
      </c>
      <c r="C105" s="63" t="s">
        <v>289</v>
      </c>
      <c r="D105" s="63" t="s">
        <v>20</v>
      </c>
      <c r="E105" s="63" t="s">
        <v>19</v>
      </c>
      <c r="F105" s="64" t="s">
        <v>173</v>
      </c>
      <c r="G105" s="66">
        <v>0.6796116504854368</v>
      </c>
      <c r="H105" s="66" t="s">
        <v>173</v>
      </c>
      <c r="I105" s="66">
        <v>0.5490196078431373</v>
      </c>
      <c r="J105" s="66" t="s">
        <v>173</v>
      </c>
      <c r="K105" s="66">
        <v>0.5397590361445783</v>
      </c>
      <c r="L105" s="64" t="s">
        <v>173</v>
      </c>
      <c r="M105" s="64"/>
      <c r="N105" s="64" t="s">
        <v>173</v>
      </c>
      <c r="O105" s="66">
        <f>AVERAGE(G105,I105,K105)</f>
        <v>0.5894634314910508</v>
      </c>
    </row>
    <row r="106" spans="1:15" s="63" customFormat="1" ht="12.75">
      <c r="A106" s="63" t="s">
        <v>188</v>
      </c>
      <c r="B106" s="63" t="s">
        <v>192</v>
      </c>
      <c r="C106" s="63" t="s">
        <v>289</v>
      </c>
      <c r="D106" s="63" t="s">
        <v>20</v>
      </c>
      <c r="E106" s="63" t="s">
        <v>19</v>
      </c>
      <c r="F106" s="64" t="s">
        <v>173</v>
      </c>
      <c r="G106" s="66">
        <v>2.7184466019417473</v>
      </c>
      <c r="H106" s="66" t="s">
        <v>173</v>
      </c>
      <c r="I106" s="66">
        <v>1.2352941176470589</v>
      </c>
      <c r="J106" s="66" t="s">
        <v>173</v>
      </c>
      <c r="K106" s="66">
        <v>1.4843373493976</v>
      </c>
      <c r="L106" s="64" t="s">
        <v>173</v>
      </c>
      <c r="M106" s="64"/>
      <c r="N106" s="64" t="s">
        <v>173</v>
      </c>
      <c r="O106" s="66">
        <f>AVERAGE(G106,I106,K106)</f>
        <v>1.8126926896621354</v>
      </c>
    </row>
    <row r="107" spans="6:15" s="63" customFormat="1" ht="12.75">
      <c r="F107" s="64"/>
      <c r="G107" s="66"/>
      <c r="H107" s="66"/>
      <c r="I107" s="66"/>
      <c r="J107" s="66"/>
      <c r="K107" s="66"/>
      <c r="L107" s="64"/>
      <c r="M107" s="64"/>
      <c r="N107" s="64"/>
      <c r="O107" s="64"/>
    </row>
    <row r="108" spans="1:15" s="63" customFormat="1" ht="12.75">
      <c r="A108" s="63" t="s">
        <v>188</v>
      </c>
      <c r="B108" s="63" t="s">
        <v>30</v>
      </c>
      <c r="C108" s="63" t="s">
        <v>289</v>
      </c>
      <c r="D108" s="63" t="s">
        <v>20</v>
      </c>
      <c r="E108" s="63" t="s">
        <v>19</v>
      </c>
      <c r="F108" s="64" t="s">
        <v>173</v>
      </c>
      <c r="G108" s="66">
        <v>0.259680299702173</v>
      </c>
      <c r="H108" s="66" t="s">
        <v>173</v>
      </c>
      <c r="I108" s="66">
        <v>0.6638233916220986</v>
      </c>
      <c r="J108" s="66" t="s">
        <v>173</v>
      </c>
      <c r="K108" s="66">
        <v>0.647518146450804</v>
      </c>
      <c r="L108" s="64" t="s">
        <v>173</v>
      </c>
      <c r="M108" s="64"/>
      <c r="N108" s="64" t="s">
        <v>173</v>
      </c>
      <c r="O108" s="66">
        <f>AVERAGE(G108,I108,K108)</f>
        <v>0.5236739459250251</v>
      </c>
    </row>
    <row r="109" spans="1:15" s="63" customFormat="1" ht="12.75">
      <c r="A109" s="63" t="s">
        <v>188</v>
      </c>
      <c r="B109" s="63" t="s">
        <v>31</v>
      </c>
      <c r="C109" s="63" t="s">
        <v>289</v>
      </c>
      <c r="D109" s="63" t="s">
        <v>20</v>
      </c>
      <c r="E109" s="63" t="s">
        <v>19</v>
      </c>
      <c r="F109" s="64" t="s">
        <v>173</v>
      </c>
      <c r="G109" s="66">
        <v>0.24030499948462</v>
      </c>
      <c r="H109" s="66" t="s">
        <v>173</v>
      </c>
      <c r="I109" s="66">
        <v>0.2559558810785489</v>
      </c>
      <c r="J109" s="66" t="s">
        <v>173</v>
      </c>
      <c r="K109" s="66">
        <v>0.2219279401798947</v>
      </c>
      <c r="L109" s="64" t="s">
        <v>173</v>
      </c>
      <c r="M109" s="64"/>
      <c r="N109" s="64" t="s">
        <v>173</v>
      </c>
      <c r="O109" s="66">
        <f>AVERAGE(G109,I109,K109)</f>
        <v>0.2393962735810212</v>
      </c>
    </row>
    <row r="110" spans="2:15" s="63" customFormat="1" ht="12.75">
      <c r="B110" s="63" t="s">
        <v>69</v>
      </c>
      <c r="C110" s="63" t="s">
        <v>289</v>
      </c>
      <c r="D110" s="63" t="s">
        <v>20</v>
      </c>
      <c r="E110" s="63" t="s">
        <v>19</v>
      </c>
      <c r="F110" s="64"/>
      <c r="G110" s="66">
        <f>G108+2*G109</f>
        <v>0.740290298671413</v>
      </c>
      <c r="H110" s="66"/>
      <c r="I110" s="66">
        <f>I108+2*I109</f>
        <v>1.1757351537791965</v>
      </c>
      <c r="J110" s="66"/>
      <c r="K110" s="66">
        <f>K108+2*K109</f>
        <v>1.0913740268105934</v>
      </c>
      <c r="L110" s="64"/>
      <c r="M110" s="64"/>
      <c r="N110" s="64"/>
      <c r="O110" s="66">
        <f>AVERAGE(G110,I110,K110)</f>
        <v>1.0024664930870675</v>
      </c>
    </row>
    <row r="111" spans="6:15" s="63" customFormat="1" ht="12.75">
      <c r="F111" s="64"/>
      <c r="G111" s="66"/>
      <c r="H111" s="66"/>
      <c r="I111" s="66"/>
      <c r="J111" s="66"/>
      <c r="K111" s="66"/>
      <c r="L111" s="64"/>
      <c r="M111" s="64"/>
      <c r="N111" s="64"/>
      <c r="O111" s="64"/>
    </row>
    <row r="112" spans="1:15" s="63" customFormat="1" ht="12.75">
      <c r="A112" s="63" t="s">
        <v>188</v>
      </c>
      <c r="B112" s="63" t="s">
        <v>189</v>
      </c>
      <c r="C112" s="63" t="s">
        <v>289</v>
      </c>
      <c r="D112" s="63" t="s">
        <v>38</v>
      </c>
      <c r="E112" s="63" t="s">
        <v>19</v>
      </c>
      <c r="F112" s="64" t="s">
        <v>24</v>
      </c>
      <c r="G112" s="66">
        <v>0.094653469241442</v>
      </c>
      <c r="H112" s="66" t="s">
        <v>24</v>
      </c>
      <c r="I112" s="66">
        <v>0.10081817760260622</v>
      </c>
      <c r="J112" s="66" t="s">
        <v>24</v>
      </c>
      <c r="K112" s="66">
        <v>0.09834181849221586</v>
      </c>
      <c r="L112" s="64" t="s">
        <v>173</v>
      </c>
      <c r="M112" s="64"/>
      <c r="N112" s="64" t="s">
        <v>173</v>
      </c>
      <c r="O112" s="66">
        <f>AVERAGE(G112,I112,K112)</f>
        <v>0.0979378217787547</v>
      </c>
    </row>
    <row r="113" spans="6:15" s="63" customFormat="1" ht="12.75">
      <c r="F113" s="64"/>
      <c r="G113" s="66"/>
      <c r="H113" s="66"/>
      <c r="I113" s="66"/>
      <c r="J113" s="66"/>
      <c r="K113" s="66"/>
      <c r="L113" s="64"/>
      <c r="M113" s="64"/>
      <c r="N113" s="64"/>
      <c r="O113" s="64"/>
    </row>
    <row r="114" spans="1:15" s="63" customFormat="1" ht="12.75">
      <c r="A114" s="63" t="s">
        <v>188</v>
      </c>
      <c r="B114" s="63" t="s">
        <v>180</v>
      </c>
      <c r="C114" s="63" t="s">
        <v>290</v>
      </c>
      <c r="D114" s="63" t="s">
        <v>38</v>
      </c>
      <c r="E114" s="63" t="s">
        <v>19</v>
      </c>
      <c r="F114" s="64" t="s">
        <v>24</v>
      </c>
      <c r="G114" s="66">
        <v>0.24705882352941175</v>
      </c>
      <c r="H114" s="66" t="s">
        <v>24</v>
      </c>
      <c r="I114" s="66">
        <v>0.0812</v>
      </c>
      <c r="J114" s="66" t="s">
        <v>24</v>
      </c>
      <c r="K114" s="66">
        <v>0.08714285714285713</v>
      </c>
      <c r="L114" s="64" t="s">
        <v>173</v>
      </c>
      <c r="M114" s="64"/>
      <c r="N114" s="64">
        <v>100</v>
      </c>
      <c r="O114" s="66">
        <f aca="true" t="shared" si="1" ref="O114:O126">AVERAGE(G114,I114,K114)</f>
        <v>0.13846722689075627</v>
      </c>
    </row>
    <row r="115" spans="1:15" s="63" customFormat="1" ht="12.75">
      <c r="A115" s="63" t="s">
        <v>188</v>
      </c>
      <c r="B115" s="63" t="s">
        <v>174</v>
      </c>
      <c r="C115" s="63" t="s">
        <v>290</v>
      </c>
      <c r="D115" s="63" t="s">
        <v>38</v>
      </c>
      <c r="E115" s="63" t="s">
        <v>19</v>
      </c>
      <c r="F115" s="64" t="s">
        <v>173</v>
      </c>
      <c r="G115" s="66">
        <v>2.8686274509804</v>
      </c>
      <c r="H115" s="66" t="s">
        <v>173</v>
      </c>
      <c r="I115" s="66">
        <v>2.002</v>
      </c>
      <c r="J115" s="66" t="s">
        <v>173</v>
      </c>
      <c r="K115" s="66">
        <v>5.685714285714285</v>
      </c>
      <c r="L115" s="64" t="s">
        <v>173</v>
      </c>
      <c r="M115" s="64"/>
      <c r="N115" s="64" t="s">
        <v>173</v>
      </c>
      <c r="O115" s="66">
        <f t="shared" si="1"/>
        <v>3.5187805788982285</v>
      </c>
    </row>
    <row r="116" spans="1:15" s="63" customFormat="1" ht="12.75">
      <c r="A116" s="63" t="s">
        <v>188</v>
      </c>
      <c r="B116" s="63" t="s">
        <v>181</v>
      </c>
      <c r="C116" s="63" t="s">
        <v>290</v>
      </c>
      <c r="D116" s="63" t="s">
        <v>38</v>
      </c>
      <c r="E116" s="63" t="s">
        <v>19</v>
      </c>
      <c r="F116" s="64" t="s">
        <v>173</v>
      </c>
      <c r="G116" s="66">
        <v>3.6235294117647</v>
      </c>
      <c r="H116" s="66" t="s">
        <v>173</v>
      </c>
      <c r="I116" s="66">
        <v>0.1092</v>
      </c>
      <c r="J116" s="66" t="s">
        <v>173</v>
      </c>
      <c r="K116" s="66">
        <v>0.05</v>
      </c>
      <c r="L116" s="64" t="s">
        <v>173</v>
      </c>
      <c r="M116" s="64"/>
      <c r="N116" s="64" t="s">
        <v>173</v>
      </c>
      <c r="O116" s="66">
        <f t="shared" si="1"/>
        <v>1.2609098039215667</v>
      </c>
    </row>
    <row r="117" spans="1:15" s="63" customFormat="1" ht="12.75">
      <c r="A117" s="63" t="s">
        <v>188</v>
      </c>
      <c r="B117" s="63" t="s">
        <v>182</v>
      </c>
      <c r="C117" s="63" t="s">
        <v>290</v>
      </c>
      <c r="D117" s="63" t="s">
        <v>38</v>
      </c>
      <c r="E117" s="63" t="s">
        <v>19</v>
      </c>
      <c r="F117" s="64" t="s">
        <v>24</v>
      </c>
      <c r="G117" s="66">
        <v>0.12764705882353</v>
      </c>
      <c r="H117" s="66" t="s">
        <v>24</v>
      </c>
      <c r="I117" s="66">
        <v>0.14</v>
      </c>
      <c r="J117" s="66" t="s">
        <v>173</v>
      </c>
      <c r="K117" s="66">
        <v>0.14571428571428569</v>
      </c>
      <c r="L117" s="64" t="s">
        <v>173</v>
      </c>
      <c r="M117" s="64"/>
      <c r="N117" s="64" t="s">
        <v>173</v>
      </c>
      <c r="O117" s="66">
        <f t="shared" si="1"/>
        <v>0.13778711484593856</v>
      </c>
    </row>
    <row r="118" spans="1:15" s="63" customFormat="1" ht="12.75">
      <c r="A118" s="63" t="s">
        <v>188</v>
      </c>
      <c r="B118" s="63" t="s">
        <v>175</v>
      </c>
      <c r="C118" s="63" t="s">
        <v>290</v>
      </c>
      <c r="D118" s="63" t="s">
        <v>38</v>
      </c>
      <c r="E118" s="63" t="s">
        <v>19</v>
      </c>
      <c r="F118" s="64" t="s">
        <v>173</v>
      </c>
      <c r="G118" s="66">
        <v>1.7843137254902</v>
      </c>
      <c r="H118" s="66" t="s">
        <v>173</v>
      </c>
      <c r="I118" s="66">
        <v>0.364</v>
      </c>
      <c r="J118" s="66" t="s">
        <v>173</v>
      </c>
      <c r="K118" s="66">
        <v>0.9714285714285714</v>
      </c>
      <c r="L118" s="64" t="s">
        <v>173</v>
      </c>
      <c r="M118" s="64"/>
      <c r="N118" s="64" t="s">
        <v>173</v>
      </c>
      <c r="O118" s="66">
        <f t="shared" si="1"/>
        <v>1.0399140989729239</v>
      </c>
    </row>
    <row r="119" spans="1:15" s="63" customFormat="1" ht="12.75">
      <c r="A119" s="63" t="s">
        <v>188</v>
      </c>
      <c r="B119" s="63" t="s">
        <v>176</v>
      </c>
      <c r="C119" s="63" t="s">
        <v>290</v>
      </c>
      <c r="D119" s="63" t="s">
        <v>38</v>
      </c>
      <c r="E119" s="63" t="s">
        <v>19</v>
      </c>
      <c r="F119" s="64" t="s">
        <v>173</v>
      </c>
      <c r="G119" s="66">
        <v>1.4686274509804</v>
      </c>
      <c r="H119" s="66" t="s">
        <v>173</v>
      </c>
      <c r="I119" s="66">
        <v>0.4088</v>
      </c>
      <c r="J119" s="66" t="s">
        <v>173</v>
      </c>
      <c r="K119" s="66">
        <v>1.02</v>
      </c>
      <c r="L119" s="64" t="s">
        <v>173</v>
      </c>
      <c r="M119" s="64"/>
      <c r="N119" s="64" t="s">
        <v>173</v>
      </c>
      <c r="O119" s="66">
        <f t="shared" si="1"/>
        <v>0.9658091503268</v>
      </c>
    </row>
    <row r="120" spans="1:15" s="63" customFormat="1" ht="12.75">
      <c r="A120" s="63" t="s">
        <v>188</v>
      </c>
      <c r="B120" s="63" t="s">
        <v>177</v>
      </c>
      <c r="C120" s="63" t="s">
        <v>291</v>
      </c>
      <c r="D120" s="63" t="s">
        <v>38</v>
      </c>
      <c r="E120" s="63" t="s">
        <v>19</v>
      </c>
      <c r="F120" s="64" t="s">
        <v>173</v>
      </c>
      <c r="G120" s="66">
        <v>0.988235294117647</v>
      </c>
      <c r="H120" s="66" t="s">
        <v>173</v>
      </c>
      <c r="I120" s="66">
        <v>0.5960396039603961</v>
      </c>
      <c r="J120" s="66" t="s">
        <v>173</v>
      </c>
      <c r="K120" s="66">
        <v>1.0294117647058822</v>
      </c>
      <c r="L120" s="64" t="s">
        <v>173</v>
      </c>
      <c r="M120" s="64"/>
      <c r="N120" s="64" t="s">
        <v>173</v>
      </c>
      <c r="O120" s="66">
        <f t="shared" si="1"/>
        <v>0.8712288875946418</v>
      </c>
    </row>
    <row r="121" spans="1:15" s="63" customFormat="1" ht="12.75">
      <c r="A121" s="63" t="s">
        <v>188</v>
      </c>
      <c r="B121" s="63" t="s">
        <v>183</v>
      </c>
      <c r="C121" s="63" t="s">
        <v>290</v>
      </c>
      <c r="D121" s="63" t="s">
        <v>38</v>
      </c>
      <c r="E121" s="63" t="s">
        <v>19</v>
      </c>
      <c r="F121" s="64" t="s">
        <v>173</v>
      </c>
      <c r="G121" s="66">
        <v>0.4117647058823529</v>
      </c>
      <c r="H121" s="66" t="s">
        <v>173</v>
      </c>
      <c r="I121" s="66">
        <v>0.308</v>
      </c>
      <c r="J121" s="66" t="s">
        <v>173</v>
      </c>
      <c r="K121" s="66">
        <v>0.9357142857142856</v>
      </c>
      <c r="L121" s="64" t="s">
        <v>173</v>
      </c>
      <c r="M121" s="64"/>
      <c r="N121" s="64" t="s">
        <v>173</v>
      </c>
      <c r="O121" s="66">
        <f t="shared" si="1"/>
        <v>0.5518263305322129</v>
      </c>
    </row>
    <row r="122" spans="1:15" s="63" customFormat="1" ht="12.75">
      <c r="A122" s="63" t="s">
        <v>188</v>
      </c>
      <c r="B122" s="63" t="s">
        <v>184</v>
      </c>
      <c r="C122" s="63" t="s">
        <v>290</v>
      </c>
      <c r="D122" s="63" t="s">
        <v>38</v>
      </c>
      <c r="E122" s="63" t="s">
        <v>19</v>
      </c>
      <c r="F122" s="64" t="s">
        <v>24</v>
      </c>
      <c r="G122" s="66">
        <v>3.1843137254902</v>
      </c>
      <c r="H122" s="66" t="s">
        <v>24</v>
      </c>
      <c r="I122" s="66">
        <v>2.856</v>
      </c>
      <c r="J122" s="66" t="s">
        <v>24</v>
      </c>
      <c r="K122" s="66">
        <v>2.9571428571428564</v>
      </c>
      <c r="L122" s="64" t="s">
        <v>173</v>
      </c>
      <c r="M122" s="64"/>
      <c r="N122" s="64">
        <v>100</v>
      </c>
      <c r="O122" s="66">
        <f t="shared" si="1"/>
        <v>2.999152194211019</v>
      </c>
    </row>
    <row r="123" spans="1:15" s="63" customFormat="1" ht="12.75">
      <c r="A123" s="63" t="s">
        <v>188</v>
      </c>
      <c r="B123" s="63" t="s">
        <v>178</v>
      </c>
      <c r="C123" s="63" t="s">
        <v>290</v>
      </c>
      <c r="D123" s="63" t="s">
        <v>38</v>
      </c>
      <c r="E123" s="63" t="s">
        <v>19</v>
      </c>
      <c r="F123" s="64" t="s">
        <v>173</v>
      </c>
      <c r="G123" s="66">
        <v>26.078431372549</v>
      </c>
      <c r="H123" s="66" t="s">
        <v>173</v>
      </c>
      <c r="I123" s="66">
        <v>5.082</v>
      </c>
      <c r="J123" s="66" t="s">
        <v>173</v>
      </c>
      <c r="K123" s="66">
        <v>15.428571428571427</v>
      </c>
      <c r="L123" s="64" t="s">
        <v>173</v>
      </c>
      <c r="M123" s="64"/>
      <c r="N123" s="64" t="s">
        <v>173</v>
      </c>
      <c r="O123" s="66">
        <f t="shared" si="1"/>
        <v>15.529667600373477</v>
      </c>
    </row>
    <row r="124" spans="1:15" s="63" customFormat="1" ht="12.75">
      <c r="A124" s="63" t="s">
        <v>188</v>
      </c>
      <c r="B124" s="63" t="s">
        <v>185</v>
      </c>
      <c r="C124" s="63" t="s">
        <v>290</v>
      </c>
      <c r="D124" s="63" t="s">
        <v>38</v>
      </c>
      <c r="E124" s="63" t="s">
        <v>19</v>
      </c>
      <c r="F124" s="64" t="s">
        <v>24</v>
      </c>
      <c r="G124" s="66">
        <v>0.2196078431372549</v>
      </c>
      <c r="H124" s="66" t="s">
        <v>24</v>
      </c>
      <c r="I124" s="66">
        <v>0.238</v>
      </c>
      <c r="J124" s="66" t="s">
        <v>24</v>
      </c>
      <c r="K124" s="66">
        <v>0.24285714285714285</v>
      </c>
      <c r="L124" s="64" t="s">
        <v>173</v>
      </c>
      <c r="M124" s="64"/>
      <c r="N124" s="64">
        <v>100</v>
      </c>
      <c r="O124" s="66">
        <f t="shared" si="1"/>
        <v>0.23348832866479927</v>
      </c>
    </row>
    <row r="125" spans="1:15" s="63" customFormat="1" ht="12.75">
      <c r="A125" s="63" t="s">
        <v>188</v>
      </c>
      <c r="B125" s="63" t="s">
        <v>186</v>
      </c>
      <c r="C125" s="63" t="s">
        <v>290</v>
      </c>
      <c r="D125" s="63" t="s">
        <v>38</v>
      </c>
      <c r="E125" s="63" t="s">
        <v>19</v>
      </c>
      <c r="F125" s="64" t="s">
        <v>24</v>
      </c>
      <c r="G125" s="66">
        <v>0.8894117647058823</v>
      </c>
      <c r="H125" s="66" t="s">
        <v>24</v>
      </c>
      <c r="I125" s="66">
        <v>1.001</v>
      </c>
      <c r="J125" s="66" t="s">
        <v>24</v>
      </c>
      <c r="K125" s="66">
        <v>1.017142857142857</v>
      </c>
      <c r="L125" s="64" t="s">
        <v>173</v>
      </c>
      <c r="M125" s="64"/>
      <c r="N125" s="64">
        <v>100</v>
      </c>
      <c r="O125" s="66">
        <f t="shared" si="1"/>
        <v>0.9691848739495796</v>
      </c>
    </row>
    <row r="126" spans="1:15" s="63" customFormat="1" ht="12.75">
      <c r="A126" s="63" t="s">
        <v>188</v>
      </c>
      <c r="B126" s="63" t="s">
        <v>187</v>
      </c>
      <c r="C126" s="63" t="s">
        <v>290</v>
      </c>
      <c r="D126" s="63" t="s">
        <v>38</v>
      </c>
      <c r="E126" s="63" t="s">
        <v>19</v>
      </c>
      <c r="F126" s="64" t="s">
        <v>24</v>
      </c>
      <c r="G126" s="66">
        <v>0.4117647058823529</v>
      </c>
      <c r="H126" s="66" t="s">
        <v>24</v>
      </c>
      <c r="I126" s="66">
        <v>0.462</v>
      </c>
      <c r="J126" s="66" t="s">
        <v>24</v>
      </c>
      <c r="K126" s="66">
        <v>0.4571428571428571</v>
      </c>
      <c r="L126" s="64" t="s">
        <v>173</v>
      </c>
      <c r="M126" s="64"/>
      <c r="N126" s="64">
        <v>100</v>
      </c>
      <c r="O126" s="66">
        <f t="shared" si="1"/>
        <v>0.4436358543417367</v>
      </c>
    </row>
    <row r="127" spans="6:15" s="63" customFormat="1" ht="12.75">
      <c r="F127" s="64"/>
      <c r="G127" s="66"/>
      <c r="H127" s="66"/>
      <c r="I127" s="66"/>
      <c r="J127" s="66"/>
      <c r="K127" s="66"/>
      <c r="L127" s="64"/>
      <c r="M127" s="64"/>
      <c r="N127" s="64"/>
      <c r="O127" s="66"/>
    </row>
    <row r="128" spans="2:15" s="63" customFormat="1" ht="12.75">
      <c r="B128" s="63" t="s">
        <v>39</v>
      </c>
      <c r="C128" s="63" t="s">
        <v>290</v>
      </c>
      <c r="D128" s="63" t="s">
        <v>38</v>
      </c>
      <c r="E128" s="63" t="s">
        <v>19</v>
      </c>
      <c r="F128" s="64"/>
      <c r="G128" s="66">
        <f>G118+G121</f>
        <v>2.1960784313725528</v>
      </c>
      <c r="H128" s="66"/>
      <c r="I128" s="66">
        <f>I118+I121</f>
        <v>0.6719999999999999</v>
      </c>
      <c r="J128" s="66"/>
      <c r="K128" s="66">
        <f>K118+K121</f>
        <v>1.907142857142857</v>
      </c>
      <c r="L128" s="64"/>
      <c r="M128" s="64"/>
      <c r="N128" s="64"/>
      <c r="O128" s="66">
        <f>O118+O121</f>
        <v>1.5917404295051367</v>
      </c>
    </row>
    <row r="129" spans="2:15" s="63" customFormat="1" ht="12.75">
      <c r="B129" s="63" t="s">
        <v>40</v>
      </c>
      <c r="C129" s="63" t="s">
        <v>290</v>
      </c>
      <c r="D129" s="63" t="s">
        <v>38</v>
      </c>
      <c r="E129" s="63" t="s">
        <v>19</v>
      </c>
      <c r="F129" s="64">
        <v>2.9</v>
      </c>
      <c r="G129" s="66">
        <f>G115+G117+G119</f>
        <v>4.4649019607843305</v>
      </c>
      <c r="H129" s="66">
        <v>5.5</v>
      </c>
      <c r="I129" s="66">
        <f>I115+I117+I119</f>
        <v>2.5507999999999997</v>
      </c>
      <c r="J129" s="66"/>
      <c r="K129" s="66">
        <f>K115+K117+K119</f>
        <v>6.8514285714285705</v>
      </c>
      <c r="L129" s="64"/>
      <c r="M129" s="64"/>
      <c r="N129" s="72">
        <v>1.9</v>
      </c>
      <c r="O129" s="66">
        <f>O115+O117+O119</f>
        <v>4.622376844070967</v>
      </c>
    </row>
    <row r="130" spans="7:52" s="63" customFormat="1" ht="12.75"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</row>
    <row r="131" spans="1:46" s="71" customFormat="1" ht="12.75">
      <c r="A131" s="71" t="s">
        <v>188</v>
      </c>
      <c r="B131" s="71" t="s">
        <v>141</v>
      </c>
      <c r="C131" s="71" t="s">
        <v>32</v>
      </c>
      <c r="D131" s="71" t="s">
        <v>22</v>
      </c>
      <c r="G131" s="72">
        <v>99.999977</v>
      </c>
      <c r="H131" s="72"/>
      <c r="I131" s="72">
        <v>99.999989</v>
      </c>
      <c r="J131" s="72"/>
      <c r="K131" s="72">
        <v>99.99997</v>
      </c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</row>
    <row r="132" spans="1:46" s="71" customFormat="1" ht="12.75">
      <c r="A132" s="71" t="s">
        <v>188</v>
      </c>
      <c r="B132" s="71" t="s">
        <v>206</v>
      </c>
      <c r="C132" s="71" t="s">
        <v>32</v>
      </c>
      <c r="D132" s="71" t="s">
        <v>22</v>
      </c>
      <c r="G132" s="72">
        <v>99.999989</v>
      </c>
      <c r="H132" s="72"/>
      <c r="I132" s="72">
        <v>99.999985</v>
      </c>
      <c r="J132" s="72"/>
      <c r="K132" s="72">
        <v>99.999984</v>
      </c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</row>
    <row r="133" spans="1:46" s="71" customFormat="1" ht="12.75">
      <c r="A133" s="71" t="s">
        <v>188</v>
      </c>
      <c r="B133" s="71" t="s">
        <v>209</v>
      </c>
      <c r="C133" s="71" t="s">
        <v>32</v>
      </c>
      <c r="D133" s="71" t="s">
        <v>22</v>
      </c>
      <c r="G133" s="72">
        <v>99.9999942</v>
      </c>
      <c r="H133" s="72"/>
      <c r="I133" s="72">
        <v>99.999995</v>
      </c>
      <c r="J133" s="72"/>
      <c r="K133" s="72">
        <v>99.9999936</v>
      </c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</row>
    <row r="134" spans="1:46" s="71" customFormat="1" ht="12.75">
      <c r="A134" s="71" t="s">
        <v>188</v>
      </c>
      <c r="B134" s="71" t="s">
        <v>208</v>
      </c>
      <c r="C134" s="71" t="s">
        <v>32</v>
      </c>
      <c r="D134" s="71" t="s">
        <v>22</v>
      </c>
      <c r="G134" s="72">
        <v>99.999993</v>
      </c>
      <c r="H134" s="72"/>
      <c r="I134" s="72">
        <v>99.999991</v>
      </c>
      <c r="J134" s="72"/>
      <c r="K134" s="72">
        <v>99.999994</v>
      </c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</row>
    <row r="135" spans="7:46" s="71" customFormat="1" ht="12.75"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</row>
    <row r="136" spans="2:46" s="71" customFormat="1" ht="12.75">
      <c r="B136" s="63" t="s">
        <v>70</v>
      </c>
      <c r="C136" s="63" t="s">
        <v>200</v>
      </c>
      <c r="D136" s="71" t="s">
        <v>291</v>
      </c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</row>
    <row r="137" spans="1:52" s="63" customFormat="1" ht="12.75">
      <c r="A137" s="63" t="s">
        <v>188</v>
      </c>
      <c r="B137" s="63" t="s">
        <v>45</v>
      </c>
      <c r="D137" s="4" t="s">
        <v>22</v>
      </c>
      <c r="G137" s="66">
        <v>5.9</v>
      </c>
      <c r="H137" s="66"/>
      <c r="I137" s="66">
        <v>5.4</v>
      </c>
      <c r="J137" s="66"/>
      <c r="K137" s="66">
        <v>5.5</v>
      </c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</row>
    <row r="138" spans="1:52" s="63" customFormat="1" ht="12.75">
      <c r="A138" s="63" t="s">
        <v>188</v>
      </c>
      <c r="B138" s="63" t="s">
        <v>42</v>
      </c>
      <c r="D138" s="4" t="s">
        <v>22</v>
      </c>
      <c r="G138" s="66">
        <v>10.8</v>
      </c>
      <c r="H138" s="66"/>
      <c r="I138" s="66">
        <v>10.9</v>
      </c>
      <c r="J138" s="66"/>
      <c r="K138" s="66">
        <v>10.8</v>
      </c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</row>
    <row r="139" spans="1:52" s="63" customFormat="1" ht="12.75">
      <c r="A139" s="63" t="s">
        <v>188</v>
      </c>
      <c r="B139" s="63" t="s">
        <v>201</v>
      </c>
      <c r="D139" s="4" t="s">
        <v>21</v>
      </c>
      <c r="G139" s="66">
        <v>5994</v>
      </c>
      <c r="H139" s="66"/>
      <c r="I139" s="66">
        <v>5867</v>
      </c>
      <c r="J139" s="66"/>
      <c r="K139" s="66">
        <v>5829</v>
      </c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</row>
    <row r="140" spans="1:52" s="63" customFormat="1" ht="12.75">
      <c r="A140" s="63" t="s">
        <v>188</v>
      </c>
      <c r="B140" s="63" t="s">
        <v>202</v>
      </c>
      <c r="D140" s="4" t="s">
        <v>23</v>
      </c>
      <c r="G140" s="66">
        <v>97</v>
      </c>
      <c r="H140" s="66"/>
      <c r="I140" s="66">
        <v>94</v>
      </c>
      <c r="J140" s="66"/>
      <c r="K140" s="66">
        <v>96</v>
      </c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</row>
    <row r="141" spans="7:52" s="63" customFormat="1" ht="12.75"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</row>
    <row r="142" spans="2:52" s="63" customFormat="1" ht="12.75">
      <c r="B142" s="63" t="s">
        <v>70</v>
      </c>
      <c r="C142" s="63" t="s">
        <v>203</v>
      </c>
      <c r="D142" s="63" t="s">
        <v>289</v>
      </c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</row>
    <row r="143" spans="1:52" s="63" customFormat="1" ht="12.75">
      <c r="A143" s="63" t="s">
        <v>188</v>
      </c>
      <c r="B143" s="63" t="s">
        <v>45</v>
      </c>
      <c r="D143" s="4" t="s">
        <v>22</v>
      </c>
      <c r="G143" s="66">
        <v>5.4</v>
      </c>
      <c r="H143" s="66"/>
      <c r="I143" s="66">
        <v>5.1</v>
      </c>
      <c r="J143" s="66"/>
      <c r="K143" s="66">
        <v>5.1</v>
      </c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</row>
    <row r="144" spans="1:52" s="63" customFormat="1" ht="12.75">
      <c r="A144" s="63" t="s">
        <v>188</v>
      </c>
      <c r="B144" s="63" t="s">
        <v>42</v>
      </c>
      <c r="D144" s="4" t="s">
        <v>22</v>
      </c>
      <c r="G144" s="66">
        <v>10.6</v>
      </c>
      <c r="H144" s="66"/>
      <c r="I144" s="66">
        <v>10.7</v>
      </c>
      <c r="J144" s="66"/>
      <c r="K144" s="66">
        <v>10.4</v>
      </c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</row>
    <row r="145" spans="1:52" s="63" customFormat="1" ht="12.75">
      <c r="A145" s="63" t="s">
        <v>188</v>
      </c>
      <c r="B145" s="63" t="s">
        <v>201</v>
      </c>
      <c r="D145" s="4" t="s">
        <v>21</v>
      </c>
      <c r="G145" s="66">
        <v>6054</v>
      </c>
      <c r="H145" s="66"/>
      <c r="I145" s="66">
        <v>5739</v>
      </c>
      <c r="J145" s="66"/>
      <c r="K145" s="66">
        <v>5717</v>
      </c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</row>
    <row r="146" spans="1:52" s="63" customFormat="1" ht="12.75">
      <c r="A146" s="63" t="s">
        <v>188</v>
      </c>
      <c r="B146" s="63" t="s">
        <v>202</v>
      </c>
      <c r="D146" s="4" t="s">
        <v>23</v>
      </c>
      <c r="G146" s="66">
        <v>94</v>
      </c>
      <c r="H146" s="66"/>
      <c r="I146" s="66">
        <v>92</v>
      </c>
      <c r="J146" s="66"/>
      <c r="K146" s="66">
        <v>92</v>
      </c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</row>
    <row r="147" spans="7:52" s="63" customFormat="1" ht="12.75"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</row>
    <row r="148" spans="2:52" s="63" customFormat="1" ht="12.75">
      <c r="B148" s="63" t="s">
        <v>70</v>
      </c>
      <c r="C148" s="63" t="s">
        <v>204</v>
      </c>
      <c r="D148" s="63" t="s">
        <v>290</v>
      </c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</row>
    <row r="149" spans="1:52" s="63" customFormat="1" ht="12.75">
      <c r="A149" s="63" t="s">
        <v>188</v>
      </c>
      <c r="B149" s="63" t="s">
        <v>45</v>
      </c>
      <c r="C149" s="4" t="s">
        <v>22</v>
      </c>
      <c r="G149" s="66">
        <v>5.4</v>
      </c>
      <c r="H149" s="66"/>
      <c r="I149" s="66">
        <v>4.9</v>
      </c>
      <c r="J149" s="66"/>
      <c r="K149" s="66">
        <v>5.4</v>
      </c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</row>
    <row r="150" spans="1:52" s="63" customFormat="1" ht="12.75">
      <c r="A150" s="63" t="s">
        <v>188</v>
      </c>
      <c r="B150" s="63" t="s">
        <v>42</v>
      </c>
      <c r="C150" s="4" t="s">
        <v>22</v>
      </c>
      <c r="G150" s="66">
        <v>10.8</v>
      </c>
      <c r="H150" s="66"/>
      <c r="I150" s="66">
        <v>11</v>
      </c>
      <c r="J150" s="66"/>
      <c r="K150" s="66">
        <v>11.2</v>
      </c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</row>
    <row r="151" spans="1:52" s="63" customFormat="1" ht="12.75">
      <c r="A151" s="63" t="s">
        <v>188</v>
      </c>
      <c r="B151" s="63" t="s">
        <v>201</v>
      </c>
      <c r="C151" s="4" t="s">
        <v>21</v>
      </c>
      <c r="G151" s="66">
        <v>6115</v>
      </c>
      <c r="H151" s="66"/>
      <c r="I151" s="66">
        <v>5843</v>
      </c>
      <c r="J151" s="66"/>
      <c r="K151" s="66">
        <v>5652</v>
      </c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</row>
    <row r="152" spans="1:52" s="63" customFormat="1" ht="12.75">
      <c r="A152" s="63" t="s">
        <v>188</v>
      </c>
      <c r="B152" s="63" t="s">
        <v>202</v>
      </c>
      <c r="C152" s="4" t="s">
        <v>23</v>
      </c>
      <c r="G152" s="66">
        <v>95</v>
      </c>
      <c r="H152" s="66"/>
      <c r="I152" s="66">
        <v>91</v>
      </c>
      <c r="J152" s="66"/>
      <c r="K152" s="66">
        <v>94</v>
      </c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</row>
    <row r="153" spans="7:52" s="63" customFormat="1" ht="12.75"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</row>
    <row r="154" spans="2:52" s="63" customFormat="1" ht="12.75">
      <c r="B154" s="63" t="s">
        <v>70</v>
      </c>
      <c r="C154" s="63" t="s">
        <v>205</v>
      </c>
      <c r="D154" s="63" t="s">
        <v>292</v>
      </c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</row>
    <row r="155" spans="1:52" s="63" customFormat="1" ht="12.75">
      <c r="A155" s="63" t="s">
        <v>188</v>
      </c>
      <c r="B155" s="63" t="s">
        <v>45</v>
      </c>
      <c r="C155" s="4" t="s">
        <v>22</v>
      </c>
      <c r="G155" s="66">
        <v>5.7</v>
      </c>
      <c r="H155" s="66"/>
      <c r="I155" s="66">
        <v>5.1</v>
      </c>
      <c r="J155" s="66"/>
      <c r="K155" s="66">
        <v>5.4</v>
      </c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</row>
    <row r="156" spans="1:52" s="63" customFormat="1" ht="12.75">
      <c r="A156" s="63" t="s">
        <v>188</v>
      </c>
      <c r="B156" s="63" t="s">
        <v>42</v>
      </c>
      <c r="C156" s="4" t="s">
        <v>22</v>
      </c>
      <c r="G156" s="66">
        <v>10.6</v>
      </c>
      <c r="H156" s="66"/>
      <c r="I156" s="66">
        <v>10.6</v>
      </c>
      <c r="J156" s="66"/>
      <c r="K156" s="66">
        <v>10.1</v>
      </c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</row>
    <row r="157" spans="1:52" s="63" customFormat="1" ht="12.75">
      <c r="A157" s="63" t="s">
        <v>188</v>
      </c>
      <c r="B157" s="63" t="s">
        <v>201</v>
      </c>
      <c r="C157" s="4" t="s">
        <v>21</v>
      </c>
      <c r="G157" s="66">
        <v>6017</v>
      </c>
      <c r="H157" s="66"/>
      <c r="I157" s="66">
        <v>5873</v>
      </c>
      <c r="J157" s="66"/>
      <c r="K157" s="66">
        <v>5803</v>
      </c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</row>
    <row r="158" spans="1:52" s="63" customFormat="1" ht="12.75">
      <c r="A158" s="63" t="s">
        <v>188</v>
      </c>
      <c r="B158" s="63" t="s">
        <v>202</v>
      </c>
      <c r="C158" s="4" t="s">
        <v>23</v>
      </c>
      <c r="G158" s="66">
        <v>96</v>
      </c>
      <c r="H158" s="66"/>
      <c r="I158" s="66">
        <v>92</v>
      </c>
      <c r="J158" s="66"/>
      <c r="K158" s="66">
        <v>94</v>
      </c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</row>
    <row r="159" spans="6:15" s="63" customFormat="1" ht="12.75">
      <c r="F159" s="64"/>
      <c r="G159" s="66"/>
      <c r="H159" s="66"/>
      <c r="I159" s="66"/>
      <c r="J159" s="66"/>
      <c r="K159" s="66"/>
      <c r="L159" s="64"/>
      <c r="M159" s="64"/>
      <c r="N159" s="64"/>
      <c r="O159" s="64"/>
    </row>
    <row r="160" spans="2:15" s="63" customFormat="1" ht="12.75">
      <c r="B160" s="45" t="s">
        <v>190</v>
      </c>
      <c r="C160" s="45"/>
      <c r="F160" s="64"/>
      <c r="G160" s="67" t="s">
        <v>194</v>
      </c>
      <c r="H160" s="67"/>
      <c r="I160" s="67" t="s">
        <v>195</v>
      </c>
      <c r="J160" s="67"/>
      <c r="K160" s="67" t="s">
        <v>196</v>
      </c>
      <c r="L160" s="67"/>
      <c r="M160" s="67" t="s">
        <v>197</v>
      </c>
      <c r="N160" s="67"/>
      <c r="O160" s="67" t="s">
        <v>198</v>
      </c>
    </row>
    <row r="161" spans="6:15" s="63" customFormat="1" ht="12.75">
      <c r="F161" s="64"/>
      <c r="G161" s="66"/>
      <c r="H161" s="66"/>
      <c r="I161" s="66"/>
      <c r="J161" s="66"/>
      <c r="K161" s="66"/>
      <c r="L161" s="64"/>
      <c r="M161" s="64"/>
      <c r="N161" s="64"/>
      <c r="O161" s="64"/>
    </row>
    <row r="162" spans="1:15" s="63" customFormat="1" ht="12.75">
      <c r="A162" s="63" t="s">
        <v>190</v>
      </c>
      <c r="B162" s="63" t="s">
        <v>17</v>
      </c>
      <c r="C162" s="63" t="s">
        <v>289</v>
      </c>
      <c r="D162" s="63" t="s">
        <v>18</v>
      </c>
      <c r="E162" s="63" t="s">
        <v>19</v>
      </c>
      <c r="F162" s="64" t="s">
        <v>173</v>
      </c>
      <c r="G162" s="65">
        <v>0.000300002976</v>
      </c>
      <c r="H162" s="65" t="s">
        <v>173</v>
      </c>
      <c r="I162" s="65">
        <v>0.000400003968</v>
      </c>
      <c r="J162" s="65" t="s">
        <v>173</v>
      </c>
      <c r="K162" s="65">
        <v>0.000300002976</v>
      </c>
      <c r="L162" s="65" t="s">
        <v>173</v>
      </c>
      <c r="M162" s="65"/>
      <c r="N162" s="65" t="s">
        <v>173</v>
      </c>
      <c r="O162" s="65">
        <f>AVERAGE(G162,I162,K162)</f>
        <v>0.00033333664000000004</v>
      </c>
    </row>
    <row r="163" spans="6:15" s="63" customFormat="1" ht="12.75">
      <c r="F163" s="64"/>
      <c r="G163" s="65"/>
      <c r="H163" s="65"/>
      <c r="I163" s="65"/>
      <c r="J163" s="65"/>
      <c r="K163" s="65"/>
      <c r="L163" s="65"/>
      <c r="M163" s="65"/>
      <c r="N163" s="65"/>
      <c r="O163" s="65"/>
    </row>
    <row r="164" spans="1:15" s="63" customFormat="1" ht="12.75">
      <c r="A164" s="63" t="s">
        <v>190</v>
      </c>
      <c r="B164" s="63" t="s">
        <v>75</v>
      </c>
      <c r="C164" s="63" t="s">
        <v>289</v>
      </c>
      <c r="D164" s="63" t="s">
        <v>20</v>
      </c>
      <c r="E164" s="63" t="s">
        <v>19</v>
      </c>
      <c r="F164" s="64" t="s">
        <v>173</v>
      </c>
      <c r="G164" s="66">
        <v>-0.13215339233038348</v>
      </c>
      <c r="H164" s="66" t="s">
        <v>173</v>
      </c>
      <c r="I164" s="66">
        <v>-0.13293768545994</v>
      </c>
      <c r="J164" s="66" t="s">
        <v>173</v>
      </c>
      <c r="K164" s="66">
        <v>-0.12985507246376812</v>
      </c>
      <c r="L164" s="64" t="s">
        <v>173</v>
      </c>
      <c r="M164" s="64"/>
      <c r="N164" s="64" t="s">
        <v>173</v>
      </c>
      <c r="O164" s="66">
        <f>AVERAGE(G164,I164,K164)</f>
        <v>-0.1316487167513639</v>
      </c>
    </row>
    <row r="165" spans="1:15" s="63" customFormat="1" ht="12.75">
      <c r="A165" s="63" t="s">
        <v>190</v>
      </c>
      <c r="B165" s="63" t="s">
        <v>191</v>
      </c>
      <c r="C165" s="63" t="s">
        <v>289</v>
      </c>
      <c r="D165" s="63" t="s">
        <v>20</v>
      </c>
      <c r="E165" s="63" t="s">
        <v>19</v>
      </c>
      <c r="F165" s="64" t="s">
        <v>173</v>
      </c>
      <c r="G165" s="66">
        <v>-0.11563421828908553</v>
      </c>
      <c r="H165" s="66" t="s">
        <v>173</v>
      </c>
      <c r="I165" s="66">
        <v>-0.11632047477744804</v>
      </c>
      <c r="J165" s="66" t="s">
        <v>173</v>
      </c>
      <c r="K165" s="66">
        <v>-0.11362318840579709</v>
      </c>
      <c r="L165" s="64" t="s">
        <v>173</v>
      </c>
      <c r="M165" s="64"/>
      <c r="N165" s="64" t="s">
        <v>173</v>
      </c>
      <c r="O165" s="66">
        <f>AVERAGE(G165,I165,K165)</f>
        <v>-0.11519262715744355</v>
      </c>
    </row>
    <row r="166" spans="1:15" s="63" customFormat="1" ht="12.75">
      <c r="A166" s="63" t="s">
        <v>190</v>
      </c>
      <c r="B166" s="63" t="s">
        <v>192</v>
      </c>
      <c r="C166" s="63" t="s">
        <v>289</v>
      </c>
      <c r="D166" s="63" t="s">
        <v>20</v>
      </c>
      <c r="E166" s="63" t="s">
        <v>19</v>
      </c>
      <c r="F166" s="64" t="s">
        <v>173</v>
      </c>
      <c r="G166" s="66">
        <v>1.9823008849557524</v>
      </c>
      <c r="H166" s="66" t="s">
        <v>173</v>
      </c>
      <c r="I166" s="66">
        <v>3.323442136498516</v>
      </c>
      <c r="J166" s="66" t="s">
        <v>173</v>
      </c>
      <c r="K166" s="66">
        <v>2.7594202898550724</v>
      </c>
      <c r="L166" s="64" t="s">
        <v>173</v>
      </c>
      <c r="M166" s="64"/>
      <c r="N166" s="64" t="s">
        <v>173</v>
      </c>
      <c r="O166" s="66">
        <f>AVERAGE(G166,I166,K166)</f>
        <v>2.688387770436447</v>
      </c>
    </row>
    <row r="167" spans="1:15" s="63" customFormat="1" ht="12.75">
      <c r="A167" s="63" t="s">
        <v>190</v>
      </c>
      <c r="B167" s="63" t="s">
        <v>193</v>
      </c>
      <c r="C167" s="63" t="s">
        <v>289</v>
      </c>
      <c r="D167" s="63" t="s">
        <v>20</v>
      </c>
      <c r="E167" s="63" t="s">
        <v>19</v>
      </c>
      <c r="F167" s="64" t="s">
        <v>173</v>
      </c>
      <c r="G167" s="66">
        <v>0.4955752212389381</v>
      </c>
      <c r="H167" s="66" t="s">
        <v>173</v>
      </c>
      <c r="I167" s="66">
        <v>0.997032640949555</v>
      </c>
      <c r="J167" s="66" t="s">
        <v>173</v>
      </c>
      <c r="K167" s="66">
        <v>0.48695652173913</v>
      </c>
      <c r="L167" s="64" t="s">
        <v>173</v>
      </c>
      <c r="M167" s="64"/>
      <c r="N167" s="64" t="s">
        <v>173</v>
      </c>
      <c r="O167" s="66">
        <f>AVERAGE(G167,I167,K167)</f>
        <v>0.659854794642541</v>
      </c>
    </row>
    <row r="168" spans="6:15" s="63" customFormat="1" ht="12.75">
      <c r="F168" s="64"/>
      <c r="G168" s="66"/>
      <c r="H168" s="66"/>
      <c r="I168" s="66"/>
      <c r="J168" s="66"/>
      <c r="K168" s="66"/>
      <c r="L168" s="64"/>
      <c r="M168" s="64"/>
      <c r="N168" s="64"/>
      <c r="O168" s="64"/>
    </row>
    <row r="169" spans="1:15" s="63" customFormat="1" ht="12.75">
      <c r="A169" s="63" t="s">
        <v>190</v>
      </c>
      <c r="B169" s="63" t="s">
        <v>30</v>
      </c>
      <c r="C169" s="63" t="s">
        <v>289</v>
      </c>
      <c r="D169" s="63" t="s">
        <v>20</v>
      </c>
      <c r="E169" s="63" t="s">
        <v>19</v>
      </c>
      <c r="F169" s="64" t="s">
        <v>173</v>
      </c>
      <c r="G169" s="66">
        <v>1.4550458420272216</v>
      </c>
      <c r="H169" s="66" t="s">
        <v>24</v>
      </c>
      <c r="I169" s="66">
        <v>0.3597618673285568</v>
      </c>
      <c r="J169" s="66" t="s">
        <v>24</v>
      </c>
      <c r="K169" s="66">
        <v>0.3462574999439</v>
      </c>
      <c r="L169" s="64" t="s">
        <v>173</v>
      </c>
      <c r="M169" s="64"/>
      <c r="N169" s="64" t="s">
        <v>173</v>
      </c>
      <c r="O169" s="66">
        <f>AVERAGE(G169,I169,K169)</f>
        <v>0.7203550697665594</v>
      </c>
    </row>
    <row r="170" spans="1:15" s="63" customFormat="1" ht="12.75">
      <c r="A170" s="63" t="s">
        <v>190</v>
      </c>
      <c r="B170" s="63" t="s">
        <v>31</v>
      </c>
      <c r="C170" s="63" t="s">
        <v>289</v>
      </c>
      <c r="D170" s="63" t="s">
        <v>20</v>
      </c>
      <c r="E170" s="63" t="s">
        <v>19</v>
      </c>
      <c r="F170" s="64" t="s">
        <v>173</v>
      </c>
      <c r="G170" s="66">
        <v>0.27201651976864843</v>
      </c>
      <c r="H170" s="66" t="s">
        <v>173</v>
      </c>
      <c r="I170" s="66">
        <v>0.24428038547218</v>
      </c>
      <c r="J170" s="66" t="s">
        <v>173</v>
      </c>
      <c r="K170" s="66">
        <v>0.23511084203285482</v>
      </c>
      <c r="L170" s="64" t="s">
        <v>173</v>
      </c>
      <c r="M170" s="64"/>
      <c r="N170" s="64" t="s">
        <v>173</v>
      </c>
      <c r="O170" s="66">
        <f>AVERAGE(G170,I170,K170)</f>
        <v>0.25046924909122775</v>
      </c>
    </row>
    <row r="171" spans="2:15" s="63" customFormat="1" ht="12.75">
      <c r="B171" s="63" t="s">
        <v>69</v>
      </c>
      <c r="C171" s="63" t="s">
        <v>289</v>
      </c>
      <c r="D171" s="63" t="s">
        <v>20</v>
      </c>
      <c r="E171" s="63" t="s">
        <v>19</v>
      </c>
      <c r="F171" s="64"/>
      <c r="G171" s="66">
        <f>G169+2*G170</f>
        <v>1.9990788815645186</v>
      </c>
      <c r="H171" s="66">
        <v>42.4</v>
      </c>
      <c r="I171" s="66">
        <f>I169+2*I170</f>
        <v>0.8483226382729168</v>
      </c>
      <c r="J171" s="66">
        <v>42.4</v>
      </c>
      <c r="K171" s="66">
        <f>K169+2*K170</f>
        <v>0.8164791840096096</v>
      </c>
      <c r="L171" s="64"/>
      <c r="M171" s="64"/>
      <c r="N171" s="64">
        <v>19.3</v>
      </c>
      <c r="O171" s="66">
        <f>AVERAGE(G171,I171,K171)</f>
        <v>1.221293567949015</v>
      </c>
    </row>
    <row r="172" spans="6:15" s="63" customFormat="1" ht="12.75">
      <c r="F172" s="64"/>
      <c r="G172" s="66"/>
      <c r="H172" s="66"/>
      <c r="I172" s="66"/>
      <c r="J172" s="66"/>
      <c r="K172" s="66"/>
      <c r="L172" s="64"/>
      <c r="M172" s="64"/>
      <c r="N172" s="64"/>
      <c r="O172" s="64"/>
    </row>
    <row r="173" spans="1:15" s="63" customFormat="1" ht="12.75">
      <c r="A173" s="63" t="s">
        <v>190</v>
      </c>
      <c r="B173" s="63" t="s">
        <v>189</v>
      </c>
      <c r="C173" s="63" t="s">
        <v>289</v>
      </c>
      <c r="D173" s="63" t="s">
        <v>38</v>
      </c>
      <c r="E173" s="63" t="s">
        <v>19</v>
      </c>
      <c r="F173" s="64" t="s">
        <v>24</v>
      </c>
      <c r="G173" s="66">
        <v>0.12053732032248235</v>
      </c>
      <c r="H173" s="66" t="s">
        <v>24</v>
      </c>
      <c r="I173" s="66">
        <v>0.12371056664269715</v>
      </c>
      <c r="J173" s="66" t="s">
        <v>24</v>
      </c>
      <c r="K173" s="66">
        <v>0.11906684785806718</v>
      </c>
      <c r="L173" s="64" t="s">
        <v>173</v>
      </c>
      <c r="M173" s="64"/>
      <c r="N173" s="64" t="s">
        <v>173</v>
      </c>
      <c r="O173" s="64"/>
    </row>
    <row r="174" spans="6:15" s="63" customFormat="1" ht="12.75">
      <c r="F174" s="64"/>
      <c r="G174" s="66"/>
      <c r="H174" s="66"/>
      <c r="I174" s="66"/>
      <c r="J174" s="66"/>
      <c r="K174" s="66"/>
      <c r="L174" s="64"/>
      <c r="M174" s="64"/>
      <c r="N174" s="64"/>
      <c r="O174" s="64"/>
    </row>
    <row r="175" spans="1:15" s="63" customFormat="1" ht="12.75">
      <c r="A175" s="63" t="s">
        <v>190</v>
      </c>
      <c r="B175" s="63" t="s">
        <v>180</v>
      </c>
      <c r="C175" s="63" t="s">
        <v>290</v>
      </c>
      <c r="D175" s="63" t="s">
        <v>38</v>
      </c>
      <c r="E175" s="63" t="s">
        <v>19</v>
      </c>
      <c r="F175" s="64" t="s">
        <v>24</v>
      </c>
      <c r="G175" s="66">
        <v>0.10541176470588234</v>
      </c>
      <c r="H175" s="66" t="s">
        <v>24</v>
      </c>
      <c r="I175" s="66">
        <v>0.10926829268292684</v>
      </c>
      <c r="J175" s="66" t="s">
        <v>24</v>
      </c>
      <c r="K175" s="66">
        <v>0.10255813953488373</v>
      </c>
      <c r="L175" s="64" t="s">
        <v>173</v>
      </c>
      <c r="M175" s="64"/>
      <c r="N175" s="64">
        <v>100</v>
      </c>
      <c r="O175" s="66">
        <f aca="true" t="shared" si="2" ref="O175:O187">AVERAGE(G175,I175,K175)</f>
        <v>0.10574606564123097</v>
      </c>
    </row>
    <row r="176" spans="1:15" s="63" customFormat="1" ht="12.75">
      <c r="A176" s="63" t="s">
        <v>190</v>
      </c>
      <c r="B176" s="63" t="s">
        <v>174</v>
      </c>
      <c r="C176" s="63" t="s">
        <v>290</v>
      </c>
      <c r="D176" s="63" t="s">
        <v>38</v>
      </c>
      <c r="E176" s="63" t="s">
        <v>19</v>
      </c>
      <c r="F176" s="64" t="s">
        <v>24</v>
      </c>
      <c r="G176" s="66">
        <v>0.8185882352941176</v>
      </c>
      <c r="H176" s="66" t="s">
        <v>24</v>
      </c>
      <c r="I176" s="66">
        <v>0.5634146341463415</v>
      </c>
      <c r="J176" s="66" t="s">
        <v>24</v>
      </c>
      <c r="K176" s="66">
        <v>0.39069767441860465</v>
      </c>
      <c r="L176" s="64" t="s">
        <v>173</v>
      </c>
      <c r="M176" s="64"/>
      <c r="N176" s="64">
        <v>100</v>
      </c>
      <c r="O176" s="66">
        <f t="shared" si="2"/>
        <v>0.5909001812863546</v>
      </c>
    </row>
    <row r="177" spans="1:15" s="63" customFormat="1" ht="12.75">
      <c r="A177" s="63" t="s">
        <v>190</v>
      </c>
      <c r="B177" s="63" t="s">
        <v>181</v>
      </c>
      <c r="C177" s="63" t="s">
        <v>290</v>
      </c>
      <c r="D177" s="63" t="s">
        <v>38</v>
      </c>
      <c r="E177" s="63" t="s">
        <v>19</v>
      </c>
      <c r="F177" s="64" t="s">
        <v>173</v>
      </c>
      <c r="G177" s="66">
        <v>4.331764705882352</v>
      </c>
      <c r="H177" s="66" t="s">
        <v>173</v>
      </c>
      <c r="I177" s="66">
        <v>4.934146341463415</v>
      </c>
      <c r="J177" s="66" t="s">
        <v>173</v>
      </c>
      <c r="K177" s="66">
        <v>4.7046511627907</v>
      </c>
      <c r="L177" s="64" t="s">
        <v>173</v>
      </c>
      <c r="M177" s="64"/>
      <c r="N177" s="64" t="s">
        <v>173</v>
      </c>
      <c r="O177" s="66">
        <f t="shared" si="2"/>
        <v>4.6568540700454895</v>
      </c>
    </row>
    <row r="178" spans="1:15" s="63" customFormat="1" ht="12.75">
      <c r="A178" s="63" t="s">
        <v>190</v>
      </c>
      <c r="B178" s="63" t="s">
        <v>182</v>
      </c>
      <c r="C178" s="63" t="s">
        <v>290</v>
      </c>
      <c r="D178" s="63" t="s">
        <v>38</v>
      </c>
      <c r="E178" s="63" t="s">
        <v>19</v>
      </c>
      <c r="F178" s="64" t="s">
        <v>24</v>
      </c>
      <c r="G178" s="66">
        <v>0.15317647058823528</v>
      </c>
      <c r="H178" s="66" t="s">
        <v>24</v>
      </c>
      <c r="I178" s="66">
        <v>0.1707317073170732</v>
      </c>
      <c r="J178" s="66" t="s">
        <v>24</v>
      </c>
      <c r="K178" s="66">
        <v>0.16279069767441862</v>
      </c>
      <c r="L178" s="64" t="s">
        <v>173</v>
      </c>
      <c r="M178" s="64"/>
      <c r="N178" s="64">
        <v>100</v>
      </c>
      <c r="O178" s="66">
        <f t="shared" si="2"/>
        <v>0.16223295852657568</v>
      </c>
    </row>
    <row r="179" spans="1:15" s="63" customFormat="1" ht="12.75">
      <c r="A179" s="63" t="s">
        <v>190</v>
      </c>
      <c r="B179" s="63" t="s">
        <v>175</v>
      </c>
      <c r="C179" s="63" t="s">
        <v>290</v>
      </c>
      <c r="D179" s="63" t="s">
        <v>38</v>
      </c>
      <c r="E179" s="63" t="s">
        <v>19</v>
      </c>
      <c r="F179" s="64" t="s">
        <v>173</v>
      </c>
      <c r="G179" s="66">
        <v>0.10705882352941176</v>
      </c>
      <c r="H179" s="66" t="s">
        <v>173</v>
      </c>
      <c r="I179" s="66">
        <v>0.019463414634146345</v>
      </c>
      <c r="J179" s="66" t="s">
        <v>173</v>
      </c>
      <c r="K179" s="66">
        <v>3.1093023255814</v>
      </c>
      <c r="L179" s="64" t="s">
        <v>173</v>
      </c>
      <c r="M179" s="64"/>
      <c r="N179" s="64" t="s">
        <v>173</v>
      </c>
      <c r="O179" s="66">
        <f t="shared" si="2"/>
        <v>1.078608187914986</v>
      </c>
    </row>
    <row r="180" spans="1:15" s="63" customFormat="1" ht="12.75">
      <c r="A180" s="63" t="s">
        <v>190</v>
      </c>
      <c r="B180" s="63" t="s">
        <v>176</v>
      </c>
      <c r="C180" s="63" t="s">
        <v>290</v>
      </c>
      <c r="D180" s="63" t="s">
        <v>38</v>
      </c>
      <c r="E180" s="63" t="s">
        <v>19</v>
      </c>
      <c r="F180" s="64" t="s">
        <v>173</v>
      </c>
      <c r="G180" s="66">
        <v>0.4447058823529412</v>
      </c>
      <c r="H180" s="66" t="s">
        <v>173</v>
      </c>
      <c r="I180" s="66">
        <v>0.5292682926829269</v>
      </c>
      <c r="J180" s="66" t="s">
        <v>173</v>
      </c>
      <c r="K180" s="66">
        <v>0.39069767441860465</v>
      </c>
      <c r="L180" s="64" t="s">
        <v>173</v>
      </c>
      <c r="M180" s="64"/>
      <c r="N180" s="64" t="s">
        <v>173</v>
      </c>
      <c r="O180" s="66">
        <f t="shared" si="2"/>
        <v>0.45489061648482426</v>
      </c>
    </row>
    <row r="181" spans="1:15" s="63" customFormat="1" ht="12.75">
      <c r="A181" s="63" t="s">
        <v>190</v>
      </c>
      <c r="B181" s="63" t="s">
        <v>177</v>
      </c>
      <c r="C181" s="63" t="s">
        <v>291</v>
      </c>
      <c r="D181" s="63" t="s">
        <v>38</v>
      </c>
      <c r="E181" s="63" t="s">
        <v>19</v>
      </c>
      <c r="F181" s="64" t="s">
        <v>24</v>
      </c>
      <c r="G181" s="66">
        <v>0.4048192771084337</v>
      </c>
      <c r="H181" s="66" t="s">
        <v>24</v>
      </c>
      <c r="I181" s="66">
        <v>0.4117647058823529</v>
      </c>
      <c r="J181" s="66" t="s">
        <v>24</v>
      </c>
      <c r="K181" s="66">
        <v>0.37011494252873567</v>
      </c>
      <c r="L181" s="64" t="s">
        <v>173</v>
      </c>
      <c r="M181" s="64"/>
      <c r="N181" s="64">
        <v>100</v>
      </c>
      <c r="O181" s="66">
        <f t="shared" si="2"/>
        <v>0.39556630850650737</v>
      </c>
    </row>
    <row r="182" spans="1:15" s="63" customFormat="1" ht="12.75">
      <c r="A182" s="63" t="s">
        <v>190</v>
      </c>
      <c r="B182" s="63" t="s">
        <v>183</v>
      </c>
      <c r="C182" s="63" t="s">
        <v>290</v>
      </c>
      <c r="D182" s="63" t="s">
        <v>38</v>
      </c>
      <c r="E182" s="63" t="s">
        <v>19</v>
      </c>
      <c r="F182" s="64" t="s">
        <v>173</v>
      </c>
      <c r="G182" s="66">
        <v>0.859764705882353</v>
      </c>
      <c r="H182" s="66" t="s">
        <v>173</v>
      </c>
      <c r="I182" s="66">
        <v>1.0704878048780488</v>
      </c>
      <c r="J182" s="66" t="s">
        <v>173</v>
      </c>
      <c r="K182" s="66">
        <v>0.9669767441860465</v>
      </c>
      <c r="L182" s="64" t="s">
        <v>173</v>
      </c>
      <c r="M182" s="64"/>
      <c r="N182" s="64" t="s">
        <v>173</v>
      </c>
      <c r="O182" s="66">
        <f t="shared" si="2"/>
        <v>0.9657430849821494</v>
      </c>
    </row>
    <row r="183" spans="1:15" s="63" customFormat="1" ht="12.75">
      <c r="A183" s="63" t="s">
        <v>190</v>
      </c>
      <c r="B183" s="63" t="s">
        <v>184</v>
      </c>
      <c r="C183" s="63" t="s">
        <v>290</v>
      </c>
      <c r="D183" s="63" t="s">
        <v>38</v>
      </c>
      <c r="E183" s="63" t="s">
        <v>19</v>
      </c>
      <c r="F183" s="64" t="s">
        <v>173</v>
      </c>
      <c r="G183" s="66">
        <v>27.01176470588235</v>
      </c>
      <c r="H183" s="66" t="s">
        <v>173</v>
      </c>
      <c r="I183" s="66">
        <v>22.53658536585366</v>
      </c>
      <c r="J183" s="66" t="s">
        <v>173</v>
      </c>
      <c r="K183" s="66">
        <v>25.55813953488372</v>
      </c>
      <c r="L183" s="64" t="s">
        <v>173</v>
      </c>
      <c r="M183" s="64"/>
      <c r="N183" s="64" t="s">
        <v>173</v>
      </c>
      <c r="O183" s="66">
        <f t="shared" si="2"/>
        <v>25.03549653553991</v>
      </c>
    </row>
    <row r="184" spans="1:15" s="63" customFormat="1" ht="12.75">
      <c r="A184" s="63" t="s">
        <v>190</v>
      </c>
      <c r="B184" s="63" t="s">
        <v>178</v>
      </c>
      <c r="C184" s="63" t="s">
        <v>290</v>
      </c>
      <c r="D184" s="63" t="s">
        <v>38</v>
      </c>
      <c r="E184" s="63" t="s">
        <v>19</v>
      </c>
      <c r="F184" s="64" t="s">
        <v>173</v>
      </c>
      <c r="G184" s="66">
        <v>0.6621176470588236</v>
      </c>
      <c r="H184" s="66" t="s">
        <v>173</v>
      </c>
      <c r="I184" s="66">
        <v>13.863414634146341</v>
      </c>
      <c r="J184" s="66" t="s">
        <v>173</v>
      </c>
      <c r="K184" s="66">
        <v>0.35813953488372</v>
      </c>
      <c r="L184" s="64" t="s">
        <v>173</v>
      </c>
      <c r="M184" s="64"/>
      <c r="N184" s="64" t="s">
        <v>173</v>
      </c>
      <c r="O184" s="66">
        <f t="shared" si="2"/>
        <v>4.961223938696295</v>
      </c>
    </row>
    <row r="185" spans="1:15" s="63" customFormat="1" ht="12.75">
      <c r="A185" s="63" t="s">
        <v>190</v>
      </c>
      <c r="B185" s="63" t="s">
        <v>185</v>
      </c>
      <c r="C185" s="63" t="s">
        <v>290</v>
      </c>
      <c r="D185" s="63" t="s">
        <v>38</v>
      </c>
      <c r="E185" s="63" t="s">
        <v>19</v>
      </c>
      <c r="F185" s="64" t="s">
        <v>24</v>
      </c>
      <c r="G185" s="66">
        <v>0.11364705882353</v>
      </c>
      <c r="H185" s="66" t="s">
        <v>24</v>
      </c>
      <c r="I185" s="66">
        <v>0.3073170731707317</v>
      </c>
      <c r="J185" s="66" t="s">
        <v>24</v>
      </c>
      <c r="K185" s="66">
        <v>0.27674418604651163</v>
      </c>
      <c r="L185" s="64" t="s">
        <v>173</v>
      </c>
      <c r="M185" s="64"/>
      <c r="N185" s="64">
        <v>100</v>
      </c>
      <c r="O185" s="66">
        <f t="shared" si="2"/>
        <v>0.23256943934692442</v>
      </c>
    </row>
    <row r="186" spans="1:15" s="63" customFormat="1" ht="12.75">
      <c r="A186" s="63" t="s">
        <v>190</v>
      </c>
      <c r="B186" s="63" t="s">
        <v>186</v>
      </c>
      <c r="C186" s="63" t="s">
        <v>290</v>
      </c>
      <c r="D186" s="63" t="s">
        <v>38</v>
      </c>
      <c r="E186" s="63" t="s">
        <v>19</v>
      </c>
      <c r="F186" s="64" t="s">
        <v>24</v>
      </c>
      <c r="G186" s="66">
        <v>1.072235294117647</v>
      </c>
      <c r="H186" s="66" t="s">
        <v>24</v>
      </c>
      <c r="I186" s="66">
        <v>1.2241463414634146</v>
      </c>
      <c r="J186" s="66" t="s">
        <v>24</v>
      </c>
      <c r="K186" s="66">
        <v>1.1639534883721</v>
      </c>
      <c r="L186" s="64" t="s">
        <v>173</v>
      </c>
      <c r="M186" s="64"/>
      <c r="N186" s="64">
        <v>100</v>
      </c>
      <c r="O186" s="66">
        <f t="shared" si="2"/>
        <v>1.1534450413177206</v>
      </c>
    </row>
    <row r="187" spans="1:15" s="63" customFormat="1" ht="12.75">
      <c r="A187" s="63" t="s">
        <v>190</v>
      </c>
      <c r="B187" s="63" t="s">
        <v>187</v>
      </c>
      <c r="C187" s="63" t="s">
        <v>290</v>
      </c>
      <c r="D187" s="63" t="s">
        <v>38</v>
      </c>
      <c r="E187" s="63" t="s">
        <v>19</v>
      </c>
      <c r="F187" s="64" t="s">
        <v>24</v>
      </c>
      <c r="G187" s="66">
        <v>0.11858823529411763</v>
      </c>
      <c r="H187" s="66" t="s">
        <v>24</v>
      </c>
      <c r="I187" s="66">
        <v>0.13658536585365855</v>
      </c>
      <c r="J187" s="66" t="s">
        <v>24</v>
      </c>
      <c r="K187" s="66">
        <v>0.12860465116279</v>
      </c>
      <c r="L187" s="64" t="s">
        <v>173</v>
      </c>
      <c r="M187" s="64"/>
      <c r="N187" s="64">
        <v>100</v>
      </c>
      <c r="O187" s="66">
        <f t="shared" si="2"/>
        <v>0.12792608410352205</v>
      </c>
    </row>
    <row r="189" spans="2:15" ht="12.75">
      <c r="B189" t="s">
        <v>39</v>
      </c>
      <c r="C189" s="63" t="s">
        <v>290</v>
      </c>
      <c r="D189" s="63" t="s">
        <v>38</v>
      </c>
      <c r="E189" s="63" t="s">
        <v>19</v>
      </c>
      <c r="G189" s="68">
        <f>G179+G182</f>
        <v>0.9668235294117647</v>
      </c>
      <c r="I189" s="68">
        <f>I179+I182</f>
        <v>1.0899512195121952</v>
      </c>
      <c r="K189" s="68">
        <f>K179+K182</f>
        <v>4.0762790697674465</v>
      </c>
      <c r="O189" s="66">
        <f>AVERAGE(G189,I189,K189)</f>
        <v>2.0443512728971354</v>
      </c>
    </row>
    <row r="190" spans="2:15" ht="12.75">
      <c r="B190" t="s">
        <v>40</v>
      </c>
      <c r="C190" s="63" t="s">
        <v>290</v>
      </c>
      <c r="D190" s="63" t="s">
        <v>38</v>
      </c>
      <c r="E190" s="63" t="s">
        <v>19</v>
      </c>
      <c r="F190">
        <v>68.6</v>
      </c>
      <c r="G190" s="68">
        <f>G176+G178+G180</f>
        <v>1.4164705882352941</v>
      </c>
      <c r="H190">
        <v>58.1</v>
      </c>
      <c r="I190" s="68">
        <f>I176+I178+I180</f>
        <v>1.2634146341463417</v>
      </c>
      <c r="J190">
        <v>58.6</v>
      </c>
      <c r="K190" s="68">
        <f>K176+K178+K180</f>
        <v>0.9441860465116279</v>
      </c>
      <c r="N190">
        <v>62.3</v>
      </c>
      <c r="O190" s="66">
        <f>AVERAGE(G190,I190,K190)</f>
        <v>1.2080237562977547</v>
      </c>
    </row>
    <row r="192" spans="1:46" s="71" customFormat="1" ht="12.75">
      <c r="A192" s="71" t="s">
        <v>190</v>
      </c>
      <c r="B192" s="71" t="s">
        <v>141</v>
      </c>
      <c r="C192" s="71" t="s">
        <v>32</v>
      </c>
      <c r="D192" s="71" t="s">
        <v>22</v>
      </c>
      <c r="G192" s="72">
        <v>99.9999949</v>
      </c>
      <c r="H192" s="72"/>
      <c r="I192" s="72">
        <v>99.999951</v>
      </c>
      <c r="J192" s="72"/>
      <c r="K192" s="72">
        <v>99.999987</v>
      </c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</row>
    <row r="194" spans="2:4" ht="12.75">
      <c r="B194" s="63" t="s">
        <v>70</v>
      </c>
      <c r="C194" s="63" t="s">
        <v>200</v>
      </c>
      <c r="D194" t="s">
        <v>291</v>
      </c>
    </row>
    <row r="195" spans="1:52" s="63" customFormat="1" ht="12.75">
      <c r="A195" s="63" t="s">
        <v>190</v>
      </c>
      <c r="B195" s="63" t="s">
        <v>45</v>
      </c>
      <c r="D195" s="4" t="s">
        <v>22</v>
      </c>
      <c r="G195" s="66">
        <v>4.4</v>
      </c>
      <c r="H195" s="66"/>
      <c r="I195" s="66">
        <v>4.6</v>
      </c>
      <c r="J195" s="66"/>
      <c r="K195" s="66">
        <v>3.7</v>
      </c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</row>
    <row r="196" spans="1:52" s="63" customFormat="1" ht="12.75">
      <c r="A196" s="63" t="s">
        <v>190</v>
      </c>
      <c r="B196" s="63" t="s">
        <v>42</v>
      </c>
      <c r="D196" s="4" t="s">
        <v>22</v>
      </c>
      <c r="G196" s="66">
        <v>12.7</v>
      </c>
      <c r="H196" s="66"/>
      <c r="I196" s="66">
        <v>12.5</v>
      </c>
      <c r="J196" s="66"/>
      <c r="K196" s="66">
        <v>12.3</v>
      </c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</row>
    <row r="197" spans="1:52" s="63" customFormat="1" ht="12.75">
      <c r="A197" s="63" t="s">
        <v>190</v>
      </c>
      <c r="B197" s="63" t="s">
        <v>201</v>
      </c>
      <c r="D197" s="4" t="s">
        <v>21</v>
      </c>
      <c r="G197" s="66">
        <v>5774</v>
      </c>
      <c r="H197" s="66"/>
      <c r="I197" s="66">
        <v>5870</v>
      </c>
      <c r="J197" s="66"/>
      <c r="K197" s="66">
        <v>5872</v>
      </c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</row>
    <row r="198" spans="1:52" s="63" customFormat="1" ht="12.75">
      <c r="A198" s="63" t="s">
        <v>190</v>
      </c>
      <c r="B198" s="63" t="s">
        <v>202</v>
      </c>
      <c r="D198" s="4" t="s">
        <v>23</v>
      </c>
      <c r="G198" s="66">
        <v>87</v>
      </c>
      <c r="H198" s="66"/>
      <c r="I198" s="66">
        <v>88</v>
      </c>
      <c r="J198" s="66"/>
      <c r="K198" s="66">
        <v>85</v>
      </c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</row>
    <row r="199" spans="7:52" s="63" customFormat="1" ht="12.75"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</row>
    <row r="200" spans="2:52" s="63" customFormat="1" ht="12.75">
      <c r="B200" s="63" t="s">
        <v>70</v>
      </c>
      <c r="C200" s="63" t="s">
        <v>203</v>
      </c>
      <c r="D200" s="63" t="s">
        <v>289</v>
      </c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</row>
    <row r="201" spans="1:52" s="63" customFormat="1" ht="12.75">
      <c r="A201" s="63" t="s">
        <v>190</v>
      </c>
      <c r="B201" s="63" t="s">
        <v>45</v>
      </c>
      <c r="D201" s="4" t="s">
        <v>22</v>
      </c>
      <c r="G201" s="66">
        <v>4.2</v>
      </c>
      <c r="H201" s="66"/>
      <c r="I201" s="66">
        <v>4.1</v>
      </c>
      <c r="J201" s="66"/>
      <c r="K201" s="66">
        <v>4</v>
      </c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</row>
    <row r="202" spans="1:52" s="63" customFormat="1" ht="12.75">
      <c r="A202" s="63" t="s">
        <v>190</v>
      </c>
      <c r="B202" s="63" t="s">
        <v>42</v>
      </c>
      <c r="D202" s="4" t="s">
        <v>22</v>
      </c>
      <c r="G202" s="66">
        <v>12.4</v>
      </c>
      <c r="H202" s="66"/>
      <c r="I202" s="66">
        <v>12.7</v>
      </c>
      <c r="J202" s="66"/>
      <c r="K202" s="66">
        <v>12.4</v>
      </c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</row>
    <row r="203" spans="1:52" s="63" customFormat="1" ht="12.75">
      <c r="A203" s="63" t="s">
        <v>190</v>
      </c>
      <c r="B203" s="63" t="s">
        <v>201</v>
      </c>
      <c r="D203" s="4" t="s">
        <v>21</v>
      </c>
      <c r="G203" s="66">
        <v>5749</v>
      </c>
      <c r="H203" s="66"/>
      <c r="I203" s="66">
        <v>5804</v>
      </c>
      <c r="J203" s="66"/>
      <c r="K203" s="66">
        <v>5820</v>
      </c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</row>
    <row r="204" spans="1:52" s="63" customFormat="1" ht="12.75">
      <c r="A204" s="63" t="s">
        <v>190</v>
      </c>
      <c r="B204" s="63" t="s">
        <v>202</v>
      </c>
      <c r="D204" s="4" t="s">
        <v>23</v>
      </c>
      <c r="G204" s="66">
        <v>85</v>
      </c>
      <c r="H204" s="66"/>
      <c r="I204" s="66">
        <v>85</v>
      </c>
      <c r="J204" s="66"/>
      <c r="K204" s="66">
        <v>84</v>
      </c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</row>
    <row r="205" spans="7:52" s="63" customFormat="1" ht="12.75"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</row>
    <row r="206" spans="2:52" s="63" customFormat="1" ht="12.75">
      <c r="B206" s="63" t="s">
        <v>70</v>
      </c>
      <c r="C206" s="63" t="s">
        <v>204</v>
      </c>
      <c r="D206" s="63" t="s">
        <v>290</v>
      </c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</row>
    <row r="207" spans="1:52" s="63" customFormat="1" ht="12.75">
      <c r="A207" s="63" t="s">
        <v>190</v>
      </c>
      <c r="B207" s="63" t="s">
        <v>45</v>
      </c>
      <c r="D207" s="4" t="s">
        <v>22</v>
      </c>
      <c r="G207" s="66">
        <v>4.1</v>
      </c>
      <c r="H207" s="66"/>
      <c r="I207" s="66">
        <v>4</v>
      </c>
      <c r="J207" s="66"/>
      <c r="K207" s="66">
        <v>3.9</v>
      </c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</row>
    <row r="208" spans="1:52" s="63" customFormat="1" ht="12.75">
      <c r="A208" s="63" t="s">
        <v>190</v>
      </c>
      <c r="B208" s="63" t="s">
        <v>42</v>
      </c>
      <c r="D208" s="4" t="s">
        <v>22</v>
      </c>
      <c r="G208" s="66">
        <v>12.5</v>
      </c>
      <c r="H208" s="66"/>
      <c r="I208" s="66">
        <v>12.8</v>
      </c>
      <c r="J208" s="66"/>
      <c r="K208" s="66">
        <v>12.4</v>
      </c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</row>
    <row r="209" spans="1:52" s="63" customFormat="1" ht="12.75">
      <c r="A209" s="63" t="s">
        <v>190</v>
      </c>
      <c r="B209" s="63" t="s">
        <v>201</v>
      </c>
      <c r="D209" s="4" t="s">
        <v>21</v>
      </c>
      <c r="G209" s="66">
        <v>5767</v>
      </c>
      <c r="H209" s="66"/>
      <c r="I209" s="66">
        <v>5777</v>
      </c>
      <c r="J209" s="66"/>
      <c r="K209" s="66">
        <v>5762</v>
      </c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</row>
    <row r="210" spans="1:52" s="63" customFormat="1" ht="12.75">
      <c r="A210" s="63" t="s">
        <v>190</v>
      </c>
      <c r="B210" s="63" t="s">
        <v>202</v>
      </c>
      <c r="D210" s="4" t="s">
        <v>23</v>
      </c>
      <c r="G210" s="66">
        <v>85</v>
      </c>
      <c r="H210" s="66"/>
      <c r="I210" s="66">
        <v>85</v>
      </c>
      <c r="J210" s="66"/>
      <c r="K210" s="66">
        <v>84</v>
      </c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</row>
    <row r="211" spans="7:52" s="63" customFormat="1" ht="12.75"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</row>
    <row r="212" spans="2:52" s="63" customFormat="1" ht="12.75">
      <c r="B212" s="63" t="s">
        <v>70</v>
      </c>
      <c r="C212" s="63" t="s">
        <v>205</v>
      </c>
      <c r="D212" s="63" t="s">
        <v>292</v>
      </c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</row>
    <row r="213" spans="1:52" s="63" customFormat="1" ht="12.75">
      <c r="A213" s="63" t="s">
        <v>190</v>
      </c>
      <c r="B213" s="63" t="s">
        <v>45</v>
      </c>
      <c r="D213" s="4" t="s">
        <v>22</v>
      </c>
      <c r="G213" s="66">
        <v>4.5</v>
      </c>
      <c r="H213" s="66"/>
      <c r="I213" s="66">
        <v>4.3</v>
      </c>
      <c r="J213" s="66"/>
      <c r="K213" s="66">
        <v>4.2</v>
      </c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</row>
    <row r="214" spans="1:52" s="63" customFormat="1" ht="12.75">
      <c r="A214" s="63" t="s">
        <v>190</v>
      </c>
      <c r="B214" s="63" t="s">
        <v>42</v>
      </c>
      <c r="D214" s="4" t="s">
        <v>22</v>
      </c>
      <c r="G214" s="66">
        <v>12.5</v>
      </c>
      <c r="H214" s="66"/>
      <c r="I214" s="66">
        <v>12.3</v>
      </c>
      <c r="J214" s="66"/>
      <c r="K214" s="66">
        <v>12.4</v>
      </c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</row>
    <row r="215" spans="1:52" s="63" customFormat="1" ht="12.75">
      <c r="A215" s="63" t="s">
        <v>190</v>
      </c>
      <c r="B215" s="63" t="s">
        <v>201</v>
      </c>
      <c r="D215" s="4" t="s">
        <v>21</v>
      </c>
      <c r="G215" s="66">
        <v>5784</v>
      </c>
      <c r="H215" s="66"/>
      <c r="I215" s="66">
        <v>5880</v>
      </c>
      <c r="J215" s="66"/>
      <c r="K215" s="66">
        <v>5893</v>
      </c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</row>
    <row r="216" spans="1:52" s="63" customFormat="1" ht="12.75">
      <c r="A216" s="63" t="s">
        <v>190</v>
      </c>
      <c r="B216" s="63" t="s">
        <v>202</v>
      </c>
      <c r="D216" s="4" t="s">
        <v>23</v>
      </c>
      <c r="G216" s="66">
        <v>88</v>
      </c>
      <c r="H216" s="66"/>
      <c r="I216" s="66">
        <v>87</v>
      </c>
      <c r="J216" s="66"/>
      <c r="K216" s="66">
        <v>85</v>
      </c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</row>
  </sheetData>
  <printOptions headings="1" horizontalCentered="1"/>
  <pageMargins left="0.25" right="0.25" top="0.5" bottom="0.5" header="0.25" footer="0.25"/>
  <pageSetup horizontalDpi="1200" verticalDpi="12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30"/>
  <sheetViews>
    <sheetView workbookViewId="0" topLeftCell="B1">
      <selection activeCell="B31" sqref="B31"/>
    </sheetView>
  </sheetViews>
  <sheetFormatPr defaultColWidth="9.140625" defaultRowHeight="12.75"/>
  <cols>
    <col min="1" max="1" width="2.421875" style="14" hidden="1" customWidth="1"/>
    <col min="2" max="2" width="25.00390625" style="4" customWidth="1"/>
    <col min="3" max="3" width="4.00390625" style="4" customWidth="1"/>
    <col min="4" max="4" width="8.8515625" style="4" customWidth="1"/>
    <col min="5" max="5" width="2.8515625" style="14" customWidth="1"/>
    <col min="6" max="6" width="14.421875" style="19" customWidth="1"/>
    <col min="7" max="7" width="3.140625" style="16" customWidth="1"/>
    <col min="8" max="8" width="14.421875" style="14" customWidth="1"/>
    <col min="9" max="9" width="2.8515625" style="14" customWidth="1"/>
    <col min="10" max="10" width="17.28125" style="14" customWidth="1"/>
    <col min="11" max="11" width="2.8515625" style="14" customWidth="1"/>
    <col min="12" max="12" width="16.421875" style="14" customWidth="1"/>
    <col min="13" max="13" width="2.421875" style="14" customWidth="1"/>
    <col min="14" max="14" width="16.421875" style="14" customWidth="1"/>
    <col min="15" max="15" width="2.421875" style="14" customWidth="1"/>
    <col min="16" max="16" width="16.7109375" style="14" customWidth="1"/>
    <col min="17" max="17" width="2.421875" style="14" customWidth="1"/>
    <col min="18" max="18" width="16.28125" style="14" customWidth="1"/>
    <col min="19" max="19" width="2.28125" style="14" customWidth="1"/>
    <col min="20" max="20" width="17.57421875" style="14" customWidth="1"/>
    <col min="21" max="21" width="2.57421875" style="14" customWidth="1"/>
    <col min="22" max="22" width="13.28125" style="14" customWidth="1"/>
    <col min="23" max="23" width="2.140625" style="14" customWidth="1"/>
    <col min="24" max="24" width="12.8515625" style="14" customWidth="1"/>
    <col min="25" max="25" width="1.28515625" style="14" customWidth="1"/>
    <col min="26" max="26" width="12.140625" style="14" customWidth="1"/>
    <col min="27" max="27" width="2.140625" style="14" customWidth="1"/>
    <col min="28" max="28" width="10.28125" style="14" customWidth="1"/>
    <col min="29" max="29" width="2.421875" style="14" customWidth="1"/>
    <col min="30" max="30" width="11.7109375" style="14" customWidth="1"/>
    <col min="31" max="31" width="2.421875" style="14" customWidth="1"/>
    <col min="32" max="32" width="11.8515625" style="14" customWidth="1"/>
    <col min="33" max="33" width="2.7109375" style="14" customWidth="1"/>
    <col min="34" max="34" width="12.421875" style="14" customWidth="1"/>
    <col min="35" max="35" width="2.00390625" style="14" customWidth="1"/>
    <col min="36" max="36" width="13.57421875" style="14" customWidth="1"/>
    <col min="37" max="16384" width="8.8515625" style="14" customWidth="1"/>
  </cols>
  <sheetData>
    <row r="1" spans="2:3" ht="12.75">
      <c r="B1" s="17" t="s">
        <v>306</v>
      </c>
      <c r="C1" s="17"/>
    </row>
    <row r="3" spans="21:22" ht="12.75">
      <c r="U3" s="19"/>
      <c r="V3" s="16"/>
    </row>
    <row r="4" spans="1:36" ht="12.75">
      <c r="A4" s="14" t="s">
        <v>72</v>
      </c>
      <c r="B4" s="17" t="s">
        <v>167</v>
      </c>
      <c r="C4" s="17" t="s">
        <v>71</v>
      </c>
      <c r="D4" s="16" t="s">
        <v>16</v>
      </c>
      <c r="F4" s="16" t="s">
        <v>194</v>
      </c>
      <c r="H4" s="16" t="s">
        <v>195</v>
      </c>
      <c r="I4" s="16"/>
      <c r="J4" s="16" t="s">
        <v>196</v>
      </c>
      <c r="K4" s="19"/>
      <c r="L4" s="16" t="s">
        <v>194</v>
      </c>
      <c r="M4" s="16"/>
      <c r="N4" s="16" t="s">
        <v>195</v>
      </c>
      <c r="O4" s="16"/>
      <c r="P4" s="16" t="s">
        <v>196</v>
      </c>
      <c r="Q4" s="19"/>
      <c r="R4" s="16" t="s">
        <v>194</v>
      </c>
      <c r="S4" s="16"/>
      <c r="T4" s="16" t="s">
        <v>195</v>
      </c>
      <c r="U4" s="16"/>
      <c r="V4" s="16" t="s">
        <v>196</v>
      </c>
      <c r="W4" s="17"/>
      <c r="X4" s="16" t="s">
        <v>194</v>
      </c>
      <c r="Y4" s="16"/>
      <c r="Z4" s="16" t="s">
        <v>195</v>
      </c>
      <c r="AA4" s="16"/>
      <c r="AB4" s="16" t="s">
        <v>196</v>
      </c>
      <c r="AC4" s="17"/>
      <c r="AD4" s="16" t="s">
        <v>194</v>
      </c>
      <c r="AE4" s="16"/>
      <c r="AF4" s="16" t="s">
        <v>195</v>
      </c>
      <c r="AG4" s="16"/>
      <c r="AH4" s="16" t="s">
        <v>196</v>
      </c>
      <c r="AJ4" s="16" t="s">
        <v>198</v>
      </c>
    </row>
    <row r="5" spans="2:36" ht="12.75">
      <c r="B5" s="17"/>
      <c r="C5" s="17"/>
      <c r="D5" s="16"/>
      <c r="F5" s="16"/>
      <c r="H5" s="16"/>
      <c r="I5" s="16"/>
      <c r="J5" s="16"/>
      <c r="K5" s="19"/>
      <c r="L5" s="16"/>
      <c r="M5" s="16"/>
      <c r="N5" s="16"/>
      <c r="O5" s="16"/>
      <c r="P5" s="16"/>
      <c r="Q5" s="19"/>
      <c r="R5" s="16"/>
      <c r="S5" s="16"/>
      <c r="T5" s="16"/>
      <c r="U5" s="16"/>
      <c r="V5" s="16"/>
      <c r="W5" s="17"/>
      <c r="X5" s="16"/>
      <c r="Y5" s="16"/>
      <c r="Z5" s="16"/>
      <c r="AA5" s="16"/>
      <c r="AB5" s="16"/>
      <c r="AC5" s="17"/>
      <c r="AD5" s="16"/>
      <c r="AE5" s="16"/>
      <c r="AF5" s="16"/>
      <c r="AG5" s="16"/>
      <c r="AH5" s="16"/>
      <c r="AJ5" s="16"/>
    </row>
    <row r="6" spans="1:36" s="69" customFormat="1" ht="12.75">
      <c r="A6" s="70"/>
      <c r="B6" s="4" t="s">
        <v>25</v>
      </c>
      <c r="C6" s="4"/>
      <c r="D6" s="4"/>
      <c r="F6" s="82" t="s">
        <v>148</v>
      </c>
      <c r="G6" s="16"/>
      <c r="H6" s="82" t="s">
        <v>148</v>
      </c>
      <c r="J6" s="82" t="s">
        <v>148</v>
      </c>
      <c r="L6" s="82" t="s">
        <v>147</v>
      </c>
      <c r="M6" s="16"/>
      <c r="N6" s="82" t="s">
        <v>147</v>
      </c>
      <c r="P6" s="82" t="s">
        <v>147</v>
      </c>
      <c r="R6" s="82" t="s">
        <v>146</v>
      </c>
      <c r="S6" s="82"/>
      <c r="T6" s="82" t="s">
        <v>146</v>
      </c>
      <c r="U6" s="82"/>
      <c r="V6" s="82" t="s">
        <v>146</v>
      </c>
      <c r="W6" s="82"/>
      <c r="X6" s="82" t="s">
        <v>82</v>
      </c>
      <c r="Y6" s="82"/>
      <c r="Z6" s="82" t="s">
        <v>82</v>
      </c>
      <c r="AA6" s="82"/>
      <c r="AB6" s="82" t="s">
        <v>82</v>
      </c>
      <c r="AC6" s="82"/>
      <c r="AD6" s="82" t="s">
        <v>80</v>
      </c>
      <c r="AE6" s="82"/>
      <c r="AF6" s="82" t="s">
        <v>80</v>
      </c>
      <c r="AG6" s="82"/>
      <c r="AH6" s="82" t="s">
        <v>80</v>
      </c>
      <c r="AJ6" s="16" t="s">
        <v>80</v>
      </c>
    </row>
    <row r="7" spans="2:36" ht="12.75">
      <c r="B7" s="14" t="s">
        <v>284</v>
      </c>
      <c r="C7" s="17"/>
      <c r="D7" s="14"/>
      <c r="F7" s="14"/>
      <c r="G7" s="14"/>
      <c r="AD7" s="82" t="s">
        <v>80</v>
      </c>
      <c r="AE7" s="82"/>
      <c r="AF7" s="82" t="s">
        <v>80</v>
      </c>
      <c r="AG7" s="82"/>
      <c r="AH7" s="82" t="s">
        <v>80</v>
      </c>
      <c r="AJ7" s="16" t="s">
        <v>80</v>
      </c>
    </row>
    <row r="8" spans="2:36" ht="12.75">
      <c r="B8" s="4" t="s">
        <v>77</v>
      </c>
      <c r="D8" s="4" t="s">
        <v>145</v>
      </c>
      <c r="F8" s="19">
        <v>7.85</v>
      </c>
      <c r="H8" s="14">
        <v>8.05</v>
      </c>
      <c r="J8" s="14">
        <v>7.97</v>
      </c>
      <c r="L8" s="19">
        <v>26.62</v>
      </c>
      <c r="M8" s="16"/>
      <c r="N8" s="14">
        <v>26.49</v>
      </c>
      <c r="P8" s="14">
        <v>26.56</v>
      </c>
      <c r="R8" s="19">
        <v>35.29</v>
      </c>
      <c r="S8" s="16"/>
      <c r="T8" s="14">
        <v>35.44</v>
      </c>
      <c r="V8" s="14">
        <v>35.13</v>
      </c>
      <c r="W8" s="4"/>
      <c r="X8" s="19">
        <v>4.51</v>
      </c>
      <c r="Y8" s="16"/>
      <c r="Z8" s="14">
        <v>4.66</v>
      </c>
      <c r="AB8" s="14">
        <v>4.85</v>
      </c>
      <c r="AD8" s="5">
        <f>F8+L8+R8+X8</f>
        <v>74.27</v>
      </c>
      <c r="AE8" s="16"/>
      <c r="AF8" s="5">
        <f>H8+N8+T8+Z8</f>
        <v>74.63999999999999</v>
      </c>
      <c r="AG8" s="19"/>
      <c r="AH8" s="5">
        <f>J8+P8+V8+AB8</f>
        <v>74.50999999999999</v>
      </c>
      <c r="AJ8" s="18">
        <f>AVERAGE(AD8,AF8,AH8)</f>
        <v>74.47333333333331</v>
      </c>
    </row>
    <row r="9" spans="2:34" ht="12.75">
      <c r="B9" s="4" t="s">
        <v>26</v>
      </c>
      <c r="D9" s="4" t="s">
        <v>27</v>
      </c>
      <c r="L9" s="19"/>
      <c r="M9" s="16"/>
      <c r="R9" s="19">
        <v>3800</v>
      </c>
      <c r="S9" s="16"/>
      <c r="T9" s="14">
        <v>4450</v>
      </c>
      <c r="V9" s="14">
        <v>3390</v>
      </c>
      <c r="W9" s="4"/>
      <c r="X9" s="19">
        <v>20100</v>
      </c>
      <c r="Y9" s="16"/>
      <c r="Z9" s="14">
        <v>19700</v>
      </c>
      <c r="AB9" s="14">
        <v>17100</v>
      </c>
      <c r="AD9" s="7">
        <f>(F$8*F9+L$8*L9+R$8*R9+X$8*X9)/AD8</f>
        <v>3026.1613033526323</v>
      </c>
      <c r="AE9" s="16"/>
      <c r="AF9" s="7">
        <f>(H$8*H9+N$8*N9+T$8*T9+Z$8*Z9)/AF8</f>
        <v>3342.845659163988</v>
      </c>
      <c r="AG9" s="19"/>
      <c r="AH9" s="7">
        <f>(J$8*J9+P$8*P9+V$8*V9+AB$8*AB9)/AH8</f>
        <v>2711.390417393639</v>
      </c>
    </row>
    <row r="10" spans="2:34" ht="12.75">
      <c r="B10" s="4" t="s">
        <v>78</v>
      </c>
      <c r="F10" s="19">
        <v>1.02</v>
      </c>
      <c r="H10" s="14">
        <v>1.03</v>
      </c>
      <c r="J10" s="14">
        <v>1.03</v>
      </c>
      <c r="L10" s="19">
        <v>1.01</v>
      </c>
      <c r="M10" s="16"/>
      <c r="N10" s="14">
        <v>1.02</v>
      </c>
      <c r="P10" s="14">
        <v>1.02</v>
      </c>
      <c r="R10" s="6">
        <v>1.5</v>
      </c>
      <c r="S10" s="16"/>
      <c r="T10" s="14">
        <v>1.5</v>
      </c>
      <c r="V10" s="14">
        <v>1.49</v>
      </c>
      <c r="W10" s="4"/>
      <c r="X10" s="6">
        <v>0.9</v>
      </c>
      <c r="Y10" s="16"/>
      <c r="Z10" s="14">
        <v>0.89</v>
      </c>
      <c r="AB10" s="14">
        <v>0.88</v>
      </c>
      <c r="AD10" s="6"/>
      <c r="AE10" s="16"/>
      <c r="AF10" s="6"/>
      <c r="AG10" s="19"/>
      <c r="AH10" s="6"/>
    </row>
    <row r="11" spans="12:34" ht="12.75">
      <c r="L11" s="19"/>
      <c r="M11" s="16"/>
      <c r="R11" s="6"/>
      <c r="S11" s="16"/>
      <c r="W11" s="4"/>
      <c r="X11" s="6"/>
      <c r="Y11" s="16"/>
      <c r="AD11" s="99"/>
      <c r="AE11" s="100"/>
      <c r="AF11" s="99"/>
      <c r="AG11" s="43"/>
      <c r="AH11" s="99"/>
    </row>
    <row r="12" spans="2:41" ht="12.75">
      <c r="B12" s="4" t="s">
        <v>28</v>
      </c>
      <c r="D12" s="4" t="s">
        <v>22</v>
      </c>
      <c r="E12" s="16"/>
      <c r="F12" s="6">
        <v>0.14</v>
      </c>
      <c r="H12" s="14">
        <v>0.26</v>
      </c>
      <c r="I12" s="5"/>
      <c r="J12" s="14">
        <v>0.1</v>
      </c>
      <c r="K12" s="19"/>
      <c r="L12" s="5">
        <v>0.18</v>
      </c>
      <c r="M12" s="16"/>
      <c r="N12" s="14">
        <v>0.1</v>
      </c>
      <c r="O12" s="5"/>
      <c r="P12" s="14">
        <v>0.1</v>
      </c>
      <c r="Q12" s="19"/>
      <c r="R12" s="19">
        <v>0.06</v>
      </c>
      <c r="S12" s="16"/>
      <c r="T12" s="14">
        <v>0.03</v>
      </c>
      <c r="U12" s="5"/>
      <c r="V12" s="14">
        <v>0.02</v>
      </c>
      <c r="W12" s="4"/>
      <c r="X12" s="19"/>
      <c r="Y12" s="16"/>
      <c r="AA12" s="5"/>
      <c r="AD12" s="6">
        <f>(F$8*F12+L$8*L12+R$8*R12+X$8*X12)*1/100*60</f>
        <v>4.804799999999999</v>
      </c>
      <c r="AE12" s="16"/>
      <c r="AF12" s="6">
        <f>(H$8*H12+N$8*N12+T$8*T12+Z$8*Z12)*1/100*60</f>
        <v>3.483120000000001</v>
      </c>
      <c r="AG12" s="19"/>
      <c r="AH12" s="6">
        <f>(J$8*J12+P$8*P12+V$8*V12+AB$8*AB12)*1/100*60</f>
        <v>2.4933600000000005</v>
      </c>
      <c r="AI12" s="101"/>
      <c r="AJ12" s="102"/>
      <c r="AK12" s="101"/>
      <c r="AM12" s="101"/>
      <c r="AO12" s="101"/>
    </row>
    <row r="13" spans="2:41" ht="12.75">
      <c r="B13" s="4" t="s">
        <v>29</v>
      </c>
      <c r="D13" s="4" t="s">
        <v>79</v>
      </c>
      <c r="E13" s="16"/>
      <c r="F13" s="19">
        <v>2282</v>
      </c>
      <c r="H13" s="14">
        <v>198</v>
      </c>
      <c r="I13" s="5"/>
      <c r="J13" s="14">
        <v>653</v>
      </c>
      <c r="L13" s="19">
        <v>256</v>
      </c>
      <c r="M13" s="16"/>
      <c r="N13" s="14">
        <v>287</v>
      </c>
      <c r="O13" s="5"/>
      <c r="P13" s="14">
        <v>516</v>
      </c>
      <c r="R13" s="7">
        <v>702000</v>
      </c>
      <c r="S13" s="58"/>
      <c r="T13" s="21">
        <v>695000</v>
      </c>
      <c r="U13" s="7"/>
      <c r="V13" s="21">
        <v>742000</v>
      </c>
      <c r="W13" s="4"/>
      <c r="X13" s="19"/>
      <c r="Y13" s="16"/>
      <c r="AA13" s="5"/>
      <c r="AD13" s="7">
        <f>(F$8*F13+L$8*L13+R$8*R13+X$8*X13)*1/1000000*60</f>
        <v>1487.8985052</v>
      </c>
      <c r="AE13" s="58"/>
      <c r="AF13" s="7">
        <f>(H$8*H13+N$8*N13+T$8*T13+Z$8*Z13)*1/1000000*60</f>
        <v>1478.3997918</v>
      </c>
      <c r="AG13" s="7"/>
      <c r="AH13" s="7">
        <f>(J$8*J13+P$8*P13+V$8*V13+AB$8*AB13)*1/1000000*60</f>
        <v>1565.1221622000003</v>
      </c>
      <c r="AI13" s="101"/>
      <c r="AJ13" s="101"/>
      <c r="AK13" s="103"/>
      <c r="AM13" s="103"/>
      <c r="AO13" s="103"/>
    </row>
    <row r="14" spans="5:37" ht="12.75">
      <c r="E14" s="16"/>
      <c r="I14" s="19"/>
      <c r="L14" s="19"/>
      <c r="M14" s="16"/>
      <c r="O14" s="19"/>
      <c r="R14" s="19"/>
      <c r="S14" s="19"/>
      <c r="U14" s="7"/>
      <c r="V14" s="16"/>
      <c r="AD14" s="7"/>
      <c r="AE14" s="16"/>
      <c r="AF14" s="7"/>
      <c r="AG14" s="19"/>
      <c r="AH14" s="7"/>
      <c r="AI14" s="101"/>
      <c r="AJ14" s="101"/>
      <c r="AK14" s="101"/>
    </row>
    <row r="15" spans="2:37" ht="12.75">
      <c r="B15" s="4" t="s">
        <v>139</v>
      </c>
      <c r="D15" s="4" t="s">
        <v>79</v>
      </c>
      <c r="E15" s="16"/>
      <c r="F15" s="7">
        <v>54000</v>
      </c>
      <c r="G15" s="58"/>
      <c r="H15" s="21">
        <v>59000</v>
      </c>
      <c r="I15" s="7"/>
      <c r="J15" s="21">
        <v>57000</v>
      </c>
      <c r="K15" s="21"/>
      <c r="L15" s="7">
        <v>55000</v>
      </c>
      <c r="M15" s="58"/>
      <c r="N15" s="21">
        <v>65000</v>
      </c>
      <c r="O15" s="7"/>
      <c r="P15" s="21">
        <v>98000</v>
      </c>
      <c r="R15" s="19">
        <v>6.8</v>
      </c>
      <c r="S15" s="19"/>
      <c r="T15" s="14">
        <v>5.5</v>
      </c>
      <c r="U15" s="7"/>
      <c r="V15" s="19">
        <v>6.1</v>
      </c>
      <c r="AC15" s="18"/>
      <c r="AD15" s="5">
        <f>(F$8*F15+L$8*L15+R$8*R15+X$8*X15)*1/1000000*60</f>
        <v>113.29439832</v>
      </c>
      <c r="AE15" s="56"/>
      <c r="AF15" s="5">
        <f>(H$8*H15+N$8*N15+T$8*T15+Z$8*Z15)*1/1000000*60</f>
        <v>131.81969519999998</v>
      </c>
      <c r="AG15" s="5"/>
      <c r="AH15" s="5">
        <f>(J$8*J15+P$8*P15+V$8*V15+AB$8*AB15)*1/1000000*60</f>
        <v>183.44305758000002</v>
      </c>
      <c r="AI15" s="101"/>
      <c r="AJ15" s="101"/>
      <c r="AK15" s="101"/>
    </row>
    <row r="16" spans="2:37" ht="12.75">
      <c r="B16" s="4" t="s">
        <v>140</v>
      </c>
      <c r="D16" s="4" t="s">
        <v>79</v>
      </c>
      <c r="L16" s="19"/>
      <c r="M16" s="16"/>
      <c r="R16" s="7">
        <v>77000</v>
      </c>
      <c r="S16" s="7"/>
      <c r="T16" s="21">
        <v>73000</v>
      </c>
      <c r="U16" s="7"/>
      <c r="V16" s="7">
        <v>81000</v>
      </c>
      <c r="AC16" s="18"/>
      <c r="AD16" s="6">
        <f>(F$8*F16+L$8*L16+R$8*R16+X$8*X16)*1/1000000*60</f>
        <v>163.0398</v>
      </c>
      <c r="AE16" s="58"/>
      <c r="AF16" s="6">
        <f>(H$8*H16+N$8*N16+T$8*T16+Z$8*Z16)*1/1000000*60</f>
        <v>155.2272</v>
      </c>
      <c r="AG16" s="7"/>
      <c r="AH16" s="6">
        <f>(J$8*J16+P$8*P16+V$8*V16+AB$8*AB16)*1/1000000*60</f>
        <v>170.73180000000002</v>
      </c>
      <c r="AI16" s="101"/>
      <c r="AJ16" s="101"/>
      <c r="AK16" s="101"/>
    </row>
    <row r="17" spans="2:37" ht="12.75">
      <c r="B17" s="4" t="s">
        <v>141</v>
      </c>
      <c r="D17" s="4" t="s">
        <v>79</v>
      </c>
      <c r="I17" s="19"/>
      <c r="L17" s="19"/>
      <c r="M17" s="16"/>
      <c r="O17" s="19"/>
      <c r="R17" s="7">
        <v>74000</v>
      </c>
      <c r="S17" s="7"/>
      <c r="T17" s="21">
        <v>71000</v>
      </c>
      <c r="U17" s="7"/>
      <c r="V17" s="7">
        <v>76000</v>
      </c>
      <c r="AC17" s="18"/>
      <c r="AD17" s="6">
        <f>(F$8*F17+L$8*L17+R$8*R17+X$8*X17)*1/1000000*60</f>
        <v>156.6876</v>
      </c>
      <c r="AE17" s="58"/>
      <c r="AF17" s="6">
        <f>(H$8*H17+N$8*N17+T$8*T17+Z$8*Z17)*1/1000000*60</f>
        <v>150.9744</v>
      </c>
      <c r="AG17" s="7"/>
      <c r="AH17" s="6">
        <f>(J$8*J17+P$8*P17+V$8*V17+AB$8*AB17)*1/1000000*60</f>
        <v>160.1928</v>
      </c>
      <c r="AI17" s="101"/>
      <c r="AJ17" s="101"/>
      <c r="AK17" s="101"/>
    </row>
    <row r="18" spans="2:37" ht="12.75">
      <c r="B18" s="4" t="s">
        <v>149</v>
      </c>
      <c r="D18" s="4" t="s">
        <v>79</v>
      </c>
      <c r="F18" s="6">
        <v>8.93</v>
      </c>
      <c r="G18" s="104"/>
      <c r="H18" s="87">
        <v>13.86</v>
      </c>
      <c r="I18" s="87"/>
      <c r="J18" s="87">
        <v>13.73</v>
      </c>
      <c r="K18" s="87"/>
      <c r="L18" s="6">
        <v>8.04</v>
      </c>
      <c r="M18" s="6"/>
      <c r="N18" s="6">
        <v>6.41</v>
      </c>
      <c r="O18" s="6"/>
      <c r="P18" s="6">
        <v>16.67</v>
      </c>
      <c r="Q18" s="6"/>
      <c r="R18" s="7">
        <v>350000</v>
      </c>
      <c r="S18" s="7"/>
      <c r="T18" s="21">
        <v>400000</v>
      </c>
      <c r="U18" s="7"/>
      <c r="V18" s="7">
        <v>430000</v>
      </c>
      <c r="AD18" s="6">
        <f>(F$8*F18+L$8*L18+R$8*R18+X$8*X18)*1/1000000*60</f>
        <v>741.107047518</v>
      </c>
      <c r="AE18" s="58"/>
      <c r="AF18" s="6">
        <f>(H$8*H18+N$8*N18+T$8*T18+Z$8*Z18)*1/1000000*60</f>
        <v>850.576882434</v>
      </c>
      <c r="AG18" s="7"/>
      <c r="AH18" s="6">
        <f>(J$8*J18+P$8*P18+V$8*V18+AB$8*AB18)*1/1000000*60</f>
        <v>906.3871309980001</v>
      </c>
      <c r="AI18" s="101"/>
      <c r="AJ18" s="101"/>
      <c r="AK18" s="101"/>
    </row>
    <row r="19" spans="5:44" ht="12.75">
      <c r="E19" s="16"/>
      <c r="I19" s="19"/>
      <c r="J19" s="16"/>
      <c r="K19" s="16"/>
      <c r="U19" s="19"/>
      <c r="V19" s="16"/>
      <c r="AM19" s="101"/>
      <c r="AN19" s="101"/>
      <c r="AO19" s="101"/>
      <c r="AP19" s="101"/>
      <c r="AQ19" s="101"/>
      <c r="AR19" s="105"/>
    </row>
    <row r="20" spans="2:44" ht="12.75">
      <c r="B20" s="4" t="s">
        <v>41</v>
      </c>
      <c r="D20" s="4" t="s">
        <v>21</v>
      </c>
      <c r="E20" s="16"/>
      <c r="F20" s="19">
        <f>'emiss 1'!G34</f>
        <v>6893</v>
      </c>
      <c r="H20" s="14">
        <f>'emiss 1'!I34</f>
        <v>6751</v>
      </c>
      <c r="I20" s="19"/>
      <c r="J20" s="19">
        <f>'emiss 1'!K34</f>
        <v>6455</v>
      </c>
      <c r="K20" s="16"/>
      <c r="L20" s="19">
        <f>$F20</f>
        <v>6893</v>
      </c>
      <c r="M20" s="16"/>
      <c r="N20" s="19">
        <f>$H20</f>
        <v>6751</v>
      </c>
      <c r="O20" s="19"/>
      <c r="P20" s="19">
        <f>$J20</f>
        <v>6455</v>
      </c>
      <c r="Q20" s="21"/>
      <c r="R20" s="19">
        <f>$F20</f>
        <v>6893</v>
      </c>
      <c r="S20" s="16"/>
      <c r="T20" s="19">
        <f>$H20</f>
        <v>6751</v>
      </c>
      <c r="U20" s="19"/>
      <c r="V20" s="19">
        <f>$J20</f>
        <v>6455</v>
      </c>
      <c r="X20" s="19">
        <f>$F20</f>
        <v>6893</v>
      </c>
      <c r="Y20" s="16"/>
      <c r="Z20" s="19">
        <f>$H20</f>
        <v>6751</v>
      </c>
      <c r="AA20" s="19"/>
      <c r="AB20" s="19">
        <f>$J20</f>
        <v>6455</v>
      </c>
      <c r="AD20" s="19">
        <f>$F20</f>
        <v>6893</v>
      </c>
      <c r="AE20" s="16"/>
      <c r="AF20" s="19">
        <f>$H20</f>
        <v>6751</v>
      </c>
      <c r="AG20" s="19"/>
      <c r="AH20" s="19">
        <f>$J20</f>
        <v>6455</v>
      </c>
      <c r="AJ20" s="21">
        <f>AVERAGE(AD20,AF20,AH20)</f>
        <v>6699.666666666667</v>
      </c>
      <c r="AM20" s="101"/>
      <c r="AN20" s="101"/>
      <c r="AO20" s="101"/>
      <c r="AP20" s="101"/>
      <c r="AQ20" s="101"/>
      <c r="AR20" s="105"/>
    </row>
    <row r="21" spans="2:44" ht="12.75">
      <c r="B21" s="4" t="s">
        <v>42</v>
      </c>
      <c r="D21" s="4" t="s">
        <v>22</v>
      </c>
      <c r="E21" s="16"/>
      <c r="F21" s="5">
        <f>'emiss 1'!G35</f>
        <v>13.2</v>
      </c>
      <c r="G21" s="56"/>
      <c r="H21" s="18">
        <f>'emiss 1'!I35</f>
        <v>13</v>
      </c>
      <c r="I21" s="5"/>
      <c r="J21" s="5">
        <f>'emiss 1'!K35</f>
        <v>12.3</v>
      </c>
      <c r="K21" s="16"/>
      <c r="L21" s="5">
        <f>'emiss 1'!M35</f>
        <v>12.833333333333334</v>
      </c>
      <c r="M21" s="56"/>
      <c r="N21" s="18">
        <f>'emiss 1'!O35</f>
        <v>0</v>
      </c>
      <c r="O21" s="5"/>
      <c r="P21" s="5">
        <f>'emiss 1'!Q35</f>
        <v>0</v>
      </c>
      <c r="Q21" s="18"/>
      <c r="R21" s="5">
        <f>$F21</f>
        <v>13.2</v>
      </c>
      <c r="S21" s="56"/>
      <c r="T21" s="5">
        <f>$H21</f>
        <v>13</v>
      </c>
      <c r="U21" s="5"/>
      <c r="V21" s="5">
        <f>$J21</f>
        <v>12.3</v>
      </c>
      <c r="X21" s="5">
        <f>$F21</f>
        <v>13.2</v>
      </c>
      <c r="Y21" s="56"/>
      <c r="Z21" s="5">
        <f>$H21</f>
        <v>13</v>
      </c>
      <c r="AA21" s="5"/>
      <c r="AB21" s="5">
        <f>$J21</f>
        <v>12.3</v>
      </c>
      <c r="AD21" s="5">
        <f>$F21</f>
        <v>13.2</v>
      </c>
      <c r="AE21" s="56"/>
      <c r="AF21" s="5">
        <f>$H21</f>
        <v>13</v>
      </c>
      <c r="AG21" s="5"/>
      <c r="AH21" s="5">
        <f>$J21</f>
        <v>12.3</v>
      </c>
      <c r="AJ21" s="18">
        <f>AVERAGE(AD21,AF21,AH21)</f>
        <v>12.833333333333334</v>
      </c>
      <c r="AM21" s="101"/>
      <c r="AN21" s="101"/>
      <c r="AO21" s="101"/>
      <c r="AP21" s="101"/>
      <c r="AQ21" s="101"/>
      <c r="AR21" s="105"/>
    </row>
    <row r="22" spans="5:44" ht="12.75">
      <c r="E22" s="16"/>
      <c r="I22" s="19"/>
      <c r="J22" s="16"/>
      <c r="K22" s="16"/>
      <c r="V22" s="16"/>
      <c r="AM22" s="101"/>
      <c r="AN22" s="101"/>
      <c r="AO22" s="101"/>
      <c r="AP22" s="101"/>
      <c r="AQ22" s="101"/>
      <c r="AR22" s="105"/>
    </row>
    <row r="23" spans="2:44" ht="12.75">
      <c r="B23" s="4" t="s">
        <v>323</v>
      </c>
      <c r="D23" s="4" t="s">
        <v>37</v>
      </c>
      <c r="E23" s="16"/>
      <c r="F23" s="5">
        <f>F8*F9*60/1000000</f>
        <v>0</v>
      </c>
      <c r="H23" s="5">
        <f>H8*H9*60/1000000</f>
        <v>0</v>
      </c>
      <c r="I23" s="19"/>
      <c r="J23" s="5">
        <f>J8*J9*60/1000000</f>
        <v>0</v>
      </c>
      <c r="K23" s="16"/>
      <c r="L23" s="5">
        <f>L8*L9*60/1000000</f>
        <v>0</v>
      </c>
      <c r="N23" s="5">
        <f>N8*N9*60/1000000</f>
        <v>0</v>
      </c>
      <c r="P23" s="5">
        <f>P8*P9*60/1000000</f>
        <v>0</v>
      </c>
      <c r="R23" s="5">
        <f>R8*R9*60/1000000</f>
        <v>8.04612</v>
      </c>
      <c r="S23" s="16"/>
      <c r="T23" s="5">
        <f>T8*T9*60/1000000</f>
        <v>9.46248</v>
      </c>
      <c r="U23" s="19"/>
      <c r="V23" s="5">
        <f>V8*V9*60/1000000</f>
        <v>7.145442000000001</v>
      </c>
      <c r="X23" s="5">
        <f>X8*X9*60/1000000</f>
        <v>5.43906</v>
      </c>
      <c r="Y23" s="16"/>
      <c r="Z23" s="5">
        <f>Z8*Z9*60/1000000</f>
        <v>5.50812</v>
      </c>
      <c r="AA23" s="19"/>
      <c r="AB23" s="5">
        <f>AB8*AB9*60/1000000</f>
        <v>4.9761</v>
      </c>
      <c r="AD23" s="5">
        <f>AD8*AD9*60/1000000</f>
        <v>13.48518</v>
      </c>
      <c r="AE23" s="5"/>
      <c r="AF23" s="5">
        <f>AF8*AF9*60/1000000</f>
        <v>14.9706</v>
      </c>
      <c r="AH23" s="5">
        <f>AH8*AH9*60/1000000</f>
        <v>12.121542</v>
      </c>
      <c r="AJ23" s="18">
        <f>AVERAGE(AD23,AF23,AH23)</f>
        <v>13.525773999999998</v>
      </c>
      <c r="AM23" s="101"/>
      <c r="AN23" s="101"/>
      <c r="AO23" s="101"/>
      <c r="AP23" s="101"/>
      <c r="AQ23" s="101"/>
      <c r="AR23" s="105"/>
    </row>
    <row r="24" spans="2:44" ht="12.75">
      <c r="B24" s="4" t="s">
        <v>54</v>
      </c>
      <c r="D24" s="4" t="s">
        <v>37</v>
      </c>
      <c r="E24" s="16"/>
      <c r="F24" s="18"/>
      <c r="I24" s="5"/>
      <c r="J24" s="16"/>
      <c r="K24" s="16"/>
      <c r="T24" s="5"/>
      <c r="V24" s="56"/>
      <c r="AD24" s="21">
        <f>AD20/9000*(21-AD21)/21*60</f>
        <v>17.068380952380952</v>
      </c>
      <c r="AE24" s="21"/>
      <c r="AF24" s="21">
        <f>AF20/9000*(21-AF21)/21*60</f>
        <v>17.145396825396826</v>
      </c>
      <c r="AG24" s="21"/>
      <c r="AH24" s="21">
        <f>AH20/9000*(21-AH21)/21*60</f>
        <v>17.828095238095234</v>
      </c>
      <c r="AJ24" s="18">
        <f>AVERAGE(AD24,AF24,AH24)</f>
        <v>17.347291005291</v>
      </c>
      <c r="AM24" s="101"/>
      <c r="AN24" s="101"/>
      <c r="AO24" s="101"/>
      <c r="AP24" s="101"/>
      <c r="AQ24" s="101"/>
      <c r="AR24" s="105"/>
    </row>
    <row r="25" spans="5:44" ht="12.75">
      <c r="E25" s="16"/>
      <c r="F25" s="18"/>
      <c r="I25" s="5"/>
      <c r="J25" s="16"/>
      <c r="K25" s="16"/>
      <c r="T25" s="5"/>
      <c r="V25" s="56"/>
      <c r="AM25" s="101"/>
      <c r="AN25" s="101"/>
      <c r="AO25" s="101"/>
      <c r="AP25" s="101"/>
      <c r="AQ25" s="101"/>
      <c r="AR25" s="105"/>
    </row>
    <row r="26" spans="8:44" ht="12.75">
      <c r="H26" s="19"/>
      <c r="J26" s="19"/>
      <c r="R26" s="4"/>
      <c r="T26" s="4"/>
      <c r="U26" s="19"/>
      <c r="V26" s="4"/>
      <c r="AD26" s="16"/>
      <c r="AF26" s="16"/>
      <c r="AH26" s="16"/>
      <c r="AJ26" s="16"/>
      <c r="AM26" s="101"/>
      <c r="AN26" s="101"/>
      <c r="AO26" s="101"/>
      <c r="AP26" s="101"/>
      <c r="AQ26" s="101"/>
      <c r="AR26" s="42"/>
    </row>
    <row r="27" spans="2:36" ht="12.75">
      <c r="B27" s="57" t="s">
        <v>57</v>
      </c>
      <c r="C27" s="57"/>
      <c r="F27" s="16"/>
      <c r="H27" s="16"/>
      <c r="I27" s="16"/>
      <c r="J27" s="16"/>
      <c r="K27" s="19"/>
      <c r="R27" s="16"/>
      <c r="S27" s="16"/>
      <c r="T27" s="16"/>
      <c r="U27" s="16"/>
      <c r="V27" s="16"/>
      <c r="W27" s="17"/>
      <c r="X27" s="16"/>
      <c r="Y27" s="16"/>
      <c r="Z27" s="16"/>
      <c r="AA27" s="16"/>
      <c r="AB27" s="16"/>
      <c r="AC27" s="17"/>
      <c r="AD27" s="16"/>
      <c r="AE27" s="16"/>
      <c r="AF27" s="16"/>
      <c r="AG27" s="19"/>
      <c r="AH27" s="16"/>
      <c r="AJ27" s="16"/>
    </row>
    <row r="28" spans="2:36" ht="12.75">
      <c r="B28" s="4" t="s">
        <v>28</v>
      </c>
      <c r="D28" s="4" t="s">
        <v>43</v>
      </c>
      <c r="F28" s="5">
        <f>F$8*F12/100*454*1000/(F$20*0.0283)*(21-7)/(21-F$21)</f>
        <v>45.90841133777353</v>
      </c>
      <c r="H28" s="5">
        <f>H$8*H12/100*454*1000/(H$20*0.0283)*(21-7)/(21-H$21)</f>
        <v>87.03793653394108</v>
      </c>
      <c r="I28" s="5"/>
      <c r="J28" s="5">
        <f>J$8*J12/100*454*1000/(J$20*0.0283)*(21-7)/(21-J$21)</f>
        <v>31.874272058913515</v>
      </c>
      <c r="K28" s="16"/>
      <c r="L28" s="5">
        <f>L$8*L12/100*454*1000/(L$20*0.0283)*(21-7)/(21-L$21)</f>
        <v>191.17227179165369</v>
      </c>
      <c r="M28" s="22"/>
      <c r="N28" s="5">
        <f>N$8*N12/100*454*1000/(N$20*0.0283)*(21-7)/(21-N$21)</f>
        <v>41.965461994113696</v>
      </c>
      <c r="O28" s="22"/>
      <c r="P28" s="5">
        <f>P$8*P12/100*454*1000/(P$20*0.0283)*(21-7)/(21-P$21)</f>
        <v>44.00580625677997</v>
      </c>
      <c r="Q28" s="22"/>
      <c r="R28" s="5">
        <f>R$8*R12/100*454*1000/(R$20*0.0283)*(21-7)/(21-R$21)</f>
        <v>88.44992735814529</v>
      </c>
      <c r="S28" s="16"/>
      <c r="T28" s="5">
        <f>T$8*T12/100*454*1000/(T$20*0.0283)*(21-7)/(21-T$21)</f>
        <v>44.21344200806791</v>
      </c>
      <c r="U28" s="5"/>
      <c r="V28" s="5">
        <f>V$8*V12/100*454*1000/(V$20*0.0283)*(21-7)/(21-V$21)</f>
        <v>28.09895050011624</v>
      </c>
      <c r="X28" s="5">
        <f>X$8*X12/100*454*1000/(X$20*0.0283)*(21-7)/(21-X$21)</f>
        <v>0</v>
      </c>
      <c r="Y28" s="16"/>
      <c r="Z28" s="5">
        <f>Z$8*Z12/100*454*1000/(Z$20*0.0283)*(21-7)/(21-Z$21)</f>
        <v>0</v>
      </c>
      <c r="AA28" s="5"/>
      <c r="AB28" s="5">
        <f>AB$8*AB12/100*454*1000/(AB$20*0.0283)*(21-7)/(21-AB$21)</f>
        <v>0</v>
      </c>
      <c r="AD28" s="5">
        <f>F28+L28+R28+X28</f>
        <v>325.5306104875725</v>
      </c>
      <c r="AF28" s="5">
        <f>H28+N28+T28+Z28</f>
        <v>173.2168405361227</v>
      </c>
      <c r="AH28" s="5">
        <f>J28+P28+V28+AB28</f>
        <v>103.97902881580973</v>
      </c>
      <c r="AJ28" s="18">
        <f>AVERAGE(AD28,AF28,AH28)</f>
        <v>200.90882661316832</v>
      </c>
    </row>
    <row r="29" spans="2:36" ht="12.75">
      <c r="B29" s="4" t="s">
        <v>29</v>
      </c>
      <c r="D29" s="4" t="s">
        <v>38</v>
      </c>
      <c r="F29" s="7">
        <f>F$8*F13/1000000*454*1000000/(F$20*0.0283)*(21-7)/(21-F$21)</f>
        <v>74830.71048057085</v>
      </c>
      <c r="G29" s="83"/>
      <c r="H29" s="7">
        <f>H$8*H13/1000000*454*1000000/(H$20*0.0283)*(21-7)/(21-H$21)</f>
        <v>6628.2736283539725</v>
      </c>
      <c r="I29" s="22"/>
      <c r="J29" s="7">
        <f>J$8*J13/1000000*454*1000000/(J$20*0.0283)*(21-7)/(21-J$21)</f>
        <v>20813.899654470526</v>
      </c>
      <c r="K29" s="83"/>
      <c r="L29" s="7">
        <f>L$8*L13/1000000*454*1000000/(L$20*0.0283)*(21-7)/(21-L$21)</f>
        <v>27188.945321479638</v>
      </c>
      <c r="M29" s="22"/>
      <c r="N29" s="7">
        <f>N$8*N13/1000000*454*1000000/(N$20*0.0283)*(21-7)/(21-N$21)</f>
        <v>12044.087592310627</v>
      </c>
      <c r="O29" s="22"/>
      <c r="P29" s="7">
        <f>P$8*P13/1000000*454*1000000/(P$20*0.0283)*(21-7)/(21-P$21)</f>
        <v>22706.996028498463</v>
      </c>
      <c r="Q29" s="22"/>
      <c r="R29" s="7">
        <f>R$8*R13/1000000*454*1000000/(R$20*0.0283)*(21-7)/(21-R$21)</f>
        <v>103486415.00902998</v>
      </c>
      <c r="S29" s="83"/>
      <c r="T29" s="7">
        <f>T$8*T13/1000000*454*1000000/(T$20*0.0283)*(21-7)/(21-T$21)</f>
        <v>102427807.31869066</v>
      </c>
      <c r="U29" s="22"/>
      <c r="V29" s="7">
        <f>V$8*V13/1000000*454*1000000/(V$20*0.0283)*(21-7)/(21-V$21)</f>
        <v>104247106.35543124</v>
      </c>
      <c r="W29" s="60"/>
      <c r="X29" s="7">
        <f>X$8*X13/1000000*454*1000000/(X$20*0.0283)*(21-7)/(21-X$21)</f>
        <v>0</v>
      </c>
      <c r="Y29" s="83"/>
      <c r="Z29" s="7">
        <f>Z$8*Z13/1000000*454*1000000/(Z$20*0.0283)*(21-7)/(21-Z$21)</f>
        <v>0</v>
      </c>
      <c r="AA29" s="22"/>
      <c r="AB29" s="7">
        <f>AB$8*AB13/1000000*454*1000000/(AB$20*0.0283)*(21-7)/(21-AB$21)</f>
        <v>0</v>
      </c>
      <c r="AC29" s="60"/>
      <c r="AD29" s="7">
        <f>F29+L29+R29+X29</f>
        <v>103588434.66483204</v>
      </c>
      <c r="AE29" s="21"/>
      <c r="AF29" s="7">
        <f>H29+N29+T29+Z29</f>
        <v>102446479.67991132</v>
      </c>
      <c r="AG29" s="21"/>
      <c r="AH29" s="7">
        <f>J29+P29+V29+AB29</f>
        <v>104290627.25111422</v>
      </c>
      <c r="AI29" s="21"/>
      <c r="AJ29" s="21">
        <f>AVERAGE(AD29,AF29,AH29)</f>
        <v>103441847.1986192</v>
      </c>
    </row>
    <row r="30" spans="5:22" ht="12.75">
      <c r="E30" s="16"/>
      <c r="F30" s="7"/>
      <c r="I30" s="7"/>
      <c r="J30" s="7"/>
      <c r="K30" s="7"/>
      <c r="L30" s="7"/>
      <c r="M30" s="7"/>
      <c r="N30" s="7"/>
      <c r="O30" s="7"/>
      <c r="P30" s="7"/>
      <c r="Q30" s="7"/>
      <c r="V30" s="58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110"/>
  <sheetViews>
    <sheetView workbookViewId="0" topLeftCell="B1">
      <selection activeCell="B31" sqref="B31"/>
    </sheetView>
  </sheetViews>
  <sheetFormatPr defaultColWidth="9.140625" defaultRowHeight="12.75"/>
  <cols>
    <col min="1" max="1" width="4.00390625" style="63" hidden="1" customWidth="1"/>
    <col min="2" max="2" width="17.140625" style="63" customWidth="1"/>
    <col min="3" max="3" width="4.421875" style="63" customWidth="1"/>
    <col min="4" max="4" width="8.421875" style="63" customWidth="1"/>
    <col min="5" max="5" width="3.28125" style="63" customWidth="1"/>
    <col min="6" max="6" width="12.00390625" style="63" bestFit="1" customWidth="1"/>
    <col min="7" max="7" width="2.7109375" style="63" customWidth="1"/>
    <col min="8" max="8" width="12.00390625" style="63" bestFit="1" customWidth="1"/>
    <col min="9" max="9" width="3.00390625" style="63" customWidth="1"/>
    <col min="10" max="10" width="12.00390625" style="63" bestFit="1" customWidth="1"/>
    <col min="11" max="11" width="2.8515625" style="63" customWidth="1"/>
    <col min="12" max="12" width="12.00390625" style="63" bestFit="1" customWidth="1"/>
    <col min="13" max="13" width="2.8515625" style="63" customWidth="1"/>
    <col min="14" max="14" width="12.00390625" style="63" customWidth="1"/>
    <col min="15" max="15" width="3.00390625" style="63" customWidth="1"/>
    <col min="16" max="16" width="12.00390625" style="63" bestFit="1" customWidth="1"/>
    <col min="17" max="17" width="2.8515625" style="63" customWidth="1"/>
    <col min="18" max="18" width="12.00390625" style="63" bestFit="1" customWidth="1"/>
    <col min="19" max="19" width="3.140625" style="63" customWidth="1"/>
    <col min="20" max="20" width="12.00390625" style="63" bestFit="1" customWidth="1"/>
    <col min="21" max="21" width="2.57421875" style="63" customWidth="1"/>
    <col min="22" max="22" width="12.00390625" style="63" bestFit="1" customWidth="1"/>
    <col min="23" max="23" width="3.421875" style="63" customWidth="1"/>
    <col min="24" max="24" width="12.00390625" style="63" customWidth="1"/>
    <col min="25" max="25" width="2.421875" style="63" customWidth="1"/>
    <col min="26" max="26" width="8.00390625" style="63" bestFit="1" customWidth="1"/>
    <col min="27" max="27" width="2.28125" style="63" customWidth="1"/>
    <col min="28" max="28" width="8.00390625" style="63" bestFit="1" customWidth="1"/>
    <col min="29" max="29" width="2.57421875" style="63" customWidth="1"/>
    <col min="30" max="30" width="8.00390625" style="63" bestFit="1" customWidth="1"/>
    <col min="31" max="31" width="2.8515625" style="63" customWidth="1"/>
    <col min="32" max="32" width="10.140625" style="63" customWidth="1"/>
    <col min="33" max="33" width="2.28125" style="63" customWidth="1"/>
    <col min="34" max="34" width="9.140625" style="63" customWidth="1"/>
    <col min="35" max="35" width="2.7109375" style="63" customWidth="1"/>
    <col min="36" max="36" width="11.7109375" style="63" customWidth="1"/>
    <col min="37" max="37" width="2.00390625" style="63" customWidth="1"/>
    <col min="38" max="38" width="11.8515625" style="63" customWidth="1"/>
    <col min="39" max="39" width="3.00390625" style="63" customWidth="1"/>
    <col min="40" max="40" width="12.57421875" style="63" customWidth="1"/>
    <col min="41" max="41" width="2.8515625" style="63" customWidth="1"/>
    <col min="42" max="42" width="11.8515625" style="63" customWidth="1"/>
    <col min="43" max="43" width="2.28125" style="63" customWidth="1"/>
    <col min="44" max="44" width="12.00390625" style="63" customWidth="1"/>
    <col min="45" max="16384" width="9.140625" style="63" customWidth="1"/>
  </cols>
  <sheetData>
    <row r="1" ht="12.75">
      <c r="B1" s="45" t="s">
        <v>307</v>
      </c>
    </row>
    <row r="4" spans="1:44" s="80" customFormat="1" ht="12.75">
      <c r="A4" s="79"/>
      <c r="B4" s="17" t="s">
        <v>172</v>
      </c>
      <c r="C4" s="17"/>
      <c r="D4" s="17"/>
      <c r="E4" s="79"/>
      <c r="F4" s="79" t="s">
        <v>194</v>
      </c>
      <c r="G4" s="79"/>
      <c r="H4" s="79" t="s">
        <v>195</v>
      </c>
      <c r="I4" s="79"/>
      <c r="J4" s="80" t="s">
        <v>196</v>
      </c>
      <c r="L4" s="80" t="s">
        <v>197</v>
      </c>
      <c r="N4" s="80" t="s">
        <v>198</v>
      </c>
      <c r="P4" s="80" t="s">
        <v>194</v>
      </c>
      <c r="R4" s="80" t="s">
        <v>195</v>
      </c>
      <c r="T4" s="80" t="s">
        <v>196</v>
      </c>
      <c r="V4" s="80" t="s">
        <v>197</v>
      </c>
      <c r="X4" s="80" t="s">
        <v>198</v>
      </c>
      <c r="Z4" s="80" t="s">
        <v>194</v>
      </c>
      <c r="AB4" s="80" t="s">
        <v>195</v>
      </c>
      <c r="AD4" s="80" t="s">
        <v>196</v>
      </c>
      <c r="AF4" s="80" t="s">
        <v>197</v>
      </c>
      <c r="AH4" s="80" t="s">
        <v>198</v>
      </c>
      <c r="AJ4" s="80" t="s">
        <v>194</v>
      </c>
      <c r="AL4" s="80" t="s">
        <v>195</v>
      </c>
      <c r="AN4" s="80" t="s">
        <v>196</v>
      </c>
      <c r="AP4" s="80" t="s">
        <v>197</v>
      </c>
      <c r="AR4" s="80" t="s">
        <v>198</v>
      </c>
    </row>
    <row r="5" spans="1:9" ht="12.75">
      <c r="A5" s="71"/>
      <c r="B5" s="71"/>
      <c r="C5" s="71"/>
      <c r="D5" s="71"/>
      <c r="E5" s="71"/>
      <c r="F5" s="71"/>
      <c r="G5" s="71"/>
      <c r="H5" s="71"/>
      <c r="I5" s="71"/>
    </row>
    <row r="6" spans="1:44" ht="12.75">
      <c r="A6" s="71"/>
      <c r="B6" s="71" t="s">
        <v>283</v>
      </c>
      <c r="C6" s="71"/>
      <c r="D6" s="71"/>
      <c r="E6" s="71"/>
      <c r="F6" s="71" t="s">
        <v>280</v>
      </c>
      <c r="G6" s="71"/>
      <c r="H6" s="71" t="s">
        <v>280</v>
      </c>
      <c r="I6" s="71"/>
      <c r="J6" s="71" t="s">
        <v>280</v>
      </c>
      <c r="L6" s="71" t="s">
        <v>280</v>
      </c>
      <c r="N6" s="71" t="s">
        <v>280</v>
      </c>
      <c r="P6" s="63" t="s">
        <v>281</v>
      </c>
      <c r="R6" s="63" t="s">
        <v>281</v>
      </c>
      <c r="T6" s="63" t="s">
        <v>281</v>
      </c>
      <c r="V6" s="63" t="s">
        <v>281</v>
      </c>
      <c r="X6" s="63" t="s">
        <v>281</v>
      </c>
      <c r="Z6" s="63" t="s">
        <v>282</v>
      </c>
      <c r="AB6" s="63" t="s">
        <v>282</v>
      </c>
      <c r="AD6" s="63" t="s">
        <v>282</v>
      </c>
      <c r="AF6" s="63" t="s">
        <v>282</v>
      </c>
      <c r="AH6" s="63" t="s">
        <v>282</v>
      </c>
      <c r="AJ6" s="63" t="s">
        <v>80</v>
      </c>
      <c r="AL6" s="63" t="s">
        <v>80</v>
      </c>
      <c r="AN6" s="63" t="s">
        <v>80</v>
      </c>
      <c r="AP6" s="63" t="s">
        <v>80</v>
      </c>
      <c r="AR6" s="63" t="s">
        <v>80</v>
      </c>
    </row>
    <row r="7" spans="1:44" ht="12.75">
      <c r="A7" s="71"/>
      <c r="B7" s="71" t="s">
        <v>284</v>
      </c>
      <c r="C7" s="71"/>
      <c r="D7" s="71"/>
      <c r="E7" s="71"/>
      <c r="F7" s="71" t="s">
        <v>286</v>
      </c>
      <c r="G7" s="71"/>
      <c r="H7" s="71" t="s">
        <v>286</v>
      </c>
      <c r="I7" s="71"/>
      <c r="J7" s="71" t="s">
        <v>286</v>
      </c>
      <c r="L7" s="71" t="s">
        <v>286</v>
      </c>
      <c r="N7" s="71" t="s">
        <v>286</v>
      </c>
      <c r="P7" s="63" t="s">
        <v>287</v>
      </c>
      <c r="R7" s="63" t="s">
        <v>287</v>
      </c>
      <c r="T7" s="63" t="s">
        <v>287</v>
      </c>
      <c r="V7" s="63" t="s">
        <v>287</v>
      </c>
      <c r="X7" s="63" t="s">
        <v>287</v>
      </c>
      <c r="Z7" s="63" t="s">
        <v>282</v>
      </c>
      <c r="AB7" s="63" t="s">
        <v>282</v>
      </c>
      <c r="AD7" s="63" t="s">
        <v>282</v>
      </c>
      <c r="AF7" s="63" t="s">
        <v>282</v>
      </c>
      <c r="AH7" s="63" t="s">
        <v>282</v>
      </c>
      <c r="AJ7" s="63" t="s">
        <v>80</v>
      </c>
      <c r="AL7" s="63" t="s">
        <v>80</v>
      </c>
      <c r="AN7" s="63" t="s">
        <v>80</v>
      </c>
      <c r="AP7" s="63" t="s">
        <v>80</v>
      </c>
      <c r="AR7" s="63" t="s">
        <v>80</v>
      </c>
    </row>
    <row r="8" spans="1:32" ht="12.75">
      <c r="A8" s="63" t="s">
        <v>172</v>
      </c>
      <c r="B8" s="63" t="s">
        <v>259</v>
      </c>
      <c r="D8" s="63" t="s">
        <v>33</v>
      </c>
      <c r="F8" s="64">
        <v>2388</v>
      </c>
      <c r="G8" s="64"/>
      <c r="H8" s="64">
        <v>2388</v>
      </c>
      <c r="I8" s="64"/>
      <c r="J8" s="64">
        <v>2406</v>
      </c>
      <c r="K8" s="64"/>
      <c r="L8" s="64"/>
      <c r="M8" s="64"/>
      <c r="N8" s="64"/>
      <c r="O8" s="64"/>
      <c r="P8" s="64">
        <v>330</v>
      </c>
      <c r="Q8" s="64"/>
      <c r="R8" s="64">
        <v>360</v>
      </c>
      <c r="S8" s="64"/>
      <c r="T8" s="64">
        <v>360</v>
      </c>
      <c r="U8" s="64"/>
      <c r="V8" s="64"/>
      <c r="W8" s="64"/>
      <c r="X8" s="64"/>
      <c r="Y8" s="64"/>
      <c r="Z8" s="64">
        <v>49.6</v>
      </c>
      <c r="AA8" s="64"/>
      <c r="AB8" s="64">
        <v>50</v>
      </c>
      <c r="AC8" s="64"/>
      <c r="AD8" s="64">
        <v>50</v>
      </c>
      <c r="AE8" s="64"/>
      <c r="AF8" s="64"/>
    </row>
    <row r="9" spans="1:32" ht="12.75">
      <c r="A9" s="63" t="s">
        <v>172</v>
      </c>
      <c r="B9" s="63" t="s">
        <v>260</v>
      </c>
      <c r="D9" s="63" t="s">
        <v>27</v>
      </c>
      <c r="F9" s="64">
        <v>7230</v>
      </c>
      <c r="G9" s="64"/>
      <c r="H9" s="64">
        <v>7332</v>
      </c>
      <c r="I9" s="64"/>
      <c r="J9" s="64">
        <v>7588</v>
      </c>
      <c r="K9" s="64"/>
      <c r="L9" s="64"/>
      <c r="M9" s="64"/>
      <c r="N9" s="64"/>
      <c r="O9" s="64"/>
      <c r="P9" s="64">
        <v>19813</v>
      </c>
      <c r="Q9" s="64"/>
      <c r="R9" s="64">
        <v>18660</v>
      </c>
      <c r="S9" s="64"/>
      <c r="T9" s="64">
        <v>19249</v>
      </c>
      <c r="U9" s="64"/>
      <c r="V9" s="64"/>
      <c r="W9" s="64"/>
      <c r="X9" s="64"/>
      <c r="Y9" s="64"/>
      <c r="Z9" s="64">
        <v>0</v>
      </c>
      <c r="AA9" s="64"/>
      <c r="AB9" s="64">
        <v>0</v>
      </c>
      <c r="AC9" s="64"/>
      <c r="AD9" s="64">
        <v>0</v>
      </c>
      <c r="AE9" s="64"/>
      <c r="AF9" s="64"/>
    </row>
    <row r="10" spans="1:32" ht="12.75">
      <c r="A10" s="63" t="s">
        <v>172</v>
      </c>
      <c r="B10" s="63" t="s">
        <v>28</v>
      </c>
      <c r="D10" s="63" t="s">
        <v>22</v>
      </c>
      <c r="F10" s="64">
        <v>1.46</v>
      </c>
      <c r="G10" s="64"/>
      <c r="H10" s="64">
        <v>2.57</v>
      </c>
      <c r="I10" s="64"/>
      <c r="J10" s="64">
        <v>1.28</v>
      </c>
      <c r="K10" s="64"/>
      <c r="L10" s="64"/>
      <c r="M10" s="64"/>
      <c r="N10" s="64"/>
      <c r="O10" s="64"/>
      <c r="P10" s="64">
        <v>0.012</v>
      </c>
      <c r="Q10" s="64"/>
      <c r="R10" s="64">
        <v>0.012</v>
      </c>
      <c r="S10" s="64"/>
      <c r="T10" s="64">
        <v>0.012</v>
      </c>
      <c r="U10" s="64"/>
      <c r="V10" s="64"/>
      <c r="W10" s="64"/>
      <c r="X10" s="64"/>
      <c r="Y10" s="64"/>
      <c r="Z10" s="64">
        <v>0</v>
      </c>
      <c r="AA10" s="64"/>
      <c r="AB10" s="64">
        <v>0</v>
      </c>
      <c r="AC10" s="64"/>
      <c r="AD10" s="64">
        <v>0</v>
      </c>
      <c r="AE10" s="64"/>
      <c r="AF10" s="64"/>
    </row>
    <row r="11" spans="1:32" ht="12.75">
      <c r="A11" s="63" t="s">
        <v>172</v>
      </c>
      <c r="B11" s="63" t="s">
        <v>29</v>
      </c>
      <c r="D11" s="63" t="s">
        <v>285</v>
      </c>
      <c r="F11" s="64">
        <v>660000</v>
      </c>
      <c r="G11" s="64"/>
      <c r="H11" s="64">
        <v>665000</v>
      </c>
      <c r="I11" s="64"/>
      <c r="J11" s="64">
        <v>678000</v>
      </c>
      <c r="K11" s="64"/>
      <c r="L11" s="64"/>
      <c r="M11" s="64"/>
      <c r="N11" s="64"/>
      <c r="O11" s="64"/>
      <c r="P11" s="64">
        <v>30</v>
      </c>
      <c r="Q11" s="64"/>
      <c r="R11" s="64">
        <v>30</v>
      </c>
      <c r="S11" s="64"/>
      <c r="T11" s="64">
        <v>35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</row>
    <row r="12" spans="1:32" ht="12.75">
      <c r="A12" s="63" t="s">
        <v>172</v>
      </c>
      <c r="B12" s="63" t="s">
        <v>174</v>
      </c>
      <c r="D12" s="63" t="s">
        <v>285</v>
      </c>
      <c r="F12" s="64">
        <v>0.34</v>
      </c>
      <c r="G12" s="64"/>
      <c r="H12" s="64">
        <v>0.35</v>
      </c>
      <c r="I12" s="64"/>
      <c r="J12" s="64">
        <v>0.37</v>
      </c>
      <c r="K12" s="64"/>
      <c r="L12" s="64"/>
      <c r="M12" s="64"/>
      <c r="N12" s="64"/>
      <c r="O12" s="64"/>
      <c r="P12" s="64">
        <v>8.05</v>
      </c>
      <c r="Q12" s="64"/>
      <c r="R12" s="64">
        <v>8.07</v>
      </c>
      <c r="S12" s="64"/>
      <c r="T12" s="64">
        <v>6.87</v>
      </c>
      <c r="U12" s="64"/>
      <c r="V12" s="64"/>
      <c r="W12" s="64"/>
      <c r="X12" s="64"/>
      <c r="Y12" s="64"/>
      <c r="Z12" s="64">
        <v>636</v>
      </c>
      <c r="AA12" s="64"/>
      <c r="AB12" s="64">
        <v>648</v>
      </c>
      <c r="AC12" s="64"/>
      <c r="AD12" s="64">
        <v>658</v>
      </c>
      <c r="AE12" s="64"/>
      <c r="AF12" s="64"/>
    </row>
    <row r="13" spans="1:32" ht="12.75">
      <c r="A13" s="63" t="s">
        <v>172</v>
      </c>
      <c r="B13" s="63" t="s">
        <v>175</v>
      </c>
      <c r="D13" s="63" t="s">
        <v>285</v>
      </c>
      <c r="F13" s="64">
        <v>1.21</v>
      </c>
      <c r="G13" s="64"/>
      <c r="H13" s="64">
        <v>0.848</v>
      </c>
      <c r="I13" s="64"/>
      <c r="J13" s="64">
        <v>0.527</v>
      </c>
      <c r="K13" s="64"/>
      <c r="L13" s="64"/>
      <c r="M13" s="64"/>
      <c r="N13" s="64"/>
      <c r="O13" s="64"/>
      <c r="P13" s="64">
        <v>0.228</v>
      </c>
      <c r="Q13" s="64"/>
      <c r="R13" s="64">
        <v>0.14</v>
      </c>
      <c r="S13" s="64"/>
      <c r="T13" s="64">
        <v>0.131</v>
      </c>
      <c r="U13" s="64"/>
      <c r="V13" s="64"/>
      <c r="W13" s="64"/>
      <c r="X13" s="64"/>
      <c r="Y13" s="64"/>
      <c r="Z13" s="64">
        <v>252</v>
      </c>
      <c r="AA13" s="64"/>
      <c r="AB13" s="64">
        <v>251</v>
      </c>
      <c r="AC13" s="64"/>
      <c r="AD13" s="64">
        <v>252</v>
      </c>
      <c r="AE13" s="64"/>
      <c r="AF13" s="64"/>
    </row>
    <row r="14" spans="1:32" ht="12.75">
      <c r="A14" s="63" t="s">
        <v>172</v>
      </c>
      <c r="B14" s="63" t="s">
        <v>176</v>
      </c>
      <c r="D14" s="63" t="s">
        <v>285</v>
      </c>
      <c r="F14" s="64">
        <v>2.98</v>
      </c>
      <c r="G14" s="64"/>
      <c r="H14" s="64">
        <v>3.25</v>
      </c>
      <c r="I14" s="64"/>
      <c r="J14" s="64">
        <v>2.92</v>
      </c>
      <c r="K14" s="64"/>
      <c r="L14" s="64"/>
      <c r="M14" s="64"/>
      <c r="N14" s="64"/>
      <c r="O14" s="64"/>
      <c r="P14" s="64">
        <v>1.58</v>
      </c>
      <c r="Q14" s="64"/>
      <c r="R14" s="64">
        <v>1.59</v>
      </c>
      <c r="S14" s="64"/>
      <c r="T14" s="64">
        <v>1.35</v>
      </c>
      <c r="U14" s="64"/>
      <c r="V14" s="64"/>
      <c r="W14" s="64"/>
      <c r="X14" s="64"/>
      <c r="Y14" s="64"/>
      <c r="Z14" s="64">
        <v>1150</v>
      </c>
      <c r="AA14" s="64"/>
      <c r="AB14" s="64">
        <v>1160</v>
      </c>
      <c r="AC14" s="64"/>
      <c r="AD14" s="64">
        <v>1160</v>
      </c>
      <c r="AE14" s="64"/>
      <c r="AF14" s="64"/>
    </row>
    <row r="15" spans="1:32" ht="12.75">
      <c r="A15" s="63" t="s">
        <v>172</v>
      </c>
      <c r="B15" s="63" t="s">
        <v>178</v>
      </c>
      <c r="D15" s="63" t="s">
        <v>285</v>
      </c>
      <c r="F15" s="64">
        <v>3.59</v>
      </c>
      <c r="G15" s="64"/>
      <c r="H15" s="64">
        <v>3.69</v>
      </c>
      <c r="I15" s="64"/>
      <c r="J15" s="64">
        <v>3.57</v>
      </c>
      <c r="K15" s="64"/>
      <c r="L15" s="64"/>
      <c r="M15" s="64"/>
      <c r="N15" s="64"/>
      <c r="O15" s="64"/>
      <c r="P15" s="64">
        <v>13.8</v>
      </c>
      <c r="Q15" s="64"/>
      <c r="R15" s="64">
        <v>13.4</v>
      </c>
      <c r="S15" s="64"/>
      <c r="T15" s="64">
        <v>12.1</v>
      </c>
      <c r="U15" s="64"/>
      <c r="V15" s="64"/>
      <c r="W15" s="64"/>
      <c r="X15" s="64"/>
      <c r="Y15" s="64"/>
      <c r="Z15" s="64">
        <v>4760</v>
      </c>
      <c r="AA15" s="64"/>
      <c r="AB15" s="64">
        <v>4780</v>
      </c>
      <c r="AC15" s="64"/>
      <c r="AD15" s="64">
        <v>4790</v>
      </c>
      <c r="AE15" s="64"/>
      <c r="AF15" s="64"/>
    </row>
    <row r="16" spans="6:32" ht="12.75"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</row>
    <row r="17" spans="2:32" ht="12.75">
      <c r="B17" s="63" t="s">
        <v>41</v>
      </c>
      <c r="F17" s="64">
        <f>'emiss 2'!$G31</f>
        <v>6182</v>
      </c>
      <c r="G17" s="64"/>
      <c r="H17" s="64">
        <f>'emiss 2'!$I31</f>
        <v>6208</v>
      </c>
      <c r="I17" s="64"/>
      <c r="J17" s="64">
        <f>'emiss 2'!$K31</f>
        <v>6167</v>
      </c>
      <c r="K17" s="64"/>
      <c r="L17" s="64"/>
      <c r="M17" s="64"/>
      <c r="N17" s="64"/>
      <c r="O17" s="64"/>
      <c r="P17" s="64">
        <f>'emiss 2'!$G31</f>
        <v>6182</v>
      </c>
      <c r="Q17" s="64"/>
      <c r="R17" s="64">
        <f>'emiss 2'!$I31</f>
        <v>6208</v>
      </c>
      <c r="S17" s="64"/>
      <c r="T17" s="64">
        <f>'emiss 2'!$K31</f>
        <v>6167</v>
      </c>
      <c r="U17" s="64"/>
      <c r="V17" s="64"/>
      <c r="W17" s="64"/>
      <c r="X17" s="64"/>
      <c r="Y17" s="64"/>
      <c r="Z17" s="64">
        <f>'emiss 2'!$G31</f>
        <v>6182</v>
      </c>
      <c r="AA17" s="64"/>
      <c r="AB17" s="64">
        <f>'emiss 2'!$I31</f>
        <v>6208</v>
      </c>
      <c r="AC17" s="64"/>
      <c r="AD17" s="64">
        <f>'emiss 2'!$K31</f>
        <v>6167</v>
      </c>
      <c r="AE17" s="64"/>
      <c r="AF17" s="64"/>
    </row>
    <row r="18" spans="2:32" ht="12.75">
      <c r="B18" s="63" t="s">
        <v>42</v>
      </c>
      <c r="F18" s="64">
        <f>'emiss 2'!$G30</f>
        <v>11.8</v>
      </c>
      <c r="G18" s="64"/>
      <c r="H18" s="64">
        <f>'emiss 2'!$I30</f>
        <v>11.4</v>
      </c>
      <c r="I18" s="64"/>
      <c r="J18" s="64">
        <f>'emiss 2'!$K30</f>
        <v>11</v>
      </c>
      <c r="K18" s="64"/>
      <c r="L18" s="64"/>
      <c r="M18" s="64"/>
      <c r="N18" s="64"/>
      <c r="O18" s="64"/>
      <c r="P18" s="64">
        <f>'emiss 2'!$G30</f>
        <v>11.8</v>
      </c>
      <c r="Q18" s="64"/>
      <c r="R18" s="64">
        <f>'emiss 2'!$I30</f>
        <v>11.4</v>
      </c>
      <c r="S18" s="64"/>
      <c r="T18" s="64">
        <f>'emiss 2'!$K30</f>
        <v>11</v>
      </c>
      <c r="U18" s="64"/>
      <c r="V18" s="64"/>
      <c r="W18" s="64"/>
      <c r="X18" s="64"/>
      <c r="Y18" s="64"/>
      <c r="Z18" s="64">
        <f>'emiss 2'!$G30</f>
        <v>11.8</v>
      </c>
      <c r="AA18" s="64"/>
      <c r="AB18" s="64">
        <f>'emiss 2'!$I30</f>
        <v>11.4</v>
      </c>
      <c r="AC18" s="64"/>
      <c r="AD18" s="64">
        <f>'emiss 2'!$K30</f>
        <v>11</v>
      </c>
      <c r="AE18" s="64"/>
      <c r="AF18" s="64"/>
    </row>
    <row r="19" spans="6:32" ht="12.75"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</row>
    <row r="20" spans="2:32" ht="12.75">
      <c r="B20" s="63" t="s">
        <v>288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</row>
    <row r="21" spans="2:44" ht="12.75">
      <c r="B21" s="63" t="s">
        <v>28</v>
      </c>
      <c r="D21" s="63" t="s">
        <v>43</v>
      </c>
      <c r="F21" s="66">
        <f>F$8*454*F10/100/F$17/0.0283/60*14/(21-F$18)*1000</f>
        <v>2294.6505296725004</v>
      </c>
      <c r="G21" s="64"/>
      <c r="H21" s="66">
        <f>H$8*454*H10/100/H$17/0.0283/60*14/(21-H$18)*1000</f>
        <v>3854.7010942983247</v>
      </c>
      <c r="I21" s="64"/>
      <c r="J21" s="66">
        <f>J$8*454*J10/100/J$17/0.0283/60*14/(21-J$18)*1000</f>
        <v>1869.295010889489</v>
      </c>
      <c r="K21" s="64"/>
      <c r="L21" s="64"/>
      <c r="M21" s="64"/>
      <c r="N21" s="64"/>
      <c r="O21" s="64"/>
      <c r="P21" s="66">
        <f>P$8*454*P10/100/P$17/0.0283/60*14/(21-P$18)*1000</f>
        <v>2.6063009389134897</v>
      </c>
      <c r="Q21" s="64"/>
      <c r="R21" s="66">
        <f>R$8*454*R10/100/R$17/0.0283/60*14/(21-R$18)*1000</f>
        <v>2.7133574368875455</v>
      </c>
      <c r="S21" s="64"/>
      <c r="T21" s="66">
        <f>T$8*454*T10/100/T$17/0.0283/60*14/(21-T$18)*1000</f>
        <v>2.622140757170418</v>
      </c>
      <c r="U21" s="64"/>
      <c r="V21" s="64"/>
      <c r="W21" s="64"/>
      <c r="X21" s="64"/>
      <c r="Y21" s="64"/>
      <c r="Z21" s="66">
        <f>Z$8*454*Z10/100/Z$17/0.0283/60*14/(21-Z$18)*1000</f>
        <v>0</v>
      </c>
      <c r="AA21" s="64"/>
      <c r="AB21" s="66">
        <f>AB$8*454*AB10/100/AB$17/0.0283/60*14/(21-AB$18)*1000</f>
        <v>0</v>
      </c>
      <c r="AC21" s="64"/>
      <c r="AD21" s="66">
        <f>AD$8*454*AD10/100/AD$17/0.0283/60*14/(21-AD$18)*1000</f>
        <v>0</v>
      </c>
      <c r="AE21" s="64"/>
      <c r="AF21" s="64"/>
      <c r="AJ21" s="66">
        <f aca="true" t="shared" si="0" ref="AJ21:AJ26">F21+P21+Z21</f>
        <v>2297.256830611414</v>
      </c>
      <c r="AL21" s="66">
        <f aca="true" t="shared" si="1" ref="AL21:AL26">H21+R21+AB21</f>
        <v>3857.4144517352124</v>
      </c>
      <c r="AN21" s="66">
        <f aca="true" t="shared" si="2" ref="AN21:AN26">J21+T21+AD21</f>
        <v>1871.9171516466595</v>
      </c>
      <c r="AP21" s="66"/>
      <c r="AR21" s="66">
        <f aca="true" t="shared" si="3" ref="AR21:AR26">AVERAGE(AJ21,AL21,AN21,AP21)</f>
        <v>2675.5294779977617</v>
      </c>
    </row>
    <row r="22" spans="2:44" ht="12.75">
      <c r="B22" s="63" t="s">
        <v>29</v>
      </c>
      <c r="D22" s="63" t="s">
        <v>38</v>
      </c>
      <c r="F22" s="66">
        <f>F$8*454*F11/1000000/F$17/0.0283/60*14/(21-F$18)*1000000</f>
        <v>103730777.36875688</v>
      </c>
      <c r="G22" s="64"/>
      <c r="H22" s="66">
        <f>H$8*454*H11/1000000/H$17/0.0283/60*14/(21-H$18)*1000000</f>
        <v>99742265.66958702</v>
      </c>
      <c r="I22" s="64"/>
      <c r="J22" s="66">
        <f>J$8*454*J11/1000000/J$17/0.0283/60*14/(21-J$18)*1000000</f>
        <v>99014220.10805263</v>
      </c>
      <c r="K22" s="64"/>
      <c r="L22" s="64"/>
      <c r="M22" s="64"/>
      <c r="N22" s="64"/>
      <c r="O22" s="64"/>
      <c r="P22" s="66">
        <f>P$8*454*P11/1000000/P$17/0.0283/60*14/(21-P$18)*1000000</f>
        <v>651.5752347283724</v>
      </c>
      <c r="Q22" s="64"/>
      <c r="R22" s="66">
        <f>R$8*454*R11/1000000/R$17/0.0283/60*14/(21-R$18)*1000000</f>
        <v>678.3393592218864</v>
      </c>
      <c r="S22" s="64"/>
      <c r="T22" s="66">
        <f>T$8*454*T11/1000000/T$17/0.0283/60*14/(21-T$18)*1000000</f>
        <v>764.7910541747051</v>
      </c>
      <c r="U22" s="64"/>
      <c r="V22" s="64"/>
      <c r="W22" s="64"/>
      <c r="X22" s="64"/>
      <c r="Y22" s="64"/>
      <c r="Z22" s="66">
        <f>Z$8*454*Z11/1000000/Z$17/0.0283/60*14/(21-Z$18)*1000000</f>
        <v>0</v>
      </c>
      <c r="AA22" s="64"/>
      <c r="AB22" s="66">
        <f>AB$8*454*AB11/1000000/AB$17/0.0283/60*14/(21-AB$18)*1000000</f>
        <v>0</v>
      </c>
      <c r="AC22" s="64"/>
      <c r="AD22" s="66">
        <f>AD$8*454*AD11/1000000/AD$17/0.0283/60*14/(21-AD$18)*1000000</f>
        <v>0</v>
      </c>
      <c r="AE22" s="64"/>
      <c r="AF22" s="64"/>
      <c r="AJ22" s="66">
        <f t="shared" si="0"/>
        <v>103731428.9439916</v>
      </c>
      <c r="AL22" s="66">
        <f t="shared" si="1"/>
        <v>99742944.00894624</v>
      </c>
      <c r="AN22" s="66">
        <f t="shared" si="2"/>
        <v>99014984.8991068</v>
      </c>
      <c r="AP22" s="66"/>
      <c r="AR22" s="66">
        <f t="shared" si="3"/>
        <v>100829785.95068155</v>
      </c>
    </row>
    <row r="23" spans="2:44" ht="12.75">
      <c r="B23" s="63" t="s">
        <v>174</v>
      </c>
      <c r="D23" s="63" t="s">
        <v>38</v>
      </c>
      <c r="F23" s="66">
        <f aca="true" t="shared" si="4" ref="F23:H26">F$8*454*F12/1000000/F$17/0.0283/60*14/(21-F$18)*1000000</f>
        <v>53.437067129359605</v>
      </c>
      <c r="G23" s="64"/>
      <c r="H23" s="66">
        <f t="shared" si="4"/>
        <v>52.49592929978263</v>
      </c>
      <c r="I23" s="64"/>
      <c r="J23" s="66">
        <f>J$8*454*J12/1000000/J$17/0.0283/60*14/(21-J$18)*1000000</f>
        <v>54.03430890852429</v>
      </c>
      <c r="K23" s="64"/>
      <c r="L23" s="64"/>
      <c r="M23" s="64"/>
      <c r="N23" s="64"/>
      <c r="O23" s="64"/>
      <c r="P23" s="66">
        <f>P$8*454*P12/1000000/P$17/0.0283/60*14/(21-P$18)*1000000</f>
        <v>174.83935465211326</v>
      </c>
      <c r="Q23" s="64"/>
      <c r="R23" s="66">
        <f>R$8*454*R12/1000000/R$17/0.0283/60*14/(21-R$18)*1000000</f>
        <v>182.47328763068748</v>
      </c>
      <c r="S23" s="64"/>
      <c r="T23" s="66">
        <f>T$8*454*T12/1000000/T$17/0.0283/60*14/(21-T$18)*1000000</f>
        <v>150.11755834800644</v>
      </c>
      <c r="U23" s="64"/>
      <c r="V23" s="64"/>
      <c r="W23" s="64"/>
      <c r="X23" s="64"/>
      <c r="Y23" s="64"/>
      <c r="Z23" s="66">
        <f>Z$8*454*Z12/1000000/Z$17/0.0283/60*14/(21-Z$18)*1000000</f>
        <v>2076.195123701752</v>
      </c>
      <c r="AA23" s="64"/>
      <c r="AB23" s="66">
        <f>AB$8*454*AB12/1000000/AB$17/0.0283/60*14/(21-AB$18)*1000000</f>
        <v>2035.0180776656591</v>
      </c>
      <c r="AC23" s="64"/>
      <c r="AD23" s="66">
        <f>AD$8*454*AD12/1000000/AD$17/0.0283/60*14/(21-AD$18)*1000000</f>
        <v>1996.9544192339522</v>
      </c>
      <c r="AE23" s="64"/>
      <c r="AF23" s="64"/>
      <c r="AJ23" s="66">
        <f t="shared" si="0"/>
        <v>2304.471545483225</v>
      </c>
      <c r="AL23" s="66">
        <f t="shared" si="1"/>
        <v>2269.9872945961292</v>
      </c>
      <c r="AN23" s="66">
        <f t="shared" si="2"/>
        <v>2201.106286490483</v>
      </c>
      <c r="AP23" s="66"/>
      <c r="AR23" s="66">
        <f t="shared" si="3"/>
        <v>2258.521708856613</v>
      </c>
    </row>
    <row r="24" spans="2:44" ht="12.75">
      <c r="B24" s="63" t="s">
        <v>175</v>
      </c>
      <c r="D24" s="63" t="s">
        <v>38</v>
      </c>
      <c r="F24" s="66">
        <f t="shared" si="4"/>
        <v>190.17309184272094</v>
      </c>
      <c r="G24" s="64"/>
      <c r="H24" s="66">
        <f t="shared" si="4"/>
        <v>127.19013727490196</v>
      </c>
      <c r="I24" s="64"/>
      <c r="J24" s="66">
        <f>J$8*454*J13/1000000/J$17/0.0283/60*14/(21-J$18)*1000000</f>
        <v>76.96238052646568</v>
      </c>
      <c r="K24" s="64"/>
      <c r="L24" s="64"/>
      <c r="M24" s="64"/>
      <c r="N24" s="64"/>
      <c r="O24" s="64"/>
      <c r="P24" s="66">
        <f>P$8*454*P13/1000000/P$17/0.0283/60*14/(21-P$18)*1000000</f>
        <v>4.95197178393563</v>
      </c>
      <c r="Q24" s="64"/>
      <c r="R24" s="66">
        <f>R$8*454*R13/1000000/R$17/0.0283/60*14/(21-R$18)*1000000</f>
        <v>3.165583676368803</v>
      </c>
      <c r="S24" s="64"/>
      <c r="T24" s="66">
        <f>T$8*454*T13/1000000/T$17/0.0283/60*14/(21-T$18)*1000000</f>
        <v>2.862503659911039</v>
      </c>
      <c r="U24" s="64"/>
      <c r="V24" s="64"/>
      <c r="W24" s="64"/>
      <c r="X24" s="64"/>
      <c r="Y24" s="64"/>
      <c r="Z24" s="66">
        <f>Z$8*454*Z13/1000000/Z$17/0.0283/60*14/(21-Z$18)*1000000</f>
        <v>822.6433509006943</v>
      </c>
      <c r="AA24" s="64"/>
      <c r="AB24" s="66">
        <f>AB$8*454*AB13/1000000/AB$17/0.0283/60*14/(21-AB$18)*1000000</f>
        <v>788.2554590958031</v>
      </c>
      <c r="AC24" s="64"/>
      <c r="AD24" s="66">
        <f>AD$8*454*AD13/1000000/AD$17/0.0283/60*14/(21-AD$18)*1000000</f>
        <v>764.7910541747051</v>
      </c>
      <c r="AE24" s="64"/>
      <c r="AF24" s="64"/>
      <c r="AJ24" s="66">
        <f t="shared" si="0"/>
        <v>1017.7684145273508</v>
      </c>
      <c r="AL24" s="66">
        <f t="shared" si="1"/>
        <v>918.6111800470738</v>
      </c>
      <c r="AN24" s="66">
        <f t="shared" si="2"/>
        <v>844.6159383610818</v>
      </c>
      <c r="AP24" s="66"/>
      <c r="AR24" s="66">
        <f t="shared" si="3"/>
        <v>926.998510978502</v>
      </c>
    </row>
    <row r="25" spans="2:44" ht="12.75">
      <c r="B25" s="63" t="s">
        <v>176</v>
      </c>
      <c r="D25" s="63" t="s">
        <v>38</v>
      </c>
      <c r="F25" s="66">
        <f t="shared" si="4"/>
        <v>468.36017660438705</v>
      </c>
      <c r="G25" s="64"/>
      <c r="H25" s="66">
        <f t="shared" si="4"/>
        <v>487.46220064083883</v>
      </c>
      <c r="I25" s="64"/>
      <c r="J25" s="66">
        <f>J$8*454*J14/1000000/J$17/0.0283/60*14/(21-J$18)*1000000</f>
        <v>426.4329243591646</v>
      </c>
      <c r="K25" s="64"/>
      <c r="L25" s="64"/>
      <c r="M25" s="64"/>
      <c r="N25" s="64"/>
      <c r="O25" s="64"/>
      <c r="P25" s="66">
        <f>P$8*454*P14/1000000/P$17/0.0283/60*14/(21-P$18)*1000000</f>
        <v>34.31629569569427</v>
      </c>
      <c r="Q25" s="64"/>
      <c r="R25" s="66">
        <f>R$8*454*R14/1000000/R$17/0.0283/60*14/(21-R$18)*1000000</f>
        <v>35.951986038759976</v>
      </c>
      <c r="S25" s="64"/>
      <c r="T25" s="66">
        <f>T$8*454*T14/1000000/T$17/0.0283/60*14/(21-T$18)*1000000</f>
        <v>29.499083518167197</v>
      </c>
      <c r="U25" s="64"/>
      <c r="V25" s="64"/>
      <c r="W25" s="64"/>
      <c r="X25" s="64"/>
      <c r="Y25" s="64"/>
      <c r="Z25" s="66">
        <f>Z$8*454*Z14/1000000/Z$17/0.0283/60*14/(21-Z$18)*1000000</f>
        <v>3754.126402919834</v>
      </c>
      <c r="AA25" s="64"/>
      <c r="AB25" s="66">
        <f>AB$8*454*AB14/1000000/AB$17/0.0283/60*14/(21-AB$18)*1000000</f>
        <v>3642.9335958212414</v>
      </c>
      <c r="AC25" s="64"/>
      <c r="AD25" s="66">
        <f>AD$8*454*AD14/1000000/AD$17/0.0283/60*14/(21-AD$18)*1000000</f>
        <v>3520.466757312135</v>
      </c>
      <c r="AE25" s="64"/>
      <c r="AF25" s="64"/>
      <c r="AJ25" s="66">
        <f t="shared" si="0"/>
        <v>4256.802875219915</v>
      </c>
      <c r="AL25" s="66">
        <f t="shared" si="1"/>
        <v>4166.34778250084</v>
      </c>
      <c r="AN25" s="66">
        <f t="shared" si="2"/>
        <v>3976.3987651894668</v>
      </c>
      <c r="AP25" s="66"/>
      <c r="AR25" s="66">
        <f t="shared" si="3"/>
        <v>4133.183140970074</v>
      </c>
    </row>
    <row r="26" spans="2:44" ht="12.75">
      <c r="B26" s="63" t="s">
        <v>178</v>
      </c>
      <c r="D26" s="63" t="s">
        <v>38</v>
      </c>
      <c r="F26" s="66">
        <f t="shared" si="4"/>
        <v>564.2325617482381</v>
      </c>
      <c r="G26" s="64"/>
      <c r="H26" s="66">
        <f t="shared" si="4"/>
        <v>553.457083189137</v>
      </c>
      <c r="I26" s="64"/>
      <c r="J26" s="66">
        <f>J$8*454*J15/1000000/J$17/0.0283/60*14/(21-J$18)*1000000</f>
        <v>521.3580616308964</v>
      </c>
      <c r="K26" s="64"/>
      <c r="L26" s="64"/>
      <c r="M26" s="64"/>
      <c r="N26" s="64"/>
      <c r="O26" s="64"/>
      <c r="P26" s="66">
        <f>P$8*454*P15/1000000/P$17/0.0283/60*14/(21-P$18)*1000000</f>
        <v>299.7246079750513</v>
      </c>
      <c r="Q26" s="64"/>
      <c r="R26" s="66">
        <f>R$8*454*R15/1000000/R$17/0.0283/60*14/(21-R$18)*1000000</f>
        <v>302.9915804524425</v>
      </c>
      <c r="S26" s="64"/>
      <c r="T26" s="66">
        <f>T$8*454*T15/1000000/T$17/0.0283/60*14/(21-T$18)*1000000</f>
        <v>264.39919301468376</v>
      </c>
      <c r="U26" s="64"/>
      <c r="V26" s="64"/>
      <c r="W26" s="64"/>
      <c r="X26" s="64"/>
      <c r="Y26" s="64"/>
      <c r="Z26" s="66">
        <f>Z$8*454*Z15/1000000/Z$17/0.0283/60*14/(21-Z$18)*1000000</f>
        <v>15538.818850346444</v>
      </c>
      <c r="AA26" s="64"/>
      <c r="AB26" s="66">
        <f>AB$8*454*AB15/1000000/AB$17/0.0283/60*14/(21-AB$18)*1000000</f>
        <v>15011.398782780632</v>
      </c>
      <c r="AC26" s="64"/>
      <c r="AD26" s="66">
        <f>AD$8*454*AD15/1000000/AD$17/0.0283/60*14/(21-AD$18)*1000000</f>
        <v>14537.099799590624</v>
      </c>
      <c r="AE26" s="64"/>
      <c r="AF26" s="64"/>
      <c r="AJ26" s="66">
        <f t="shared" si="0"/>
        <v>16402.776020069734</v>
      </c>
      <c r="AL26" s="66">
        <f t="shared" si="1"/>
        <v>15867.847446422213</v>
      </c>
      <c r="AN26" s="66">
        <f t="shared" si="2"/>
        <v>15322.857054236203</v>
      </c>
      <c r="AP26" s="66"/>
      <c r="AR26" s="66">
        <f t="shared" si="3"/>
        <v>15864.493506909383</v>
      </c>
    </row>
    <row r="27" spans="6:32" ht="12.75">
      <c r="F27" s="66"/>
      <c r="G27" s="64"/>
      <c r="H27" s="66"/>
      <c r="I27" s="64"/>
      <c r="J27" s="66"/>
      <c r="K27" s="64"/>
      <c r="L27" s="64"/>
      <c r="M27" s="64"/>
      <c r="N27" s="64"/>
      <c r="O27" s="64"/>
      <c r="P27" s="66"/>
      <c r="Q27" s="64"/>
      <c r="R27" s="66"/>
      <c r="S27" s="64"/>
      <c r="T27" s="66"/>
      <c r="U27" s="64"/>
      <c r="V27" s="64"/>
      <c r="W27" s="64"/>
      <c r="X27" s="64"/>
      <c r="Y27" s="64"/>
      <c r="Z27" s="66"/>
      <c r="AA27" s="64"/>
      <c r="AB27" s="66"/>
      <c r="AC27" s="64"/>
      <c r="AD27" s="66"/>
      <c r="AE27" s="64"/>
      <c r="AF27" s="64"/>
    </row>
    <row r="28" spans="2:44" ht="12.75">
      <c r="B28" s="63" t="s">
        <v>39</v>
      </c>
      <c r="D28" s="63" t="s">
        <v>38</v>
      </c>
      <c r="F28" s="66">
        <f>F24</f>
        <v>190.17309184272094</v>
      </c>
      <c r="G28" s="64"/>
      <c r="H28" s="66">
        <f>H24</f>
        <v>127.19013727490196</v>
      </c>
      <c r="I28" s="64"/>
      <c r="J28" s="66">
        <f>J24</f>
        <v>76.96238052646568</v>
      </c>
      <c r="K28" s="64"/>
      <c r="L28" s="64"/>
      <c r="M28" s="64"/>
      <c r="N28" s="64"/>
      <c r="O28" s="64"/>
      <c r="P28" s="66">
        <f>P24</f>
        <v>4.95197178393563</v>
      </c>
      <c r="Q28" s="64"/>
      <c r="R28" s="66">
        <f>R24</f>
        <v>3.165583676368803</v>
      </c>
      <c r="S28" s="64"/>
      <c r="T28" s="66">
        <f>T24</f>
        <v>2.862503659911039</v>
      </c>
      <c r="U28" s="64"/>
      <c r="V28" s="64"/>
      <c r="W28" s="64"/>
      <c r="X28" s="64"/>
      <c r="Y28" s="64"/>
      <c r="Z28" s="66">
        <f>Z24</f>
        <v>822.6433509006943</v>
      </c>
      <c r="AA28" s="64"/>
      <c r="AB28" s="66">
        <f>AB24</f>
        <v>788.2554590958031</v>
      </c>
      <c r="AC28" s="64"/>
      <c r="AD28" s="66">
        <f>AD24</f>
        <v>764.7910541747051</v>
      </c>
      <c r="AE28" s="64"/>
      <c r="AF28" s="64"/>
      <c r="AJ28" s="66">
        <f>F28+P28+Z28</f>
        <v>1017.7684145273508</v>
      </c>
      <c r="AL28" s="66">
        <f>H28+R28+AB28</f>
        <v>918.6111800470738</v>
      </c>
      <c r="AN28" s="66">
        <f>J28+T28+AD28</f>
        <v>844.6159383610818</v>
      </c>
      <c r="AP28" s="66"/>
      <c r="AR28" s="66">
        <f>AVERAGE(AJ28,AL28,AN28,AP28)</f>
        <v>926.998510978502</v>
      </c>
    </row>
    <row r="29" spans="2:44" ht="12.75">
      <c r="B29" s="63" t="s">
        <v>40</v>
      </c>
      <c r="D29" s="63" t="s">
        <v>38</v>
      </c>
      <c r="F29" s="66">
        <f>F25</f>
        <v>468.36017660438705</v>
      </c>
      <c r="G29" s="64"/>
      <c r="H29" s="66">
        <f>H25</f>
        <v>487.46220064083883</v>
      </c>
      <c r="I29" s="64"/>
      <c r="J29" s="66">
        <f>J25</f>
        <v>426.4329243591646</v>
      </c>
      <c r="K29" s="64"/>
      <c r="L29" s="64"/>
      <c r="M29" s="64"/>
      <c r="N29" s="64"/>
      <c r="O29" s="64"/>
      <c r="P29" s="66">
        <f>P25</f>
        <v>34.31629569569427</v>
      </c>
      <c r="Q29" s="64"/>
      <c r="R29" s="66">
        <f>R25</f>
        <v>35.951986038759976</v>
      </c>
      <c r="S29" s="64"/>
      <c r="T29" s="66">
        <f>T25</f>
        <v>29.499083518167197</v>
      </c>
      <c r="U29" s="64"/>
      <c r="V29" s="64"/>
      <c r="W29" s="64"/>
      <c r="X29" s="64"/>
      <c r="Y29" s="64"/>
      <c r="Z29" s="66">
        <f>Z25</f>
        <v>3754.126402919834</v>
      </c>
      <c r="AA29" s="64"/>
      <c r="AB29" s="66">
        <f>AB25</f>
        <v>3642.9335958212414</v>
      </c>
      <c r="AC29" s="64"/>
      <c r="AD29" s="66">
        <f>AD25</f>
        <v>3520.466757312135</v>
      </c>
      <c r="AE29" s="64"/>
      <c r="AF29" s="64"/>
      <c r="AJ29" s="66">
        <f>F29+P29+Z29</f>
        <v>4256.802875219915</v>
      </c>
      <c r="AL29" s="66">
        <f>H29+R29+AB29</f>
        <v>4166.34778250084</v>
      </c>
      <c r="AN29" s="66">
        <f>J29+T29+AD29</f>
        <v>3976.3987651894668</v>
      </c>
      <c r="AP29" s="66"/>
      <c r="AR29" s="66">
        <f>AVERAGE(AJ29,AL29,AN29,AP29)</f>
        <v>4133.183140970074</v>
      </c>
    </row>
    <row r="30" spans="6:32" ht="12.75"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</row>
    <row r="31" spans="2:32" ht="12.75">
      <c r="B31" s="45" t="s">
        <v>179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</row>
    <row r="32" spans="6:32" ht="12.75"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</row>
    <row r="33" spans="1:44" ht="12.75">
      <c r="A33" s="71"/>
      <c r="B33" s="71" t="s">
        <v>283</v>
      </c>
      <c r="C33" s="71"/>
      <c r="D33" s="71"/>
      <c r="E33" s="71"/>
      <c r="F33" s="71" t="s">
        <v>280</v>
      </c>
      <c r="G33" s="71"/>
      <c r="H33" s="71" t="s">
        <v>280</v>
      </c>
      <c r="I33" s="71"/>
      <c r="J33" s="71" t="s">
        <v>280</v>
      </c>
      <c r="L33" s="71" t="s">
        <v>280</v>
      </c>
      <c r="N33" s="71" t="s">
        <v>280</v>
      </c>
      <c r="P33" s="63" t="s">
        <v>281</v>
      </c>
      <c r="R33" s="63" t="s">
        <v>281</v>
      </c>
      <c r="T33" s="63" t="s">
        <v>281</v>
      </c>
      <c r="V33" s="63" t="s">
        <v>281</v>
      </c>
      <c r="X33" s="63" t="s">
        <v>281</v>
      </c>
      <c r="Z33" s="63" t="s">
        <v>282</v>
      </c>
      <c r="AB33" s="63" t="s">
        <v>282</v>
      </c>
      <c r="AD33" s="63" t="s">
        <v>282</v>
      </c>
      <c r="AF33" s="63" t="s">
        <v>282</v>
      </c>
      <c r="AH33" s="63" t="s">
        <v>282</v>
      </c>
      <c r="AJ33" s="63" t="s">
        <v>80</v>
      </c>
      <c r="AL33" s="63" t="s">
        <v>80</v>
      </c>
      <c r="AN33" s="63" t="s">
        <v>80</v>
      </c>
      <c r="AP33" s="63" t="s">
        <v>80</v>
      </c>
      <c r="AR33" s="63" t="s">
        <v>80</v>
      </c>
    </row>
    <row r="34" spans="1:44" ht="12.75">
      <c r="A34" s="71"/>
      <c r="B34" s="71" t="s">
        <v>284</v>
      </c>
      <c r="C34" s="71"/>
      <c r="D34" s="71"/>
      <c r="E34" s="71"/>
      <c r="F34" s="71" t="s">
        <v>286</v>
      </c>
      <c r="G34" s="71"/>
      <c r="H34" s="71" t="s">
        <v>286</v>
      </c>
      <c r="I34" s="71"/>
      <c r="J34" s="71" t="s">
        <v>286</v>
      </c>
      <c r="L34" s="71" t="s">
        <v>286</v>
      </c>
      <c r="N34" s="71" t="s">
        <v>286</v>
      </c>
      <c r="P34" s="63" t="s">
        <v>287</v>
      </c>
      <c r="R34" s="63" t="s">
        <v>287</v>
      </c>
      <c r="T34" s="63" t="s">
        <v>287</v>
      </c>
      <c r="V34" s="63" t="s">
        <v>287</v>
      </c>
      <c r="X34" s="63" t="s">
        <v>287</v>
      </c>
      <c r="Z34" s="63" t="s">
        <v>282</v>
      </c>
      <c r="AB34" s="63" t="s">
        <v>282</v>
      </c>
      <c r="AD34" s="63" t="s">
        <v>282</v>
      </c>
      <c r="AF34" s="63" t="s">
        <v>282</v>
      </c>
      <c r="AH34" s="63" t="s">
        <v>282</v>
      </c>
      <c r="AJ34" s="63" t="s">
        <v>80</v>
      </c>
      <c r="AL34" s="63" t="s">
        <v>80</v>
      </c>
      <c r="AN34" s="63" t="s">
        <v>80</v>
      </c>
      <c r="AP34" s="63" t="s">
        <v>80</v>
      </c>
      <c r="AR34" s="63" t="s">
        <v>80</v>
      </c>
    </row>
    <row r="35" spans="1:32" ht="12.75">
      <c r="A35" s="63" t="s">
        <v>179</v>
      </c>
      <c r="B35" s="63" t="s">
        <v>259</v>
      </c>
      <c r="D35" s="63" t="s">
        <v>33</v>
      </c>
      <c r="F35" s="64">
        <v>2436</v>
      </c>
      <c r="G35" s="64"/>
      <c r="H35" s="64">
        <v>2430</v>
      </c>
      <c r="I35" s="64"/>
      <c r="J35" s="64">
        <v>2412</v>
      </c>
      <c r="K35" s="64"/>
      <c r="L35" s="64">
        <v>2400</v>
      </c>
      <c r="M35" s="64"/>
      <c r="N35" s="64"/>
      <c r="O35" s="64"/>
      <c r="P35" s="64">
        <v>243</v>
      </c>
      <c r="Q35" s="64"/>
      <c r="R35" s="64">
        <v>246</v>
      </c>
      <c r="S35" s="64"/>
      <c r="T35" s="64">
        <v>300</v>
      </c>
      <c r="U35" s="64"/>
      <c r="V35" s="64">
        <v>296.4</v>
      </c>
      <c r="W35" s="64"/>
      <c r="X35" s="64"/>
      <c r="Y35" s="64"/>
      <c r="Z35" s="64"/>
      <c r="AA35" s="64"/>
      <c r="AB35" s="64">
        <v>50.8</v>
      </c>
      <c r="AC35" s="64"/>
      <c r="AD35" s="64">
        <v>51.4</v>
      </c>
      <c r="AE35" s="64"/>
      <c r="AF35" s="64">
        <v>50</v>
      </c>
    </row>
    <row r="36" spans="1:32" ht="12.75">
      <c r="A36" s="63" t="s">
        <v>179</v>
      </c>
      <c r="B36" s="63" t="s">
        <v>260</v>
      </c>
      <c r="D36" s="63" t="s">
        <v>27</v>
      </c>
      <c r="F36" s="64">
        <v>6031</v>
      </c>
      <c r="G36" s="64"/>
      <c r="H36" s="64">
        <v>6091</v>
      </c>
      <c r="I36" s="64"/>
      <c r="J36" s="64">
        <v>5810</v>
      </c>
      <c r="K36" s="64"/>
      <c r="L36" s="64">
        <v>5908</v>
      </c>
      <c r="M36" s="64"/>
      <c r="N36" s="64"/>
      <c r="O36" s="64"/>
      <c r="P36" s="64">
        <v>19070</v>
      </c>
      <c r="Q36" s="64"/>
      <c r="R36" s="64">
        <v>18799</v>
      </c>
      <c r="S36" s="64"/>
      <c r="T36" s="64">
        <v>19034</v>
      </c>
      <c r="U36" s="64"/>
      <c r="V36" s="64">
        <v>19043</v>
      </c>
      <c r="W36" s="64"/>
      <c r="X36" s="64"/>
      <c r="Y36" s="64"/>
      <c r="Z36" s="64"/>
      <c r="AA36" s="64"/>
      <c r="AB36" s="64">
        <v>0</v>
      </c>
      <c r="AC36" s="64"/>
      <c r="AD36" s="64">
        <v>0</v>
      </c>
      <c r="AE36" s="64"/>
      <c r="AF36" s="64">
        <v>0</v>
      </c>
    </row>
    <row r="37" spans="1:32" ht="12.75">
      <c r="A37" s="63" t="s">
        <v>179</v>
      </c>
      <c r="B37" s="63" t="s">
        <v>28</v>
      </c>
      <c r="D37" s="63" t="s">
        <v>293</v>
      </c>
      <c r="F37" s="64">
        <v>0.02</v>
      </c>
      <c r="G37" s="64"/>
      <c r="H37" s="64">
        <v>0.055</v>
      </c>
      <c r="I37" s="64"/>
      <c r="J37" s="64">
        <v>0.046</v>
      </c>
      <c r="K37" s="64"/>
      <c r="L37" s="64">
        <v>0.042</v>
      </c>
      <c r="M37" s="64"/>
      <c r="N37" s="64"/>
      <c r="O37" s="64"/>
      <c r="P37" s="64">
        <v>0.07</v>
      </c>
      <c r="Q37" s="64"/>
      <c r="R37" s="64">
        <v>0.041</v>
      </c>
      <c r="S37" s="64"/>
      <c r="T37" s="64">
        <v>0.054</v>
      </c>
      <c r="U37" s="64"/>
      <c r="V37" s="64">
        <v>0.041</v>
      </c>
      <c r="W37" s="64"/>
      <c r="X37" s="64"/>
      <c r="Y37" s="64"/>
      <c r="Z37" s="64"/>
      <c r="AA37" s="64"/>
      <c r="AB37" s="64">
        <v>0</v>
      </c>
      <c r="AC37" s="64"/>
      <c r="AD37" s="64">
        <v>0</v>
      </c>
      <c r="AE37" s="64"/>
      <c r="AF37" s="64">
        <v>0</v>
      </c>
    </row>
    <row r="38" spans="1:32" ht="12.75">
      <c r="A38" s="63" t="s">
        <v>179</v>
      </c>
      <c r="B38" s="63" t="s">
        <v>29</v>
      </c>
      <c r="D38" s="63" t="s">
        <v>285</v>
      </c>
      <c r="F38" s="94">
        <v>683087.0279146141</v>
      </c>
      <c r="G38" s="94"/>
      <c r="H38" s="94">
        <v>686831.2757201646</v>
      </c>
      <c r="I38" s="94"/>
      <c r="J38" s="94">
        <v>620232.1724709785</v>
      </c>
      <c r="K38" s="64"/>
      <c r="L38" s="64">
        <v>586250</v>
      </c>
      <c r="M38" s="64"/>
      <c r="N38" s="64"/>
      <c r="O38" s="64"/>
      <c r="P38" s="64">
        <v>82.3045267489712</v>
      </c>
      <c r="Q38" s="64"/>
      <c r="R38" s="94">
        <v>569.10569105691</v>
      </c>
      <c r="S38" s="64"/>
      <c r="T38" s="64">
        <v>25</v>
      </c>
      <c r="U38" s="64"/>
      <c r="V38" s="64">
        <v>25</v>
      </c>
      <c r="W38" s="64"/>
      <c r="X38" s="64"/>
      <c r="Y38" s="64"/>
      <c r="Z38" s="64"/>
      <c r="AA38" s="64"/>
      <c r="AB38" s="64"/>
      <c r="AC38" s="64"/>
      <c r="AD38" s="64"/>
      <c r="AE38" s="64"/>
      <c r="AF38" s="64"/>
    </row>
    <row r="39" spans="1:32" ht="12.75">
      <c r="A39" s="63" t="s">
        <v>179</v>
      </c>
      <c r="B39" s="63" t="s">
        <v>174</v>
      </c>
      <c r="D39" s="63" t="s">
        <v>285</v>
      </c>
      <c r="F39" s="64"/>
      <c r="G39" s="64"/>
      <c r="H39" s="64">
        <v>7.85</v>
      </c>
      <c r="I39" s="64"/>
      <c r="J39" s="64">
        <v>7.73</v>
      </c>
      <c r="K39" s="64"/>
      <c r="L39" s="64">
        <v>7.81</v>
      </c>
      <c r="M39" s="64"/>
      <c r="N39" s="64"/>
      <c r="O39" s="64"/>
      <c r="P39" s="64"/>
      <c r="Q39" s="64"/>
      <c r="R39" s="64">
        <v>7.93</v>
      </c>
      <c r="S39" s="64"/>
      <c r="T39" s="64">
        <v>7.89</v>
      </c>
      <c r="U39" s="64"/>
      <c r="V39" s="64">
        <v>7.73</v>
      </c>
      <c r="W39" s="64"/>
      <c r="X39" s="64"/>
      <c r="Y39" s="64"/>
      <c r="Z39" s="64"/>
      <c r="AA39" s="64"/>
      <c r="AB39" s="64">
        <v>726</v>
      </c>
      <c r="AC39" s="64"/>
      <c r="AD39" s="64">
        <v>721</v>
      </c>
      <c r="AE39" s="64"/>
      <c r="AF39" s="64">
        <v>713</v>
      </c>
    </row>
    <row r="40" spans="1:32" ht="12.75">
      <c r="A40" s="63" t="s">
        <v>179</v>
      </c>
      <c r="B40" s="63" t="s">
        <v>175</v>
      </c>
      <c r="D40" s="63" t="s">
        <v>285</v>
      </c>
      <c r="F40" s="64"/>
      <c r="G40" s="64"/>
      <c r="H40" s="64">
        <v>0.42</v>
      </c>
      <c r="I40" s="64"/>
      <c r="J40" s="64">
        <v>0.41</v>
      </c>
      <c r="K40" s="64"/>
      <c r="L40" s="64">
        <v>0.42</v>
      </c>
      <c r="M40" s="64"/>
      <c r="N40" s="64"/>
      <c r="O40" s="64"/>
      <c r="P40" s="64"/>
      <c r="Q40" s="64"/>
      <c r="R40" s="64">
        <v>0.43</v>
      </c>
      <c r="S40" s="64"/>
      <c r="T40" s="64">
        <v>0.42</v>
      </c>
      <c r="U40" s="64"/>
      <c r="V40" s="64">
        <v>0.41</v>
      </c>
      <c r="W40" s="64"/>
      <c r="X40" s="64"/>
      <c r="Y40" s="64"/>
      <c r="Z40" s="64"/>
      <c r="AA40" s="64"/>
      <c r="AB40" s="64">
        <v>261</v>
      </c>
      <c r="AC40" s="64"/>
      <c r="AD40" s="64">
        <v>261</v>
      </c>
      <c r="AE40" s="64"/>
      <c r="AF40" s="64">
        <v>261</v>
      </c>
    </row>
    <row r="41" spans="1:32" ht="12.75">
      <c r="A41" s="63" t="s">
        <v>179</v>
      </c>
      <c r="B41" s="63" t="s">
        <v>176</v>
      </c>
      <c r="D41" s="63" t="s">
        <v>285</v>
      </c>
      <c r="F41" s="64"/>
      <c r="G41" s="64"/>
      <c r="H41" s="64">
        <v>1.28</v>
      </c>
      <c r="I41" s="64"/>
      <c r="J41" s="64">
        <v>1.26</v>
      </c>
      <c r="K41" s="64"/>
      <c r="L41" s="64">
        <v>1.27</v>
      </c>
      <c r="M41" s="64"/>
      <c r="N41" s="64"/>
      <c r="O41" s="64"/>
      <c r="P41" s="64"/>
      <c r="Q41" s="64"/>
      <c r="R41" s="64">
        <v>1.3</v>
      </c>
      <c r="S41" s="64"/>
      <c r="T41" s="64">
        <v>1.29</v>
      </c>
      <c r="U41" s="64"/>
      <c r="V41" s="64">
        <v>1.26</v>
      </c>
      <c r="W41" s="64"/>
      <c r="X41" s="64"/>
      <c r="Y41" s="64"/>
      <c r="Z41" s="64"/>
      <c r="AA41" s="64"/>
      <c r="AB41" s="64">
        <v>1095</v>
      </c>
      <c r="AC41" s="64"/>
      <c r="AD41" s="64">
        <v>1095</v>
      </c>
      <c r="AE41" s="64"/>
      <c r="AF41" s="64">
        <v>1087</v>
      </c>
    </row>
    <row r="42" spans="1:32" ht="12.75">
      <c r="A42" s="63" t="s">
        <v>179</v>
      </c>
      <c r="B42" s="63" t="s">
        <v>178</v>
      </c>
      <c r="D42" s="63" t="s">
        <v>285</v>
      </c>
      <c r="F42" s="64"/>
      <c r="G42" s="64"/>
      <c r="H42" s="64">
        <v>1.16</v>
      </c>
      <c r="I42" s="64"/>
      <c r="J42" s="64">
        <v>1.14</v>
      </c>
      <c r="K42" s="64"/>
      <c r="L42" s="64">
        <v>1.15</v>
      </c>
      <c r="M42" s="64"/>
      <c r="N42" s="64"/>
      <c r="O42" s="64"/>
      <c r="P42" s="64"/>
      <c r="Q42" s="64"/>
      <c r="R42" s="64">
        <v>4.55</v>
      </c>
      <c r="S42" s="64"/>
      <c r="T42" s="64">
        <v>3.01</v>
      </c>
      <c r="U42" s="64"/>
      <c r="V42" s="64">
        <v>3.83</v>
      </c>
      <c r="W42" s="64"/>
      <c r="X42" s="64"/>
      <c r="Y42" s="64"/>
      <c r="Z42" s="64"/>
      <c r="AA42" s="64"/>
      <c r="AB42" s="64">
        <v>4727</v>
      </c>
      <c r="AC42" s="64"/>
      <c r="AD42" s="64">
        <v>4752</v>
      </c>
      <c r="AE42" s="64"/>
      <c r="AF42" s="64">
        <v>4695</v>
      </c>
    </row>
    <row r="43" spans="1:32" ht="12.75">
      <c r="A43" s="63" t="s">
        <v>179</v>
      </c>
      <c r="B43" s="63" t="s">
        <v>189</v>
      </c>
      <c r="D43" s="63" t="s">
        <v>285</v>
      </c>
      <c r="F43" s="94">
        <v>279.14614121510675</v>
      </c>
      <c r="G43" s="94"/>
      <c r="H43" s="94">
        <v>267.4897119341564</v>
      </c>
      <c r="I43" s="94"/>
      <c r="J43" s="94">
        <v>286.0696517412935</v>
      </c>
      <c r="K43" s="64"/>
      <c r="L43" s="64">
        <v>275</v>
      </c>
      <c r="M43" s="64"/>
      <c r="N43" s="64"/>
      <c r="O43" s="64"/>
      <c r="P43" s="64">
        <v>16</v>
      </c>
      <c r="Q43" s="64"/>
      <c r="R43" s="64">
        <v>13</v>
      </c>
      <c r="S43" s="64"/>
      <c r="T43" s="64">
        <v>14</v>
      </c>
      <c r="U43" s="64"/>
      <c r="V43" s="94">
        <v>33.73819163292847</v>
      </c>
      <c r="W43" s="64"/>
      <c r="X43" s="64"/>
      <c r="Y43" s="64"/>
      <c r="Z43" s="64"/>
      <c r="AA43" s="64"/>
      <c r="AB43" s="64"/>
      <c r="AC43" s="64"/>
      <c r="AD43" s="64"/>
      <c r="AE43" s="64"/>
      <c r="AF43" s="64"/>
    </row>
    <row r="44" spans="6:32" ht="12.75"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</row>
    <row r="45" spans="2:32" ht="12.75">
      <c r="B45" s="63" t="s">
        <v>41</v>
      </c>
      <c r="F45" s="64">
        <f>'emiss 2'!$G79</f>
        <v>6429</v>
      </c>
      <c r="G45" s="64"/>
      <c r="H45" s="64">
        <f>'emiss 2'!$I79</f>
        <v>6352</v>
      </c>
      <c r="I45" s="64"/>
      <c r="J45" s="64">
        <f>'emiss 2'!$K79</f>
        <v>6420</v>
      </c>
      <c r="K45" s="64"/>
      <c r="L45" s="64">
        <f>'emiss 2'!$M85</f>
        <v>5701</v>
      </c>
      <c r="M45" s="64"/>
      <c r="N45" s="64"/>
      <c r="O45" s="64"/>
      <c r="P45" s="64">
        <f>'emiss 2'!$G79</f>
        <v>6429</v>
      </c>
      <c r="Q45" s="64"/>
      <c r="R45" s="64">
        <f>'emiss 2'!$I79</f>
        <v>6352</v>
      </c>
      <c r="S45" s="64"/>
      <c r="T45" s="64">
        <f>'emiss 2'!$K79</f>
        <v>6420</v>
      </c>
      <c r="U45" s="64"/>
      <c r="V45" s="64">
        <f>'emiss 2'!$M85</f>
        <v>5701</v>
      </c>
      <c r="W45" s="64"/>
      <c r="X45" s="64"/>
      <c r="Y45" s="64"/>
      <c r="Z45" s="64">
        <f>'emiss 2'!$G79</f>
        <v>6429</v>
      </c>
      <c r="AA45" s="64"/>
      <c r="AB45" s="64">
        <f>'emiss 2'!$I79</f>
        <v>6352</v>
      </c>
      <c r="AC45" s="64"/>
      <c r="AD45" s="64">
        <f>'emiss 2'!$K79</f>
        <v>6420</v>
      </c>
      <c r="AE45" s="64"/>
      <c r="AF45" s="64">
        <f>'emiss 2'!$M85</f>
        <v>5701</v>
      </c>
    </row>
    <row r="46" spans="2:32" ht="12.75">
      <c r="B46" s="63" t="s">
        <v>42</v>
      </c>
      <c r="F46" s="64">
        <f>'emiss 2'!$G78</f>
        <v>12.3</v>
      </c>
      <c r="G46" s="64"/>
      <c r="H46" s="64">
        <f>'emiss 2'!$I78</f>
        <v>12.1</v>
      </c>
      <c r="I46" s="64"/>
      <c r="J46" s="64">
        <f>'emiss 2'!$K78</f>
        <v>12.6</v>
      </c>
      <c r="K46" s="64"/>
      <c r="L46" s="64">
        <f>'emiss 2'!$M84</f>
        <v>12.2</v>
      </c>
      <c r="M46" s="64"/>
      <c r="N46" s="64"/>
      <c r="O46" s="64"/>
      <c r="P46" s="64">
        <f>'emiss 2'!$G78</f>
        <v>12.3</v>
      </c>
      <c r="Q46" s="64"/>
      <c r="R46" s="64">
        <f>'emiss 2'!$I78</f>
        <v>12.1</v>
      </c>
      <c r="S46" s="64"/>
      <c r="T46" s="64">
        <f>'emiss 2'!$K78</f>
        <v>12.6</v>
      </c>
      <c r="U46" s="64"/>
      <c r="V46" s="64">
        <f>'emiss 2'!$M84</f>
        <v>12.2</v>
      </c>
      <c r="W46" s="64"/>
      <c r="X46" s="64"/>
      <c r="Y46" s="64"/>
      <c r="Z46" s="64">
        <f>'emiss 2'!$G78</f>
        <v>12.3</v>
      </c>
      <c r="AA46" s="64"/>
      <c r="AB46" s="64">
        <f>'emiss 2'!$I78</f>
        <v>12.1</v>
      </c>
      <c r="AC46" s="64"/>
      <c r="AD46" s="64">
        <f>'emiss 2'!$K78</f>
        <v>12.6</v>
      </c>
      <c r="AE46" s="64"/>
      <c r="AF46" s="64">
        <f>'emiss 2'!$M84</f>
        <v>12.2</v>
      </c>
    </row>
    <row r="47" spans="6:32" ht="12.75"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</row>
    <row r="48" spans="2:44" ht="12.75">
      <c r="B48" s="63" t="s">
        <v>28</v>
      </c>
      <c r="D48" s="63" t="s">
        <v>43</v>
      </c>
      <c r="F48" s="66">
        <f>F$35*454*F37/100/F$45/0.0283/60*14/(21-F$46)*1000</f>
        <v>32.60549545355529</v>
      </c>
      <c r="G48" s="64"/>
      <c r="H48" s="66">
        <f>H$35*454*H37/100/H$45/0.0283/60*14/(21-H$46)*1000</f>
        <v>88.49417190648208</v>
      </c>
      <c r="I48" s="64"/>
      <c r="J48" s="66">
        <f>J$35*454*J37/100/J$45/0.0283/60*14/(21-J$46)*1000</f>
        <v>77.01352883546338</v>
      </c>
      <c r="K48" s="64"/>
      <c r="L48" s="66">
        <f>L$35*454*L37/100/L$45/0.0283/60*14/(21-L$46)*1000</f>
        <v>75.20955543836659</v>
      </c>
      <c r="M48" s="64"/>
      <c r="N48" s="64"/>
      <c r="O48" s="64"/>
      <c r="P48" s="66">
        <f>P$35*454*P37/100/P$45/0.0283/60*14/(21-P$46)*1000</f>
        <v>11.383815223008531</v>
      </c>
      <c r="Q48" s="64"/>
      <c r="R48" s="66">
        <f>R$35*454*R37/100/R$45/0.0283/60*14/(21-R$46)*1000</f>
        <v>6.678280717162577</v>
      </c>
      <c r="S48" s="64"/>
      <c r="T48" s="66">
        <f>T$35*454*T37/100/T$45/0.0283/60*14/(21-T$46)*1000</f>
        <v>11.24467487863677</v>
      </c>
      <c r="U48" s="64"/>
      <c r="V48" s="66">
        <f>V$35*454*V37/100/V$45/0.0283/60*14/(21-V$46)*1000</f>
        <v>9.067228189575454</v>
      </c>
      <c r="W48" s="64"/>
      <c r="X48" s="64"/>
      <c r="Y48" s="64"/>
      <c r="Z48" s="66"/>
      <c r="AA48" s="64"/>
      <c r="AB48" s="66">
        <f>AB$35*454*AB37/100/AB$45/0.0283/60*14/(21-AB$46)*1000</f>
        <v>0</v>
      </c>
      <c r="AC48" s="64"/>
      <c r="AD48" s="66">
        <f>AD$35*454*AD37/100/AD$45/0.0283/60*14/(21-AD$46)*1000</f>
        <v>0</v>
      </c>
      <c r="AE48" s="64"/>
      <c r="AF48" s="66">
        <f>AF$35*454*AF37/100/AF$45/0.0283/60*14/(21-AF$46)*1000</f>
        <v>0</v>
      </c>
      <c r="AJ48" s="66">
        <f>F48+P48+Z48</f>
        <v>43.989310676563825</v>
      </c>
      <c r="AL48" s="66">
        <f aca="true" t="shared" si="5" ref="AL48:AL53">H48+R48+AB48</f>
        <v>95.17245262364466</v>
      </c>
      <c r="AN48" s="66">
        <f aca="true" t="shared" si="6" ref="AN48:AN53">J48+T48+AD48</f>
        <v>88.25820371410015</v>
      </c>
      <c r="AP48" s="66">
        <f aca="true" t="shared" si="7" ref="AP48:AP53">L48+V48+AF48</f>
        <v>84.27678362794205</v>
      </c>
      <c r="AR48" s="66">
        <f aca="true" t="shared" si="8" ref="AR48:AR53">AVERAGE(AJ48,AL48,AN48,AP48)</f>
        <v>77.92418766056267</v>
      </c>
    </row>
    <row r="49" spans="2:44" ht="12.75">
      <c r="B49" s="63" t="s">
        <v>29</v>
      </c>
      <c r="D49" s="63" t="s">
        <v>38</v>
      </c>
      <c r="F49" s="66">
        <f>F$35*454*F38/1000000/F$45/0.0283/60*14/(21-F$46)*1000000</f>
        <v>111361954.91526274</v>
      </c>
      <c r="G49" s="64"/>
      <c r="H49" s="66">
        <f>H$35*454*H38/1000000/H$45/0.0283/60*14/(21-H$46)*1000000</f>
        <v>110510118.15332483</v>
      </c>
      <c r="I49" s="64"/>
      <c r="J49" s="66">
        <f>J$35*454*J38/1000000/J$45/0.0283/60*14/(21-J$46)*1000000</f>
        <v>103839713.69407783</v>
      </c>
      <c r="K49" s="64"/>
      <c r="L49" s="66">
        <f>L$35*454*L38/1000000/L$45/0.0283/60*14/(21-L$46)*1000000</f>
        <v>104980004.46605332</v>
      </c>
      <c r="M49" s="64"/>
      <c r="N49" s="64"/>
      <c r="O49" s="64"/>
      <c r="P49" s="66">
        <f>P$35*454*P38/1000000/P$45/0.0283/60*14/(21-P$46)*1000000</f>
        <v>1338.4850350392153</v>
      </c>
      <c r="Q49" s="64"/>
      <c r="R49" s="66">
        <f>R$35*454*R38/1000000/R$45/0.0283/60*14/(21-R$46)*1000000</f>
        <v>9269.872103933769</v>
      </c>
      <c r="S49" s="64"/>
      <c r="T49" s="66">
        <f>T$35*454*T38/1000000/T$45/0.0283/60*14/(21-T$46)*1000000</f>
        <v>520.5867999368875</v>
      </c>
      <c r="U49" s="64"/>
      <c r="V49" s="66">
        <f>V$35*454*V38/1000000/V$45/0.0283/60*14/(21-V$46)*1000000</f>
        <v>552.8797676570399</v>
      </c>
      <c r="W49" s="64"/>
      <c r="X49" s="64"/>
      <c r="Y49" s="64"/>
      <c r="Z49" s="66"/>
      <c r="AA49" s="64"/>
      <c r="AB49" s="66">
        <f>AB$35*454*AB38/1000000/AB$45/0.0283/60*14/(21-AB$46)*1000000</f>
        <v>0</v>
      </c>
      <c r="AC49" s="64"/>
      <c r="AD49" s="66">
        <f>AD$35*454*AD38/1000000/AD$45/0.0283/60*14/(21-AD$46)*1000000</f>
        <v>0</v>
      </c>
      <c r="AE49" s="64"/>
      <c r="AF49" s="66">
        <f>AF$35*454*AF38/1000000/AF$45/0.0283/60*14/(21-AF$46)*1000000</f>
        <v>0</v>
      </c>
      <c r="AJ49" s="66">
        <f>F49+P49+Z49</f>
        <v>111363293.40029778</v>
      </c>
      <c r="AL49" s="66">
        <f t="shared" si="5"/>
        <v>110519388.02542876</v>
      </c>
      <c r="AN49" s="66">
        <f t="shared" si="6"/>
        <v>103840234.28087777</v>
      </c>
      <c r="AP49" s="66">
        <f t="shared" si="7"/>
        <v>104980557.34582098</v>
      </c>
      <c r="AR49" s="66">
        <f t="shared" si="8"/>
        <v>107675868.26310632</v>
      </c>
    </row>
    <row r="50" spans="2:44" ht="12.75">
      <c r="B50" s="63" t="s">
        <v>174</v>
      </c>
      <c r="D50" s="63" t="s">
        <v>38</v>
      </c>
      <c r="F50" s="66"/>
      <c r="G50" s="64"/>
      <c r="H50" s="66">
        <f>H$35*454*H39/1000000/H$45/0.0283/60*14/(21-H$46)*1000000</f>
        <v>1263.0531808470625</v>
      </c>
      <c r="I50" s="64"/>
      <c r="J50" s="66">
        <f>J$35*454*J39/1000000/J$45/0.0283/60*14/(21-J$46)*1000000</f>
        <v>1294.162125865504</v>
      </c>
      <c r="K50" s="64"/>
      <c r="L50" s="66">
        <f>L$35*454*L39/1000000/L$45/0.0283/60*14/(21-L$46)*1000000</f>
        <v>1398.5395904134357</v>
      </c>
      <c r="M50" s="64"/>
      <c r="N50" s="64"/>
      <c r="O50" s="64"/>
      <c r="P50" s="66">
        <f>P$35*454*P39/1000000/P$45/0.0283/60*14/(21-P$46)*1000000</f>
        <v>0</v>
      </c>
      <c r="Q50" s="64"/>
      <c r="R50" s="66">
        <f>R$35*454*R39/1000000/R$45/0.0283/60*14/(21-R$46)*1000000</f>
        <v>129.16772216365663</v>
      </c>
      <c r="S50" s="64"/>
      <c r="T50" s="66">
        <f>T$35*454*T39/1000000/T$45/0.0283/60*14/(21-T$46)*1000000</f>
        <v>164.2971940600817</v>
      </c>
      <c r="U50" s="64"/>
      <c r="V50" s="66">
        <f>V$35*454*V39/1000000/V$45/0.0283/60*14/(21-V$46)*1000000</f>
        <v>170.95042415955675</v>
      </c>
      <c r="W50" s="64"/>
      <c r="X50" s="64"/>
      <c r="Y50" s="64"/>
      <c r="Z50" s="66"/>
      <c r="AA50" s="64"/>
      <c r="AB50" s="66">
        <f>AB$35*454*AB39/1000000/AB$45/0.0283/60*14/(21-AB$46)*1000000</f>
        <v>2442.0021363625765</v>
      </c>
      <c r="AC50" s="64"/>
      <c r="AD50" s="66">
        <f>AD$35*454*AD39/1000000/AD$45/0.0283/60*14/(21-AD$46)*1000000</f>
        <v>2572.351260477478</v>
      </c>
      <c r="AE50" s="64"/>
      <c r="AF50" s="66">
        <f>AF$35*454*AF39/1000000/AF$45/0.0283/60*14/(21-AF$46)*1000000</f>
        <v>2659.9411223985794</v>
      </c>
      <c r="AJ50" s="66"/>
      <c r="AL50" s="66">
        <f t="shared" si="5"/>
        <v>3834.2230393732957</v>
      </c>
      <c r="AN50" s="66">
        <f t="shared" si="6"/>
        <v>4030.810580403064</v>
      </c>
      <c r="AP50" s="66">
        <f t="shared" si="7"/>
        <v>4229.431136971572</v>
      </c>
      <c r="AR50" s="66">
        <f t="shared" si="8"/>
        <v>4031.4882522493103</v>
      </c>
    </row>
    <row r="51" spans="2:44" ht="12.75">
      <c r="B51" s="63" t="s">
        <v>175</v>
      </c>
      <c r="D51" s="63" t="s">
        <v>38</v>
      </c>
      <c r="F51" s="66"/>
      <c r="G51" s="64"/>
      <c r="H51" s="66">
        <f>H$35*454*H40/1000000/H$45/0.0283/60*14/(21-H$46)*1000000</f>
        <v>67.57736763767723</v>
      </c>
      <c r="I51" s="64"/>
      <c r="J51" s="66">
        <f>J$35*454*J40/1000000/J$45/0.0283/60*14/(21-J$46)*1000000</f>
        <v>68.64249309247822</v>
      </c>
      <c r="K51" s="64"/>
      <c r="L51" s="66">
        <f>L$35*454*L40/1000000/L$45/0.0283/60*14/(21-L$46)*1000000</f>
        <v>75.20955543836656</v>
      </c>
      <c r="M51" s="64"/>
      <c r="N51" s="64"/>
      <c r="O51" s="64"/>
      <c r="P51" s="66">
        <f>P$35*454*P40/1000000/P$45/0.0283/60*14/(21-P$46)*1000000</f>
        <v>0</v>
      </c>
      <c r="Q51" s="64"/>
      <c r="R51" s="66">
        <f>R$35*454*R40/1000000/R$45/0.0283/60*14/(21-R$46)*1000000</f>
        <v>7.004050508243677</v>
      </c>
      <c r="S51" s="64"/>
      <c r="T51" s="66">
        <f>T$35*454*T40/1000000/T$45/0.0283/60*14/(21-T$46)*1000000</f>
        <v>8.745858238939709</v>
      </c>
      <c r="U51" s="64"/>
      <c r="V51" s="66">
        <f>V$35*454*V40/1000000/V$45/0.0283/60*14/(21-V$46)*1000000</f>
        <v>9.067228189575454</v>
      </c>
      <c r="W51" s="64"/>
      <c r="X51" s="64"/>
      <c r="Y51" s="64"/>
      <c r="Z51" s="66"/>
      <c r="AA51" s="64"/>
      <c r="AB51" s="66">
        <f>AB$35*454*AB40/1000000/AB$45/0.0283/60*14/(21-AB$46)*1000000</f>
        <v>877.9098589402653</v>
      </c>
      <c r="AC51" s="64"/>
      <c r="AD51" s="66">
        <f>AD$35*454*AD40/1000000/AD$45/0.0283/60*14/(21-AD$46)*1000000</f>
        <v>931.1840207831093</v>
      </c>
      <c r="AE51" s="64"/>
      <c r="AF51" s="66">
        <f>AF$35*454*AF40/1000000/AF$45/0.0283/60*14/(21-AF$46)*1000000</f>
        <v>973.6951373717102</v>
      </c>
      <c r="AJ51" s="66"/>
      <c r="AL51" s="66">
        <f t="shared" si="5"/>
        <v>952.4912770861862</v>
      </c>
      <c r="AN51" s="66">
        <f t="shared" si="6"/>
        <v>1008.5723721145272</v>
      </c>
      <c r="AP51" s="66">
        <f t="shared" si="7"/>
        <v>1057.9719209996522</v>
      </c>
      <c r="AR51" s="66">
        <f t="shared" si="8"/>
        <v>1006.3451900667884</v>
      </c>
    </row>
    <row r="52" spans="2:44" ht="12.75">
      <c r="B52" s="63" t="s">
        <v>176</v>
      </c>
      <c r="D52" s="63" t="s">
        <v>38</v>
      </c>
      <c r="F52" s="66"/>
      <c r="G52" s="64"/>
      <c r="H52" s="66">
        <f>H$35*454*H41/1000000/H$45/0.0283/60*14/(21-H$46)*1000000</f>
        <v>205.95007280054014</v>
      </c>
      <c r="I52" s="64"/>
      <c r="J52" s="66">
        <f>J$35*454*J41/1000000/J$45/0.0283/60*14/(21-J$46)*1000000</f>
        <v>210.95010072322577</v>
      </c>
      <c r="K52" s="64"/>
      <c r="L52" s="66">
        <f>L$35*454*L41/1000000/L$45/0.0283/60*14/(21-L$46)*1000000</f>
        <v>227.41937001601318</v>
      </c>
      <c r="M52" s="64"/>
      <c r="N52" s="64"/>
      <c r="O52" s="64"/>
      <c r="P52" s="66">
        <f>P$35*454*P41/1000000/P$45/0.0283/60*14/(21-P$46)*1000000</f>
        <v>0</v>
      </c>
      <c r="Q52" s="64"/>
      <c r="R52" s="66">
        <f>R$35*454*R41/1000000/R$45/0.0283/60*14/(21-R$46)*1000000</f>
        <v>21.175036420271585</v>
      </c>
      <c r="S52" s="64"/>
      <c r="T52" s="66">
        <f>T$35*454*T41/1000000/T$45/0.0283/60*14/(21-T$46)*1000000</f>
        <v>26.862278876743392</v>
      </c>
      <c r="U52" s="64"/>
      <c r="V52" s="66">
        <f>V$35*454*V41/1000000/V$45/0.0283/60*14/(21-V$46)*1000000</f>
        <v>27.865140289914805</v>
      </c>
      <c r="W52" s="64"/>
      <c r="X52" s="64"/>
      <c r="Y52" s="64"/>
      <c r="Z52" s="66"/>
      <c r="AA52" s="64"/>
      <c r="AB52" s="66">
        <f>AB$35*454*AB41/1000000/AB$45/0.0283/60*14/(21-AB$46)*1000000</f>
        <v>3683.185040381574</v>
      </c>
      <c r="AC52" s="64"/>
      <c r="AD52" s="66">
        <f>AD$35*454*AD41/1000000/AD$45/0.0283/60*14/(21-AD$46)*1000000</f>
        <v>3906.691581446379</v>
      </c>
      <c r="AE52" s="64"/>
      <c r="AF52" s="66">
        <f>AF$35*454*AF41/1000000/AF$45/0.0283/60*14/(21-AF$46)*1000000</f>
        <v>4055.1977560270075</v>
      </c>
      <c r="AJ52" s="66"/>
      <c r="AL52" s="66">
        <f t="shared" si="5"/>
        <v>3910.3101496023855</v>
      </c>
      <c r="AN52" s="66">
        <f t="shared" si="6"/>
        <v>4144.503961046348</v>
      </c>
      <c r="AP52" s="66">
        <f t="shared" si="7"/>
        <v>4310.482266332935</v>
      </c>
      <c r="AR52" s="66">
        <f t="shared" si="8"/>
        <v>4121.765458993889</v>
      </c>
    </row>
    <row r="53" spans="2:44" ht="12.75">
      <c r="B53" s="63" t="s">
        <v>178</v>
      </c>
      <c r="D53" s="63" t="s">
        <v>38</v>
      </c>
      <c r="F53" s="66"/>
      <c r="G53" s="64"/>
      <c r="H53" s="66">
        <f>H$35*454*H42/1000000/H$45/0.0283/60*14/(21-H$46)*1000000</f>
        <v>186.64225347548944</v>
      </c>
      <c r="I53" s="64"/>
      <c r="J53" s="66">
        <f>J$35*454*J42/1000000/J$45/0.0283/60*14/(21-J$46)*1000000</f>
        <v>190.85961494006142</v>
      </c>
      <c r="K53" s="64"/>
      <c r="L53" s="66">
        <f>L$35*454*L42/1000000/L$45/0.0283/60*14/(21-L$46)*1000000</f>
        <v>205.9309256050513</v>
      </c>
      <c r="M53" s="64"/>
      <c r="N53" s="64"/>
      <c r="O53" s="64"/>
      <c r="P53" s="66">
        <f>P$35*454*P42/1000000/P$45/0.0283/60*14/(21-P$46)*1000000</f>
        <v>0</v>
      </c>
      <c r="Q53" s="64"/>
      <c r="R53" s="66">
        <f>R$35*454*R42/1000000/R$45/0.0283/60*14/(21-R$46)*1000000</f>
        <v>74.11262747095053</v>
      </c>
      <c r="S53" s="64"/>
      <c r="T53" s="66">
        <f>T$35*454*T42/1000000/T$45/0.0283/60*14/(21-T$46)*1000000</f>
        <v>62.678650712401264</v>
      </c>
      <c r="U53" s="64"/>
      <c r="V53" s="66">
        <f>V$35*454*V42/1000000/V$45/0.0283/60*14/(21-V$46)*1000000</f>
        <v>84.70118040505851</v>
      </c>
      <c r="W53" s="64"/>
      <c r="X53" s="64"/>
      <c r="Y53" s="64"/>
      <c r="Z53" s="66"/>
      <c r="AA53" s="64"/>
      <c r="AB53" s="66">
        <f>AB$35*454*AB42/1000000/AB$45/0.0283/60*14/(21-AB$46)*1000000</f>
        <v>15899.923000807024</v>
      </c>
      <c r="AC53" s="64"/>
      <c r="AD53" s="66">
        <f>AD$35*454*AD42/1000000/AD$45/0.0283/60*14/(21-AD$46)*1000000</f>
        <v>16953.97113701661</v>
      </c>
      <c r="AE53" s="64"/>
      <c r="AF53" s="66">
        <f>AF$35*454*AF42/1000000/AF$45/0.0283/60*14/(21-AF$46)*1000000</f>
        <v>17515.320574560075</v>
      </c>
      <c r="AJ53" s="66"/>
      <c r="AL53" s="66">
        <f t="shared" si="5"/>
        <v>16160.677881753465</v>
      </c>
      <c r="AN53" s="66">
        <f t="shared" si="6"/>
        <v>17207.509402669075</v>
      </c>
      <c r="AP53" s="66">
        <f t="shared" si="7"/>
        <v>17805.952680570186</v>
      </c>
      <c r="AR53" s="66">
        <f t="shared" si="8"/>
        <v>17058.04665499758</v>
      </c>
    </row>
    <row r="54" spans="6:32" ht="12.75">
      <c r="F54" s="66"/>
      <c r="G54" s="64"/>
      <c r="H54" s="66"/>
      <c r="I54" s="64"/>
      <c r="J54" s="66"/>
      <c r="K54" s="64"/>
      <c r="L54" s="66"/>
      <c r="M54" s="64"/>
      <c r="N54" s="64"/>
      <c r="O54" s="64"/>
      <c r="P54" s="66"/>
      <c r="Q54" s="64"/>
      <c r="R54" s="66"/>
      <c r="S54" s="64"/>
      <c r="T54" s="66"/>
      <c r="U54" s="64"/>
      <c r="V54" s="66"/>
      <c r="W54" s="64"/>
      <c r="X54" s="64"/>
      <c r="Y54" s="64"/>
      <c r="Z54" s="66"/>
      <c r="AA54" s="64"/>
      <c r="AB54" s="66"/>
      <c r="AC54" s="64"/>
      <c r="AD54" s="66"/>
      <c r="AE54" s="64"/>
      <c r="AF54" s="66"/>
    </row>
    <row r="55" spans="2:44" ht="12.75">
      <c r="B55" s="63" t="s">
        <v>39</v>
      </c>
      <c r="D55" s="63" t="s">
        <v>38</v>
      </c>
      <c r="F55" s="66"/>
      <c r="G55" s="64"/>
      <c r="H55" s="66">
        <f>H51</f>
        <v>67.57736763767723</v>
      </c>
      <c r="I55" s="64"/>
      <c r="J55" s="66">
        <f>J51</f>
        <v>68.64249309247822</v>
      </c>
      <c r="K55" s="64"/>
      <c r="L55" s="66">
        <f>L51</f>
        <v>75.20955543836656</v>
      </c>
      <c r="M55" s="64"/>
      <c r="N55" s="64"/>
      <c r="O55" s="64"/>
      <c r="P55" s="66">
        <f>P51</f>
        <v>0</v>
      </c>
      <c r="Q55" s="64"/>
      <c r="R55" s="66">
        <f>R51</f>
        <v>7.004050508243677</v>
      </c>
      <c r="S55" s="64"/>
      <c r="T55" s="66">
        <f>T51</f>
        <v>8.745858238939709</v>
      </c>
      <c r="U55" s="64"/>
      <c r="V55" s="66">
        <f>V51</f>
        <v>9.067228189575454</v>
      </c>
      <c r="W55" s="64"/>
      <c r="X55" s="64"/>
      <c r="Y55" s="64"/>
      <c r="Z55" s="66"/>
      <c r="AA55" s="64"/>
      <c r="AB55" s="66">
        <f>AB51</f>
        <v>877.9098589402653</v>
      </c>
      <c r="AC55" s="64"/>
      <c r="AD55" s="66">
        <f>AD51</f>
        <v>931.1840207831093</v>
      </c>
      <c r="AE55" s="64"/>
      <c r="AF55" s="66">
        <f>AF51</f>
        <v>973.6951373717102</v>
      </c>
      <c r="AJ55" s="66"/>
      <c r="AL55" s="66">
        <f>H55+R55+AB55</f>
        <v>952.4912770861862</v>
      </c>
      <c r="AN55" s="66">
        <f>J55+T55+AD55</f>
        <v>1008.5723721145272</v>
      </c>
      <c r="AP55" s="66">
        <f>L55+V55+AF55</f>
        <v>1057.9719209996522</v>
      </c>
      <c r="AR55" s="66">
        <f>AVERAGE(AJ55,AL55,AN55,AP55)</f>
        <v>1006.3451900667884</v>
      </c>
    </row>
    <row r="56" spans="2:44" ht="12.75">
      <c r="B56" s="63" t="s">
        <v>40</v>
      </c>
      <c r="D56" s="63" t="s">
        <v>38</v>
      </c>
      <c r="F56" s="66"/>
      <c r="G56" s="64"/>
      <c r="H56" s="66">
        <f>H50+H52</f>
        <v>1469.0032536476026</v>
      </c>
      <c r="I56" s="64"/>
      <c r="J56" s="66">
        <f>J50+J52</f>
        <v>1505.1122265887298</v>
      </c>
      <c r="K56" s="64"/>
      <c r="L56" s="66">
        <f>L50+L52</f>
        <v>1625.9589604294488</v>
      </c>
      <c r="M56" s="64"/>
      <c r="N56" s="64"/>
      <c r="O56" s="64"/>
      <c r="P56" s="66">
        <f>P50+P52</f>
        <v>0</v>
      </c>
      <c r="Q56" s="64"/>
      <c r="R56" s="66">
        <f>R50+R52</f>
        <v>150.34275858392823</v>
      </c>
      <c r="S56" s="64"/>
      <c r="T56" s="66">
        <f>T50+T52</f>
        <v>191.1594729368251</v>
      </c>
      <c r="U56" s="64"/>
      <c r="V56" s="66">
        <f>V50+V52</f>
        <v>198.81556444947154</v>
      </c>
      <c r="W56" s="64"/>
      <c r="X56" s="64"/>
      <c r="Y56" s="64"/>
      <c r="Z56" s="66"/>
      <c r="AA56" s="64"/>
      <c r="AB56" s="66">
        <f>AB50+AB52</f>
        <v>6125.18717674415</v>
      </c>
      <c r="AC56" s="64"/>
      <c r="AD56" s="66">
        <f>AD50+AD52</f>
        <v>6479.042841923857</v>
      </c>
      <c r="AE56" s="64"/>
      <c r="AF56" s="66">
        <f>AF50+AF52</f>
        <v>6715.138878425587</v>
      </c>
      <c r="AJ56" s="66"/>
      <c r="AL56" s="66">
        <f>H56+R56+AB56</f>
        <v>7744.533188975681</v>
      </c>
      <c r="AN56" s="66">
        <f>J56+T56+AD56</f>
        <v>8175.314541449412</v>
      </c>
      <c r="AP56" s="66">
        <f>L56+V56+AF56</f>
        <v>8539.913403304507</v>
      </c>
      <c r="AR56" s="66">
        <f>AVERAGE(AJ56,AL56,AN56,AP56)</f>
        <v>8153.253711243199</v>
      </c>
    </row>
    <row r="57" spans="6:32" ht="12.75"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</row>
    <row r="58" spans="2:32" ht="12.75">
      <c r="B58" s="45" t="s">
        <v>188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</row>
    <row r="59" spans="6:32" ht="12.75"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</row>
    <row r="60" spans="1:44" ht="12.75">
      <c r="A60" s="71"/>
      <c r="B60" s="71" t="s">
        <v>283</v>
      </c>
      <c r="C60" s="71"/>
      <c r="D60" s="71"/>
      <c r="E60" s="71"/>
      <c r="F60" s="71" t="s">
        <v>280</v>
      </c>
      <c r="G60" s="71"/>
      <c r="H60" s="71" t="s">
        <v>280</v>
      </c>
      <c r="I60" s="71"/>
      <c r="J60" s="71" t="s">
        <v>280</v>
      </c>
      <c r="L60" s="71" t="s">
        <v>280</v>
      </c>
      <c r="N60" s="71" t="s">
        <v>280</v>
      </c>
      <c r="P60" s="63" t="s">
        <v>281</v>
      </c>
      <c r="R60" s="63" t="s">
        <v>281</v>
      </c>
      <c r="T60" s="63" t="s">
        <v>281</v>
      </c>
      <c r="V60" s="63" t="s">
        <v>281</v>
      </c>
      <c r="X60" s="63" t="s">
        <v>281</v>
      </c>
      <c r="Z60" s="63" t="s">
        <v>282</v>
      </c>
      <c r="AB60" s="63" t="s">
        <v>282</v>
      </c>
      <c r="AD60" s="63" t="s">
        <v>282</v>
      </c>
      <c r="AF60" s="63" t="s">
        <v>282</v>
      </c>
      <c r="AH60" s="63" t="s">
        <v>282</v>
      </c>
      <c r="AJ60" s="63" t="s">
        <v>80</v>
      </c>
      <c r="AL60" s="63" t="s">
        <v>80</v>
      </c>
      <c r="AN60" s="63" t="s">
        <v>80</v>
      </c>
      <c r="AP60" s="63" t="s">
        <v>80</v>
      </c>
      <c r="AR60" s="63" t="s">
        <v>80</v>
      </c>
    </row>
    <row r="61" spans="1:44" ht="12.75">
      <c r="A61" s="71"/>
      <c r="B61" s="71" t="s">
        <v>284</v>
      </c>
      <c r="C61" s="71"/>
      <c r="D61" s="71"/>
      <c r="E61" s="71"/>
      <c r="F61" s="71" t="s">
        <v>286</v>
      </c>
      <c r="G61" s="71"/>
      <c r="H61" s="71" t="s">
        <v>286</v>
      </c>
      <c r="I61" s="71"/>
      <c r="J61" s="71" t="s">
        <v>286</v>
      </c>
      <c r="L61" s="71" t="s">
        <v>286</v>
      </c>
      <c r="N61" s="71" t="s">
        <v>286</v>
      </c>
      <c r="P61" s="63" t="s">
        <v>287</v>
      </c>
      <c r="R61" s="63" t="s">
        <v>287</v>
      </c>
      <c r="T61" s="63" t="s">
        <v>287</v>
      </c>
      <c r="V61" s="63" t="s">
        <v>287</v>
      </c>
      <c r="X61" s="63" t="s">
        <v>287</v>
      </c>
      <c r="Z61" s="63" t="s">
        <v>282</v>
      </c>
      <c r="AB61" s="63" t="s">
        <v>282</v>
      </c>
      <c r="AD61" s="63" t="s">
        <v>282</v>
      </c>
      <c r="AF61" s="63" t="s">
        <v>282</v>
      </c>
      <c r="AH61" s="63" t="s">
        <v>282</v>
      </c>
      <c r="AJ61" s="63" t="s">
        <v>80</v>
      </c>
      <c r="AL61" s="63" t="s">
        <v>80</v>
      </c>
      <c r="AN61" s="63" t="s">
        <v>80</v>
      </c>
      <c r="AP61" s="63" t="s">
        <v>80</v>
      </c>
      <c r="AR61" s="63" t="s">
        <v>80</v>
      </c>
    </row>
    <row r="62" spans="1:32" ht="12.75">
      <c r="A62" s="63" t="s">
        <v>188</v>
      </c>
      <c r="B62" s="63" t="s">
        <v>259</v>
      </c>
      <c r="D62" s="63" t="s">
        <v>33</v>
      </c>
      <c r="F62" s="64">
        <v>2412</v>
      </c>
      <c r="G62" s="64"/>
      <c r="H62" s="64">
        <v>2340</v>
      </c>
      <c r="I62" s="64"/>
      <c r="J62" s="64">
        <v>2430</v>
      </c>
      <c r="K62" s="64"/>
      <c r="L62" s="64"/>
      <c r="M62" s="64"/>
      <c r="N62" s="64"/>
      <c r="O62" s="64"/>
      <c r="P62" s="64">
        <v>420</v>
      </c>
      <c r="Q62" s="64"/>
      <c r="R62" s="64">
        <v>350.4</v>
      </c>
      <c r="S62" s="64"/>
      <c r="T62" s="64">
        <v>256.8</v>
      </c>
      <c r="U62" s="64"/>
      <c r="V62" s="64"/>
      <c r="W62" s="64"/>
      <c r="X62" s="64"/>
      <c r="Y62" s="64"/>
      <c r="Z62" s="64">
        <v>49.4</v>
      </c>
      <c r="AA62" s="64"/>
      <c r="AB62" s="64">
        <v>49.4</v>
      </c>
      <c r="AC62" s="64"/>
      <c r="AD62" s="64">
        <v>46.6</v>
      </c>
      <c r="AE62" s="64"/>
      <c r="AF62" s="64"/>
    </row>
    <row r="63" spans="1:32" ht="12.75">
      <c r="A63" s="63" t="s">
        <v>188</v>
      </c>
      <c r="B63" s="63" t="s">
        <v>260</v>
      </c>
      <c r="D63" s="63" t="s">
        <v>27</v>
      </c>
      <c r="F63" s="64">
        <v>7883</v>
      </c>
      <c r="G63" s="64"/>
      <c r="H63" s="64">
        <v>7092</v>
      </c>
      <c r="I63" s="64"/>
      <c r="J63" s="64">
        <v>6865</v>
      </c>
      <c r="K63" s="64"/>
      <c r="L63" s="64"/>
      <c r="M63" s="64"/>
      <c r="N63" s="64"/>
      <c r="O63" s="64"/>
      <c r="P63" s="64">
        <v>18978</v>
      </c>
      <c r="Q63" s="64"/>
      <c r="R63" s="64">
        <v>19355</v>
      </c>
      <c r="S63" s="64"/>
      <c r="T63" s="64">
        <v>19145</v>
      </c>
      <c r="U63" s="64"/>
      <c r="V63" s="64"/>
      <c r="W63" s="64"/>
      <c r="X63" s="64"/>
      <c r="Y63" s="64"/>
      <c r="Z63" s="64">
        <v>0</v>
      </c>
      <c r="AA63" s="64"/>
      <c r="AB63" s="64">
        <v>0</v>
      </c>
      <c r="AC63" s="64"/>
      <c r="AD63" s="64">
        <v>0</v>
      </c>
      <c r="AE63" s="64"/>
      <c r="AF63" s="64"/>
    </row>
    <row r="64" spans="1:32" ht="12.75">
      <c r="A64" s="63" t="s">
        <v>188</v>
      </c>
      <c r="B64" s="63" t="s">
        <v>28</v>
      </c>
      <c r="D64" s="63" t="s">
        <v>293</v>
      </c>
      <c r="F64" s="64">
        <v>0.02</v>
      </c>
      <c r="G64" s="64"/>
      <c r="H64" s="64">
        <v>0.02</v>
      </c>
      <c r="I64" s="64"/>
      <c r="J64" s="64">
        <v>0.02</v>
      </c>
      <c r="K64" s="64"/>
      <c r="L64" s="64"/>
      <c r="M64" s="64"/>
      <c r="N64" s="64"/>
      <c r="O64" s="64"/>
      <c r="P64" s="64">
        <v>0.046</v>
      </c>
      <c r="Q64" s="64"/>
      <c r="R64" s="64">
        <v>0.03</v>
      </c>
      <c r="S64" s="64"/>
      <c r="T64" s="64">
        <v>0.03</v>
      </c>
      <c r="U64" s="64"/>
      <c r="V64" s="64"/>
      <c r="W64" s="64"/>
      <c r="X64" s="64"/>
      <c r="Y64" s="64"/>
      <c r="Z64" s="64">
        <v>0</v>
      </c>
      <c r="AA64" s="64"/>
      <c r="AB64" s="64">
        <v>0</v>
      </c>
      <c r="AC64" s="64"/>
      <c r="AD64" s="64">
        <v>0</v>
      </c>
      <c r="AE64" s="64"/>
      <c r="AF64" s="64"/>
    </row>
    <row r="65" spans="1:32" ht="12.75">
      <c r="A65" s="63" t="s">
        <v>188</v>
      </c>
      <c r="B65" s="63" t="s">
        <v>29</v>
      </c>
      <c r="D65" s="63" t="s">
        <v>285</v>
      </c>
      <c r="F65" s="94">
        <v>482172.4709784411</v>
      </c>
      <c r="G65" s="94"/>
      <c r="H65" s="94">
        <v>490170.94017094</v>
      </c>
      <c r="I65" s="94"/>
      <c r="J65" s="94">
        <v>490123.4567901235</v>
      </c>
      <c r="K65" s="64"/>
      <c r="L65" s="64"/>
      <c r="M65" s="64"/>
      <c r="N65" s="64"/>
      <c r="O65" s="64"/>
      <c r="P65" s="66">
        <v>119.04761904762</v>
      </c>
      <c r="Q65" s="66"/>
      <c r="R65" s="66">
        <v>57.077625570776256</v>
      </c>
      <c r="S65" s="64"/>
      <c r="T65" s="66">
        <v>38.94080996884735</v>
      </c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</row>
    <row r="66" spans="1:32" ht="12.75">
      <c r="A66" s="63" t="s">
        <v>188</v>
      </c>
      <c r="B66" s="63" t="s">
        <v>174</v>
      </c>
      <c r="D66" s="63" t="s">
        <v>285</v>
      </c>
      <c r="F66" s="64">
        <v>7.93</v>
      </c>
      <c r="G66" s="64"/>
      <c r="H66" s="64">
        <v>7.89</v>
      </c>
      <c r="I66" s="64"/>
      <c r="J66" s="64">
        <v>7.69</v>
      </c>
      <c r="K66" s="64"/>
      <c r="L66" s="64"/>
      <c r="M66" s="64"/>
      <c r="N66" s="64"/>
      <c r="O66" s="64"/>
      <c r="P66" s="64">
        <v>7.81</v>
      </c>
      <c r="Q66" s="64"/>
      <c r="R66" s="64">
        <v>7.73</v>
      </c>
      <c r="S66" s="64"/>
      <c r="T66" s="64">
        <v>7.81</v>
      </c>
      <c r="U66" s="64"/>
      <c r="V66" s="64"/>
      <c r="W66" s="64"/>
      <c r="X66" s="64"/>
      <c r="Y66" s="64"/>
      <c r="Z66" s="64">
        <v>726</v>
      </c>
      <c r="AA66" s="64"/>
      <c r="AB66" s="64">
        <v>724</v>
      </c>
      <c r="AC66" s="64"/>
      <c r="AD66" s="64">
        <v>701</v>
      </c>
      <c r="AE66" s="64"/>
      <c r="AF66" s="64"/>
    </row>
    <row r="67" spans="1:32" ht="12.75">
      <c r="A67" s="63" t="s">
        <v>188</v>
      </c>
      <c r="B67" s="63" t="s">
        <v>175</v>
      </c>
      <c r="D67" s="63" t="s">
        <v>285</v>
      </c>
      <c r="F67" s="64">
        <v>0.42</v>
      </c>
      <c r="G67" s="64"/>
      <c r="H67" s="64">
        <v>0.42</v>
      </c>
      <c r="I67" s="64"/>
      <c r="J67" s="64">
        <v>0.41</v>
      </c>
      <c r="K67" s="64"/>
      <c r="L67" s="64"/>
      <c r="M67" s="64"/>
      <c r="N67" s="64"/>
      <c r="O67" s="64"/>
      <c r="P67" s="64">
        <v>0.42</v>
      </c>
      <c r="Q67" s="64"/>
      <c r="R67" s="64">
        <v>0.41</v>
      </c>
      <c r="S67" s="64"/>
      <c r="T67" s="64">
        <v>0.42</v>
      </c>
      <c r="U67" s="64"/>
      <c r="V67" s="64"/>
      <c r="W67" s="64"/>
      <c r="X67" s="64"/>
      <c r="Y67" s="64"/>
      <c r="Z67" s="64">
        <v>263</v>
      </c>
      <c r="AA67" s="64"/>
      <c r="AB67" s="64">
        <v>263</v>
      </c>
      <c r="AC67" s="64"/>
      <c r="AD67" s="64">
        <v>255</v>
      </c>
      <c r="AE67" s="64"/>
      <c r="AF67" s="64"/>
    </row>
    <row r="68" spans="1:32" ht="12.75">
      <c r="A68" s="63" t="s">
        <v>188</v>
      </c>
      <c r="B68" s="63" t="s">
        <v>176</v>
      </c>
      <c r="D68" s="63" t="s">
        <v>285</v>
      </c>
      <c r="F68" s="64">
        <v>1.29</v>
      </c>
      <c r="G68" s="64"/>
      <c r="H68" s="64">
        <v>1.29</v>
      </c>
      <c r="I68" s="64"/>
      <c r="J68" s="64">
        <v>1.25</v>
      </c>
      <c r="K68" s="64"/>
      <c r="L68" s="64"/>
      <c r="M68" s="64"/>
      <c r="N68" s="64"/>
      <c r="O68" s="64"/>
      <c r="P68" s="64">
        <v>1.27</v>
      </c>
      <c r="Q68" s="64"/>
      <c r="R68" s="64">
        <v>1.26</v>
      </c>
      <c r="S68" s="64"/>
      <c r="T68" s="64">
        <v>1.27</v>
      </c>
      <c r="U68" s="64"/>
      <c r="V68" s="64"/>
      <c r="W68" s="64"/>
      <c r="X68" s="64"/>
      <c r="Y68" s="64"/>
      <c r="Z68" s="64">
        <v>1095</v>
      </c>
      <c r="AA68" s="64"/>
      <c r="AB68" s="64">
        <v>1098</v>
      </c>
      <c r="AC68" s="64"/>
      <c r="AD68" s="64">
        <v>1070</v>
      </c>
      <c r="AE68" s="64"/>
      <c r="AF68" s="64"/>
    </row>
    <row r="69" spans="1:32" ht="12.75">
      <c r="A69" s="63" t="s">
        <v>188</v>
      </c>
      <c r="B69" s="63" t="s">
        <v>178</v>
      </c>
      <c r="D69" s="63" t="s">
        <v>285</v>
      </c>
      <c r="F69" s="64">
        <v>1.16</v>
      </c>
      <c r="G69" s="64"/>
      <c r="H69" s="64">
        <v>1.16</v>
      </c>
      <c r="I69" s="64"/>
      <c r="J69" s="64">
        <v>1.15</v>
      </c>
      <c r="K69" s="64"/>
      <c r="L69" s="64"/>
      <c r="M69" s="64"/>
      <c r="N69" s="64"/>
      <c r="O69" s="64"/>
      <c r="P69" s="64">
        <v>3.14</v>
      </c>
      <c r="Q69" s="64"/>
      <c r="R69" s="64">
        <v>3.1</v>
      </c>
      <c r="S69" s="64"/>
      <c r="T69" s="64">
        <v>6.28</v>
      </c>
      <c r="U69" s="64"/>
      <c r="V69" s="64"/>
      <c r="W69" s="64"/>
      <c r="X69" s="64"/>
      <c r="Y69" s="64"/>
      <c r="Z69" s="64">
        <v>4811</v>
      </c>
      <c r="AA69" s="64"/>
      <c r="AB69" s="64">
        <v>4791</v>
      </c>
      <c r="AC69" s="64"/>
      <c r="AD69" s="64">
        <v>4642</v>
      </c>
      <c r="AE69" s="64"/>
      <c r="AF69" s="64"/>
    </row>
    <row r="70" spans="1:32" ht="12.75">
      <c r="A70" s="63" t="s">
        <v>188</v>
      </c>
      <c r="B70" s="63" t="s">
        <v>189</v>
      </c>
      <c r="D70" s="63" t="s">
        <v>285</v>
      </c>
      <c r="F70" s="94">
        <v>85298.50746268657</v>
      </c>
      <c r="G70" s="94"/>
      <c r="H70" s="94">
        <v>140901.70940171</v>
      </c>
      <c r="I70" s="94"/>
      <c r="J70" s="94">
        <v>104300.41152263375</v>
      </c>
      <c r="K70" s="64"/>
      <c r="L70" s="64"/>
      <c r="M70" s="64"/>
      <c r="N70" s="64"/>
      <c r="O70" s="64"/>
      <c r="P70" s="66">
        <v>23.80952380952381</v>
      </c>
      <c r="Q70" s="64"/>
      <c r="R70" s="64">
        <v>16</v>
      </c>
      <c r="S70" s="64"/>
      <c r="T70" s="64">
        <v>16</v>
      </c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</row>
    <row r="71" spans="6:32" ht="12.75"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</row>
    <row r="72" spans="2:32" ht="12.75">
      <c r="B72" s="63" t="s">
        <v>41</v>
      </c>
      <c r="F72" s="64">
        <f>'emiss 2'!$G151</f>
        <v>6115</v>
      </c>
      <c r="G72" s="64"/>
      <c r="H72" s="64">
        <f>'emiss 2'!$I151</f>
        <v>5843</v>
      </c>
      <c r="I72" s="64"/>
      <c r="J72" s="64">
        <f>'emiss 2'!$K151</f>
        <v>5652</v>
      </c>
      <c r="K72" s="64"/>
      <c r="L72" s="64"/>
      <c r="M72" s="64"/>
      <c r="N72" s="64"/>
      <c r="O72" s="64"/>
      <c r="P72" s="64">
        <f>'emiss 2'!$G151</f>
        <v>6115</v>
      </c>
      <c r="Q72" s="64"/>
      <c r="R72" s="64">
        <f>'emiss 2'!$I151</f>
        <v>5843</v>
      </c>
      <c r="S72" s="64"/>
      <c r="T72" s="64">
        <f>'emiss 2'!$K151</f>
        <v>5652</v>
      </c>
      <c r="U72" s="64"/>
      <c r="V72" s="64"/>
      <c r="W72" s="64"/>
      <c r="X72" s="64"/>
      <c r="Y72" s="64"/>
      <c r="Z72" s="64">
        <f>'emiss 2'!$G151</f>
        <v>6115</v>
      </c>
      <c r="AA72" s="64"/>
      <c r="AB72" s="64">
        <f>'emiss 2'!$I151</f>
        <v>5843</v>
      </c>
      <c r="AC72" s="64"/>
      <c r="AD72" s="64">
        <f>'emiss 2'!$K151</f>
        <v>5652</v>
      </c>
      <c r="AE72" s="64"/>
      <c r="AF72" s="64"/>
    </row>
    <row r="73" spans="2:32" ht="12.75">
      <c r="B73" s="63" t="s">
        <v>42</v>
      </c>
      <c r="F73" s="64">
        <f>'emiss 2'!$G150</f>
        <v>10.8</v>
      </c>
      <c r="G73" s="64"/>
      <c r="H73" s="64">
        <f>'emiss 2'!$I150</f>
        <v>11</v>
      </c>
      <c r="I73" s="64"/>
      <c r="J73" s="64">
        <f>'emiss 2'!$K150</f>
        <v>11.2</v>
      </c>
      <c r="K73" s="64"/>
      <c r="L73" s="64"/>
      <c r="M73" s="64"/>
      <c r="N73" s="64"/>
      <c r="O73" s="64"/>
      <c r="P73" s="64">
        <f>'emiss 2'!$G150</f>
        <v>10.8</v>
      </c>
      <c r="Q73" s="64"/>
      <c r="R73" s="64">
        <f>'emiss 2'!$I150</f>
        <v>11</v>
      </c>
      <c r="S73" s="64"/>
      <c r="T73" s="64">
        <f>'emiss 2'!$K150</f>
        <v>11.2</v>
      </c>
      <c r="U73" s="64"/>
      <c r="V73" s="64"/>
      <c r="W73" s="64"/>
      <c r="X73" s="64"/>
      <c r="Y73" s="64"/>
      <c r="Z73" s="64">
        <f>'emiss 2'!$G150</f>
        <v>10.8</v>
      </c>
      <c r="AA73" s="64"/>
      <c r="AB73" s="64">
        <f>'emiss 2'!$I150</f>
        <v>11</v>
      </c>
      <c r="AC73" s="64"/>
      <c r="AD73" s="64">
        <f>'emiss 2'!$K150</f>
        <v>11.2</v>
      </c>
      <c r="AE73" s="64"/>
      <c r="AF73" s="64"/>
    </row>
    <row r="74" spans="6:32" ht="12.75"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</row>
    <row r="75" spans="2:44" ht="12.75">
      <c r="B75" s="63" t="s">
        <v>28</v>
      </c>
      <c r="D75" s="63" t="s">
        <v>43</v>
      </c>
      <c r="F75" s="66">
        <f>F$62*454*F64/100/F$72/0.0283/60*14/(21-F$73)*1000</f>
        <v>28.95055331939802</v>
      </c>
      <c r="G75" s="64"/>
      <c r="H75" s="66">
        <f>H$62*454*H64/100/H$72/0.0283/60*14/(21-H$73)*1000</f>
        <v>29.981694141581034</v>
      </c>
      <c r="I75" s="64"/>
      <c r="J75" s="66">
        <f>J$62*454*J64/100/J$72/0.0283/60*14/(21-J$73)*1000</f>
        <v>32.843863840240246</v>
      </c>
      <c r="K75" s="64"/>
      <c r="L75" s="64"/>
      <c r="M75" s="64"/>
      <c r="N75" s="64"/>
      <c r="O75" s="64"/>
      <c r="P75" s="66">
        <f>P$62*454*P64/100/P$72/0.0283/60*14/(21-P$73)*1000</f>
        <v>11.594624588117119</v>
      </c>
      <c r="Q75" s="64"/>
      <c r="R75" s="66">
        <f>R$62*454*R64/100/R$72/0.0283/60*14/(21-R$73)*1000</f>
        <v>6.734349761032046</v>
      </c>
      <c r="S75" s="64"/>
      <c r="T75" s="66">
        <f>T$62*454*T64/100/T$72/0.0283/60*14/(21-T$73)*1000</f>
        <v>5.206360638378825</v>
      </c>
      <c r="U75" s="64"/>
      <c r="V75" s="64"/>
      <c r="W75" s="64"/>
      <c r="X75" s="64"/>
      <c r="Y75" s="64"/>
      <c r="Z75" s="66">
        <f>Z$62*454*Z64/100/Z$72/0.0283/60*14/(21-Z$73)*1000</f>
        <v>0</v>
      </c>
      <c r="AA75" s="64"/>
      <c r="AB75" s="66">
        <f>AB$62*454*AB64/100/AB$72/0.0283/60*14/(21-AB$73)*1000</f>
        <v>0</v>
      </c>
      <c r="AC75" s="64"/>
      <c r="AD75" s="66">
        <f>AD$62*454*AD64/100/AD$72/0.0283/60*14/(21-AD$73)*1000</f>
        <v>0</v>
      </c>
      <c r="AE75" s="64"/>
      <c r="AF75" s="64"/>
      <c r="AJ75" s="66">
        <f aca="true" t="shared" si="9" ref="AJ75:AJ80">F75+P75+Z75</f>
        <v>40.54517790751514</v>
      </c>
      <c r="AL75" s="66">
        <f aca="true" t="shared" si="10" ref="AL75:AL80">H75+R75+AB75</f>
        <v>36.71604390261308</v>
      </c>
      <c r="AN75" s="66">
        <f aca="true" t="shared" si="11" ref="AN75:AN80">J75+T75+AD75</f>
        <v>38.05022447861907</v>
      </c>
      <c r="AP75" s="66"/>
      <c r="AR75" s="66">
        <f aca="true" t="shared" si="12" ref="AR75:AR80">AVERAGE(AJ75,AL75,AN75,AP75)</f>
        <v>38.43714876291576</v>
      </c>
    </row>
    <row r="76" spans="2:44" ht="12.75">
      <c r="B76" s="63" t="s">
        <v>29</v>
      </c>
      <c r="D76" s="63" t="s">
        <v>38</v>
      </c>
      <c r="F76" s="66">
        <f>F$62*454*F65/1000000/F$72/0.0283/60*14/(21-F$73)*1000000</f>
        <v>69795799.15103629</v>
      </c>
      <c r="G76" s="64"/>
      <c r="H76" s="66">
        <f>H$62*454*H65/1000000/H$72/0.0283/60*14/(21-H$73)*1000000</f>
        <v>73480776.02648167</v>
      </c>
      <c r="I76" s="64"/>
      <c r="J76" s="66">
        <f>J$62*454*J65/1000000/J$72/0.0283/60*14/(21-J$73)*1000000</f>
        <v>80487740.39861344</v>
      </c>
      <c r="K76" s="64"/>
      <c r="L76" s="64"/>
      <c r="M76" s="64"/>
      <c r="N76" s="64"/>
      <c r="O76" s="64"/>
      <c r="P76" s="66">
        <f>P$62*454*P65/1000000/P$72/0.0283/60*14/(21-P$73)*1000000</f>
        <v>3000.6792412311625</v>
      </c>
      <c r="Q76" s="64"/>
      <c r="R76" s="66">
        <f>R$62*454*R65/1000000/R$72/0.0283/60*14/(21-R$73)*1000000</f>
        <v>1281.2689804094455</v>
      </c>
      <c r="S76" s="64"/>
      <c r="T76" s="66">
        <f>T$62*454*T65/1000000/T$72/0.0283/60*14/(21-T$73)*1000000</f>
        <v>675.7996674946552</v>
      </c>
      <c r="U76" s="64"/>
      <c r="V76" s="64"/>
      <c r="W76" s="64"/>
      <c r="X76" s="64"/>
      <c r="Y76" s="64"/>
      <c r="Z76" s="66">
        <f>Z$62*454*Z65/1000000/Z$72/0.0283/60*14/(21-Z$73)*1000000</f>
        <v>0</v>
      </c>
      <c r="AA76" s="64"/>
      <c r="AB76" s="66">
        <f>AB$62*454*AB65/1000000/AB$72/0.0283/60*14/(21-AB$73)*1000000</f>
        <v>0</v>
      </c>
      <c r="AC76" s="64"/>
      <c r="AD76" s="66">
        <f>AD$62*454*AD65/1000000/AD$72/0.0283/60*14/(21-AD$73)*1000000</f>
        <v>0</v>
      </c>
      <c r="AE76" s="64"/>
      <c r="AF76" s="64"/>
      <c r="AJ76" s="66">
        <f t="shared" si="9"/>
        <v>69798799.83027752</v>
      </c>
      <c r="AL76" s="66">
        <f t="shared" si="10"/>
        <v>73482057.29546209</v>
      </c>
      <c r="AN76" s="66">
        <f t="shared" si="11"/>
        <v>80488416.19828093</v>
      </c>
      <c r="AP76" s="66"/>
      <c r="AR76" s="66">
        <f t="shared" si="12"/>
        <v>74589757.7746735</v>
      </c>
    </row>
    <row r="77" spans="2:44" ht="12.75">
      <c r="B77" s="63" t="s">
        <v>174</v>
      </c>
      <c r="D77" s="63" t="s">
        <v>38</v>
      </c>
      <c r="F77" s="66">
        <f aca="true" t="shared" si="13" ref="F77:H80">F$62*454*F66/1000000/F$72/0.0283/60*14/(21-F$73)*1000000</f>
        <v>1147.8894391141316</v>
      </c>
      <c r="G77" s="64"/>
      <c r="H77" s="66">
        <f t="shared" si="13"/>
        <v>1182.7778338853716</v>
      </c>
      <c r="I77" s="64"/>
      <c r="J77" s="66">
        <f>J$62*454*J66/1000000/J$72/0.0283/60*14/(21-J$73)*1000000</f>
        <v>1262.8465646572374</v>
      </c>
      <c r="K77" s="64"/>
      <c r="L77" s="64"/>
      <c r="M77" s="64"/>
      <c r="N77" s="64"/>
      <c r="O77" s="64"/>
      <c r="P77" s="66">
        <f>P$62*454*P66/1000000/P$72/0.0283/60*14/(21-P$73)*1000000</f>
        <v>196.85656094172757</v>
      </c>
      <c r="Q77" s="64"/>
      <c r="R77" s="66">
        <f>R$62*454*R66/1000000/R$72/0.0283/60*14/(21-R$73)*1000000</f>
        <v>173.52174550925903</v>
      </c>
      <c r="S77" s="64"/>
      <c r="T77" s="66">
        <f>T$62*454*T66/1000000/T$72/0.0283/60*14/(21-T$73)*1000000</f>
        <v>135.53892195246206</v>
      </c>
      <c r="U77" s="64"/>
      <c r="V77" s="64"/>
      <c r="W77" s="64"/>
      <c r="X77" s="64"/>
      <c r="Y77" s="64"/>
      <c r="Z77" s="66">
        <f>Z$62*454*Z66/1000000/Z$72/0.0283/60*14/(21-Z$73)*1000000</f>
        <v>2152.351211584201</v>
      </c>
      <c r="AA77" s="64"/>
      <c r="AB77" s="66">
        <f>AB$62*454*AB66/1000000/AB$72/0.0283/60*14/(21-AB$73)*1000000</f>
        <v>2291.2676922866035</v>
      </c>
      <c r="AC77" s="64"/>
      <c r="AD77" s="66">
        <f>AD$62*454*AD66/1000000/AD$72/0.0283/60*14/(21-AD$73)*1000000</f>
        <v>2207.60774181809</v>
      </c>
      <c r="AE77" s="64"/>
      <c r="AF77" s="64"/>
      <c r="AJ77" s="66">
        <f t="shared" si="9"/>
        <v>3497.09721164006</v>
      </c>
      <c r="AL77" s="66">
        <f t="shared" si="10"/>
        <v>3647.567271681234</v>
      </c>
      <c r="AN77" s="66">
        <f t="shared" si="11"/>
        <v>3605.9932284277893</v>
      </c>
      <c r="AP77" s="66"/>
      <c r="AR77" s="66">
        <f t="shared" si="12"/>
        <v>3583.552570583028</v>
      </c>
    </row>
    <row r="78" spans="2:44" ht="12.75">
      <c r="B78" s="63" t="s">
        <v>175</v>
      </c>
      <c r="D78" s="63" t="s">
        <v>38</v>
      </c>
      <c r="F78" s="66">
        <f t="shared" si="13"/>
        <v>60.796161970735845</v>
      </c>
      <c r="G78" s="64"/>
      <c r="H78" s="66">
        <f t="shared" si="13"/>
        <v>62.96155769732017</v>
      </c>
      <c r="I78" s="64"/>
      <c r="J78" s="66">
        <f>J$62*454*J67/1000000/J$72/0.0283/60*14/(21-J$73)*1000000</f>
        <v>67.32992087249248</v>
      </c>
      <c r="K78" s="64"/>
      <c r="L78" s="64"/>
      <c r="M78" s="64"/>
      <c r="N78" s="64"/>
      <c r="O78" s="64"/>
      <c r="P78" s="66">
        <f>P$62*454*P67/1000000/P$72/0.0283/60*14/(21-P$73)*1000000</f>
        <v>10.586396363063455</v>
      </c>
      <c r="Q78" s="64"/>
      <c r="R78" s="66">
        <f>R$62*454*R67/1000000/R$72/0.0283/60*14/(21-R$73)*1000000</f>
        <v>9.203611340077128</v>
      </c>
      <c r="S78" s="64"/>
      <c r="T78" s="66">
        <f>T$62*454*T67/1000000/T$72/0.0283/60*14/(21-T$73)*1000000</f>
        <v>7.288904893730354</v>
      </c>
      <c r="U78" s="64"/>
      <c r="V78" s="64"/>
      <c r="W78" s="64"/>
      <c r="X78" s="64"/>
      <c r="Y78" s="64"/>
      <c r="Z78" s="66">
        <f>Z$62*454*Z67/1000000/Z$72/0.0283/60*14/(21-Z$73)*1000000</f>
        <v>779.7084967584639</v>
      </c>
      <c r="AA78" s="64"/>
      <c r="AB78" s="66">
        <f>AB$62*454*AB67/1000000/AB$72/0.0283/60*14/(21-AB$73)*1000000</f>
        <v>832.32514236378</v>
      </c>
      <c r="AC78" s="64"/>
      <c r="AD78" s="66">
        <f>AD$62*454*AD67/1000000/AD$72/0.0283/60*14/(21-AD$73)*1000000</f>
        <v>803.0527448838988</v>
      </c>
      <c r="AE78" s="64"/>
      <c r="AF78" s="64"/>
      <c r="AJ78" s="66">
        <f t="shared" si="9"/>
        <v>851.0910550922631</v>
      </c>
      <c r="AL78" s="66">
        <f t="shared" si="10"/>
        <v>904.4903114011772</v>
      </c>
      <c r="AN78" s="66">
        <f t="shared" si="11"/>
        <v>877.6715706501216</v>
      </c>
      <c r="AP78" s="66"/>
      <c r="AR78" s="66">
        <f t="shared" si="12"/>
        <v>877.750979047854</v>
      </c>
    </row>
    <row r="79" spans="2:44" ht="12.75">
      <c r="B79" s="63" t="s">
        <v>176</v>
      </c>
      <c r="D79" s="63" t="s">
        <v>38</v>
      </c>
      <c r="F79" s="66">
        <f t="shared" si="13"/>
        <v>186.73106891011724</v>
      </c>
      <c r="G79" s="64"/>
      <c r="H79" s="66">
        <f t="shared" si="13"/>
        <v>193.38192721319768</v>
      </c>
      <c r="I79" s="64"/>
      <c r="J79" s="66">
        <f>J$62*454*J68/1000000/J$72/0.0283/60*14/(21-J$73)*1000000</f>
        <v>205.2741490015015</v>
      </c>
      <c r="K79" s="64"/>
      <c r="L79" s="64"/>
      <c r="M79" s="64"/>
      <c r="N79" s="64"/>
      <c r="O79" s="64"/>
      <c r="P79" s="66">
        <f>P$62*454*P68/1000000/P$72/0.0283/60*14/(21-P$73)*1000000</f>
        <v>32.01124614545379</v>
      </c>
      <c r="Q79" s="64"/>
      <c r="R79" s="66">
        <f>R$62*454*R68/1000000/R$72/0.0283/60*14/(21-R$73)*1000000</f>
        <v>28.284268996334596</v>
      </c>
      <c r="S79" s="64"/>
      <c r="T79" s="66">
        <f>T$62*454*T68/1000000/T$72/0.0283/60*14/(21-T$73)*1000000</f>
        <v>22.040260035803684</v>
      </c>
      <c r="U79" s="64"/>
      <c r="V79" s="64"/>
      <c r="W79" s="64"/>
      <c r="X79" s="64"/>
      <c r="Y79" s="64"/>
      <c r="Z79" s="66">
        <f>Z$62*454*Z68/1000000/Z$72/0.0283/60*14/(21-Z$73)*1000000</f>
        <v>3246.3148439183196</v>
      </c>
      <c r="AA79" s="64"/>
      <c r="AB79" s="66">
        <f>AB$62*454*AB68/1000000/AB$72/0.0283/60*14/(21-AB$73)*1000000</f>
        <v>3474.8783510092417</v>
      </c>
      <c r="AC79" s="64"/>
      <c r="AD79" s="66">
        <f>AD$62*454*AD68/1000000/AD$72/0.0283/60*14/(21-AD$73)*1000000</f>
        <v>3369.6723020618497</v>
      </c>
      <c r="AE79" s="64"/>
      <c r="AF79" s="64"/>
      <c r="AJ79" s="66">
        <f t="shared" si="9"/>
        <v>3465.0571589738906</v>
      </c>
      <c r="AL79" s="66">
        <f t="shared" si="10"/>
        <v>3696.544547218774</v>
      </c>
      <c r="AN79" s="66">
        <f t="shared" si="11"/>
        <v>3596.986711099155</v>
      </c>
      <c r="AP79" s="66"/>
      <c r="AR79" s="66">
        <f t="shared" si="12"/>
        <v>3586.1961390972733</v>
      </c>
    </row>
    <row r="80" spans="2:44" ht="12.75">
      <c r="B80" s="63" t="s">
        <v>178</v>
      </c>
      <c r="D80" s="63" t="s">
        <v>38</v>
      </c>
      <c r="F80" s="66">
        <f t="shared" si="13"/>
        <v>167.91320925250852</v>
      </c>
      <c r="G80" s="64"/>
      <c r="H80" s="66">
        <f t="shared" si="13"/>
        <v>173.89382602116999</v>
      </c>
      <c r="I80" s="64"/>
      <c r="J80" s="66">
        <f>J$62*454*J69/1000000/J$72/0.0283/60*14/(21-J$73)*1000000</f>
        <v>188.85221708138138</v>
      </c>
      <c r="K80" s="64"/>
      <c r="L80" s="64"/>
      <c r="M80" s="64"/>
      <c r="N80" s="64"/>
      <c r="O80" s="64"/>
      <c r="P80" s="66">
        <f>P$62*454*P69/1000000/P$72/0.0283/60*14/(21-P$73)*1000000</f>
        <v>79.14591566671251</v>
      </c>
      <c r="Q80" s="64"/>
      <c r="R80" s="66">
        <f>R$62*454*R69/1000000/R$72/0.0283/60*14/(21-R$73)*1000000</f>
        <v>69.58828086399781</v>
      </c>
      <c r="S80" s="64"/>
      <c r="T80" s="66">
        <f>T$62*454*T69/1000000/T$72/0.0283/60*14/(21-T$73)*1000000</f>
        <v>108.98648269673005</v>
      </c>
      <c r="U80" s="64"/>
      <c r="V80" s="64"/>
      <c r="W80" s="64"/>
      <c r="X80" s="64"/>
      <c r="Y80" s="64"/>
      <c r="Z80" s="66">
        <f>Z$62*454*Z69/1000000/Z$72/0.0283/60*14/(21-Z$73)*1000000</f>
        <v>14263.03261560825</v>
      </c>
      <c r="AA80" s="64"/>
      <c r="AB80" s="66">
        <f>AB$62*454*AB69/1000000/AB$72/0.0283/60*14/(21-AB$73)*1000000</f>
        <v>15162.242422299882</v>
      </c>
      <c r="AC80" s="64"/>
      <c r="AD80" s="66">
        <f>AD$62*454*AD69/1000000/AD$72/0.0283/60*14/(21-AD$73)*1000000</f>
        <v>14618.709183337489</v>
      </c>
      <c r="AE80" s="64"/>
      <c r="AF80" s="64"/>
      <c r="AJ80" s="66">
        <f t="shared" si="9"/>
        <v>14510.09174052747</v>
      </c>
      <c r="AL80" s="66">
        <f t="shared" si="10"/>
        <v>15405.724529185049</v>
      </c>
      <c r="AN80" s="66">
        <f t="shared" si="11"/>
        <v>14916.5478831156</v>
      </c>
      <c r="AP80" s="66"/>
      <c r="AR80" s="66">
        <f t="shared" si="12"/>
        <v>14944.121384276039</v>
      </c>
    </row>
    <row r="81" spans="6:32" ht="12.75">
      <c r="F81" s="66"/>
      <c r="G81" s="64"/>
      <c r="H81" s="66"/>
      <c r="I81" s="64"/>
      <c r="J81" s="66"/>
      <c r="K81" s="64"/>
      <c r="L81" s="64"/>
      <c r="M81" s="64"/>
      <c r="N81" s="64"/>
      <c r="O81" s="64"/>
      <c r="P81" s="66"/>
      <c r="Q81" s="64"/>
      <c r="R81" s="66"/>
      <c r="S81" s="64"/>
      <c r="T81" s="66"/>
      <c r="U81" s="64"/>
      <c r="V81" s="64"/>
      <c r="W81" s="64"/>
      <c r="X81" s="64"/>
      <c r="Y81" s="64"/>
      <c r="Z81" s="66"/>
      <c r="AA81" s="64"/>
      <c r="AB81" s="66"/>
      <c r="AC81" s="64"/>
      <c r="AD81" s="66"/>
      <c r="AE81" s="64"/>
      <c r="AF81" s="64"/>
    </row>
    <row r="82" spans="2:44" ht="12.75">
      <c r="B82" s="63" t="s">
        <v>39</v>
      </c>
      <c r="D82" s="63" t="s">
        <v>38</v>
      </c>
      <c r="F82" s="66">
        <f>F78</f>
        <v>60.796161970735845</v>
      </c>
      <c r="G82" s="64"/>
      <c r="H82" s="66">
        <f>H78</f>
        <v>62.96155769732017</v>
      </c>
      <c r="I82" s="64"/>
      <c r="J82" s="66">
        <f>J78</f>
        <v>67.32992087249248</v>
      </c>
      <c r="K82" s="64"/>
      <c r="L82" s="64"/>
      <c r="M82" s="64"/>
      <c r="N82" s="64"/>
      <c r="O82" s="64"/>
      <c r="P82" s="66">
        <f>P78</f>
        <v>10.586396363063455</v>
      </c>
      <c r="Q82" s="64"/>
      <c r="R82" s="66">
        <f>R78</f>
        <v>9.203611340077128</v>
      </c>
      <c r="S82" s="64"/>
      <c r="T82" s="66">
        <f>T78</f>
        <v>7.288904893730354</v>
      </c>
      <c r="U82" s="64"/>
      <c r="V82" s="64"/>
      <c r="W82" s="64"/>
      <c r="X82" s="64"/>
      <c r="Y82" s="64"/>
      <c r="Z82" s="66">
        <f>Z78</f>
        <v>779.7084967584639</v>
      </c>
      <c r="AA82" s="64"/>
      <c r="AB82" s="66">
        <f>AB78</f>
        <v>832.32514236378</v>
      </c>
      <c r="AC82" s="64"/>
      <c r="AD82" s="66">
        <f>AD78</f>
        <v>803.0527448838988</v>
      </c>
      <c r="AE82" s="64"/>
      <c r="AF82" s="64"/>
      <c r="AJ82" s="66">
        <f>F82+P82+Z82</f>
        <v>851.0910550922631</v>
      </c>
      <c r="AL82" s="66">
        <f>H82+R82+AB82</f>
        <v>904.4903114011772</v>
      </c>
      <c r="AN82" s="66">
        <f>J82+T82+AD82</f>
        <v>877.6715706501216</v>
      </c>
      <c r="AP82" s="66"/>
      <c r="AR82" s="66">
        <f>AVERAGE(AJ82,AL82,AN82,AP82)</f>
        <v>877.750979047854</v>
      </c>
    </row>
    <row r="83" spans="2:44" ht="12.75">
      <c r="B83" s="63" t="s">
        <v>40</v>
      </c>
      <c r="D83" s="63" t="s">
        <v>38</v>
      </c>
      <c r="F83" s="66">
        <f>F77+F79</f>
        <v>1334.620508024249</v>
      </c>
      <c r="G83" s="64"/>
      <c r="H83" s="66">
        <f>H77+H79</f>
        <v>1376.1597610985693</v>
      </c>
      <c r="I83" s="64"/>
      <c r="J83" s="66">
        <f>J77+J79</f>
        <v>1468.1207136587389</v>
      </c>
      <c r="K83" s="64"/>
      <c r="L83" s="64"/>
      <c r="M83" s="64"/>
      <c r="N83" s="64"/>
      <c r="O83" s="64"/>
      <c r="P83" s="66">
        <f>P77+P79</f>
        <v>228.86780708718135</v>
      </c>
      <c r="Q83" s="64"/>
      <c r="R83" s="66">
        <f>R77+R79</f>
        <v>201.80601450559362</v>
      </c>
      <c r="S83" s="64"/>
      <c r="T83" s="66">
        <f>T77+T79</f>
        <v>157.57918198826576</v>
      </c>
      <c r="U83" s="64"/>
      <c r="V83" s="64"/>
      <c r="W83" s="64"/>
      <c r="X83" s="64"/>
      <c r="Y83" s="64"/>
      <c r="Z83" s="66">
        <f>Z77+Z79</f>
        <v>5398.666055502521</v>
      </c>
      <c r="AA83" s="64"/>
      <c r="AB83" s="66">
        <f>AB77+AB79</f>
        <v>5766.146043295845</v>
      </c>
      <c r="AC83" s="64"/>
      <c r="AD83" s="66">
        <f>AD77+AD79</f>
        <v>5577.2800438799395</v>
      </c>
      <c r="AE83" s="64"/>
      <c r="AF83" s="64"/>
      <c r="AJ83" s="66">
        <f>F83+P83+Z83</f>
        <v>6962.154370613951</v>
      </c>
      <c r="AL83" s="66">
        <f>H83+R83+AB83</f>
        <v>7344.111818900008</v>
      </c>
      <c r="AN83" s="66">
        <f>J83+T83+AD83</f>
        <v>7202.979939526944</v>
      </c>
      <c r="AP83" s="66"/>
      <c r="AR83" s="66">
        <f>AVERAGE(AJ83,AL83,AN83,AP83)</f>
        <v>7169.7487096803015</v>
      </c>
    </row>
    <row r="84" spans="6:32" ht="12.75">
      <c r="F84" s="66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</row>
    <row r="85" spans="2:32" ht="12.75">
      <c r="B85" s="45" t="s">
        <v>190</v>
      </c>
      <c r="F85" s="66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</row>
    <row r="86" spans="6:32" ht="12.75">
      <c r="F86" s="66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</row>
    <row r="87" spans="1:44" ht="12.75">
      <c r="A87" s="71"/>
      <c r="B87" s="71" t="s">
        <v>283</v>
      </c>
      <c r="C87" s="71"/>
      <c r="D87" s="71"/>
      <c r="E87" s="71"/>
      <c r="F87" s="71" t="s">
        <v>280</v>
      </c>
      <c r="G87" s="71"/>
      <c r="H87" s="71" t="s">
        <v>280</v>
      </c>
      <c r="I87" s="71"/>
      <c r="J87" s="71" t="s">
        <v>280</v>
      </c>
      <c r="L87" s="71" t="s">
        <v>280</v>
      </c>
      <c r="N87" s="71" t="s">
        <v>280</v>
      </c>
      <c r="P87" s="63" t="s">
        <v>281</v>
      </c>
      <c r="R87" s="63" t="s">
        <v>281</v>
      </c>
      <c r="T87" s="63" t="s">
        <v>281</v>
      </c>
      <c r="V87" s="63" t="s">
        <v>281</v>
      </c>
      <c r="X87" s="63" t="s">
        <v>281</v>
      </c>
      <c r="Z87" s="63" t="s">
        <v>282</v>
      </c>
      <c r="AB87" s="63" t="s">
        <v>282</v>
      </c>
      <c r="AD87" s="63" t="s">
        <v>282</v>
      </c>
      <c r="AF87" s="63" t="s">
        <v>282</v>
      </c>
      <c r="AH87" s="63" t="s">
        <v>282</v>
      </c>
      <c r="AJ87" s="63" t="s">
        <v>80</v>
      </c>
      <c r="AL87" s="63" t="s">
        <v>80</v>
      </c>
      <c r="AN87" s="63" t="s">
        <v>80</v>
      </c>
      <c r="AP87" s="63" t="s">
        <v>80</v>
      </c>
      <c r="AR87" s="63" t="s">
        <v>80</v>
      </c>
    </row>
    <row r="88" spans="1:44" ht="12.75">
      <c r="A88" s="71"/>
      <c r="B88" s="71" t="s">
        <v>284</v>
      </c>
      <c r="C88" s="71"/>
      <c r="D88" s="71"/>
      <c r="E88" s="71"/>
      <c r="F88" s="71" t="s">
        <v>286</v>
      </c>
      <c r="G88" s="71"/>
      <c r="H88" s="71" t="s">
        <v>286</v>
      </c>
      <c r="I88" s="71"/>
      <c r="J88" s="71" t="s">
        <v>286</v>
      </c>
      <c r="L88" s="71" t="s">
        <v>286</v>
      </c>
      <c r="N88" s="71" t="s">
        <v>286</v>
      </c>
      <c r="P88" s="63" t="s">
        <v>287</v>
      </c>
      <c r="R88" s="63" t="s">
        <v>287</v>
      </c>
      <c r="T88" s="63" t="s">
        <v>287</v>
      </c>
      <c r="V88" s="63" t="s">
        <v>287</v>
      </c>
      <c r="X88" s="63" t="s">
        <v>287</v>
      </c>
      <c r="Z88" s="63" t="s">
        <v>282</v>
      </c>
      <c r="AB88" s="63" t="s">
        <v>282</v>
      </c>
      <c r="AD88" s="63" t="s">
        <v>282</v>
      </c>
      <c r="AF88" s="63" t="s">
        <v>282</v>
      </c>
      <c r="AH88" s="63" t="s">
        <v>282</v>
      </c>
      <c r="AJ88" s="63" t="s">
        <v>80</v>
      </c>
      <c r="AL88" s="63" t="s">
        <v>80</v>
      </c>
      <c r="AN88" s="63" t="s">
        <v>80</v>
      </c>
      <c r="AP88" s="63" t="s">
        <v>80</v>
      </c>
      <c r="AR88" s="63" t="s">
        <v>80</v>
      </c>
    </row>
    <row r="89" spans="1:32" ht="12.75">
      <c r="A89" s="63" t="s">
        <v>190</v>
      </c>
      <c r="B89" s="63" t="s">
        <v>259</v>
      </c>
      <c r="D89" s="63" t="s">
        <v>33</v>
      </c>
      <c r="F89" s="64">
        <v>1560</v>
      </c>
      <c r="G89" s="64"/>
      <c r="H89" s="64">
        <v>1578</v>
      </c>
      <c r="I89" s="64"/>
      <c r="J89" s="64">
        <v>1584</v>
      </c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</row>
    <row r="90" spans="1:32" ht="12.75">
      <c r="A90" s="63" t="s">
        <v>190</v>
      </c>
      <c r="B90" s="63" t="s">
        <v>260</v>
      </c>
      <c r="D90" s="63" t="s">
        <v>27</v>
      </c>
      <c r="F90" s="64">
        <v>11149</v>
      </c>
      <c r="G90" s="64"/>
      <c r="H90" s="64">
        <v>10966</v>
      </c>
      <c r="I90" s="64"/>
      <c r="J90" s="64">
        <v>10808</v>
      </c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</row>
    <row r="91" spans="1:32" ht="12.75">
      <c r="A91" s="63" t="s">
        <v>190</v>
      </c>
      <c r="B91" s="63" t="s">
        <v>28</v>
      </c>
      <c r="D91" s="63" t="s">
        <v>293</v>
      </c>
      <c r="F91" s="64">
        <v>0.876</v>
      </c>
      <c r="G91" s="64"/>
      <c r="H91" s="64">
        <v>0.843</v>
      </c>
      <c r="I91" s="64"/>
      <c r="J91" s="64">
        <v>0.926</v>
      </c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</row>
    <row r="92" spans="1:32" ht="12.75">
      <c r="A92" s="63" t="s">
        <v>190</v>
      </c>
      <c r="B92" s="63" t="s">
        <v>29</v>
      </c>
      <c r="D92" s="63" t="s">
        <v>285</v>
      </c>
      <c r="F92" s="66">
        <v>334615.3846153846</v>
      </c>
      <c r="G92" s="66"/>
      <c r="H92" s="66">
        <v>338403.0418250951</v>
      </c>
      <c r="I92" s="66"/>
      <c r="J92" s="66">
        <v>287247.4747474748</v>
      </c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</row>
    <row r="93" spans="1:32" ht="12.75">
      <c r="A93" s="63" t="s">
        <v>190</v>
      </c>
      <c r="B93" s="63" t="s">
        <v>174</v>
      </c>
      <c r="D93" s="63" t="s">
        <v>285</v>
      </c>
      <c r="F93" s="64">
        <v>7.97</v>
      </c>
      <c r="G93" s="64"/>
      <c r="H93" s="64">
        <v>7.81</v>
      </c>
      <c r="I93" s="64"/>
      <c r="J93" s="64">
        <v>7.97</v>
      </c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</row>
    <row r="94" spans="1:32" ht="12.75">
      <c r="A94" s="63" t="s">
        <v>190</v>
      </c>
      <c r="B94" s="63" t="s">
        <v>175</v>
      </c>
      <c r="D94" s="63" t="s">
        <v>285</v>
      </c>
      <c r="F94" s="64">
        <v>0.46</v>
      </c>
      <c r="G94" s="64"/>
      <c r="H94" s="64">
        <v>0.42</v>
      </c>
      <c r="I94" s="64"/>
      <c r="J94" s="64">
        <v>0.41</v>
      </c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</row>
    <row r="95" spans="1:32" ht="12.75">
      <c r="A95" s="63" t="s">
        <v>190</v>
      </c>
      <c r="B95" s="63" t="s">
        <v>176</v>
      </c>
      <c r="D95" s="63" t="s">
        <v>285</v>
      </c>
      <c r="F95" s="64">
        <v>12.69</v>
      </c>
      <c r="G95" s="64"/>
      <c r="H95" s="64">
        <v>11.95</v>
      </c>
      <c r="I95" s="64"/>
      <c r="J95" s="64">
        <v>11.5</v>
      </c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</row>
    <row r="96" spans="1:32" ht="12.75">
      <c r="A96" s="63" t="s">
        <v>190</v>
      </c>
      <c r="B96" s="63" t="s">
        <v>178</v>
      </c>
      <c r="D96" s="63" t="s">
        <v>285</v>
      </c>
      <c r="F96" s="64">
        <v>9.87</v>
      </c>
      <c r="G96" s="64"/>
      <c r="H96" s="64">
        <v>9.67</v>
      </c>
      <c r="I96" s="64"/>
      <c r="J96" s="64">
        <v>9.3</v>
      </c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</row>
    <row r="97" spans="1:32" ht="12.75">
      <c r="A97" s="63" t="s">
        <v>190</v>
      </c>
      <c r="B97" s="63" t="s">
        <v>189</v>
      </c>
      <c r="D97" s="63" t="s">
        <v>285</v>
      </c>
      <c r="F97" s="66">
        <v>20198.717948718</v>
      </c>
      <c r="G97" s="66"/>
      <c r="H97" s="66">
        <v>20000</v>
      </c>
      <c r="I97" s="66"/>
      <c r="J97" s="66">
        <v>21799.242424242424</v>
      </c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</row>
    <row r="99" spans="2:30" ht="12.75">
      <c r="B99" s="63" t="s">
        <v>41</v>
      </c>
      <c r="F99" s="63">
        <f>'emiss 2'!$G203</f>
        <v>5749</v>
      </c>
      <c r="H99" s="63">
        <f>'emiss 2'!$I203</f>
        <v>5804</v>
      </c>
      <c r="J99" s="63">
        <f>'emiss 2'!$K203</f>
        <v>5820</v>
      </c>
      <c r="P99" s="63">
        <f>'emiss 2'!$G203</f>
        <v>5749</v>
      </c>
      <c r="R99" s="63">
        <f>'emiss 2'!$I203</f>
        <v>5804</v>
      </c>
      <c r="T99" s="63">
        <f>'emiss 2'!$K203</f>
        <v>5820</v>
      </c>
      <c r="Z99" s="63">
        <f>'emiss 2'!$G203</f>
        <v>5749</v>
      </c>
      <c r="AB99" s="63">
        <f>'emiss 2'!$I203</f>
        <v>5804</v>
      </c>
      <c r="AD99" s="63">
        <f>'emiss 2'!$K203</f>
        <v>5820</v>
      </c>
    </row>
    <row r="100" spans="2:30" ht="12.75">
      <c r="B100" s="63" t="s">
        <v>42</v>
      </c>
      <c r="F100" s="63">
        <f>'emiss 2'!$G202</f>
        <v>12.4</v>
      </c>
      <c r="H100" s="63">
        <f>'emiss 2'!$I202</f>
        <v>12.7</v>
      </c>
      <c r="J100" s="63">
        <f>'emiss 2'!$K202</f>
        <v>12.4</v>
      </c>
      <c r="P100" s="63">
        <f>'emiss 2'!$G202</f>
        <v>12.4</v>
      </c>
      <c r="R100" s="63">
        <f>'emiss 2'!$I202</f>
        <v>12.7</v>
      </c>
      <c r="T100" s="63">
        <f>'emiss 2'!$K202</f>
        <v>12.4</v>
      </c>
      <c r="Z100" s="63">
        <f>'emiss 2'!$G202</f>
        <v>12.4</v>
      </c>
      <c r="AB100" s="63">
        <f>'emiss 2'!$I202</f>
        <v>12.7</v>
      </c>
      <c r="AD100" s="63">
        <f>'emiss 2'!$K202</f>
        <v>12.4</v>
      </c>
    </row>
    <row r="102" spans="2:44" ht="12.75">
      <c r="B102" s="63" t="s">
        <v>28</v>
      </c>
      <c r="D102" s="63" t="s">
        <v>43</v>
      </c>
      <c r="F102" s="66">
        <f>F$89*454*F91/100/F$99/0.0283/60*14/(21-F$100)*1000</f>
        <v>1034.6278088772428</v>
      </c>
      <c r="G102" s="64"/>
      <c r="H102" s="66">
        <f>H$89*454*H91/100/H$99/0.0283/60*14/(21-H$100)*1000</f>
        <v>1033.654215139312</v>
      </c>
      <c r="I102" s="64"/>
      <c r="J102" s="66">
        <f>J$89*454*J91/100/J$99/0.0283/60*14/(21-J$100)*1000</f>
        <v>1096.960351340613</v>
      </c>
      <c r="P102" s="66">
        <f>P$89*454*P91/100/P$99/0.0283/60*14/(21-P$100)*1000</f>
        <v>0</v>
      </c>
      <c r="R102" s="66">
        <f>R$89*454*R91/100/R$99/0.0283/60*14/(21-R$100)*1000</f>
        <v>0</v>
      </c>
      <c r="T102" s="66">
        <f>T$89*454*T91/100/T$99/0.0283/60*14/(21-T$100)*1000</f>
        <v>0</v>
      </c>
      <c r="AJ102" s="66">
        <f aca="true" t="shared" si="14" ref="AJ102:AJ107">F102+P102+Z102</f>
        <v>1034.6278088772428</v>
      </c>
      <c r="AL102" s="66">
        <f aca="true" t="shared" si="15" ref="AL102:AL107">H102+R102+AB102</f>
        <v>1033.654215139312</v>
      </c>
      <c r="AN102" s="66">
        <f aca="true" t="shared" si="16" ref="AN102:AN107">J102+T102+AD102</f>
        <v>1096.960351340613</v>
      </c>
      <c r="AP102" s="66"/>
      <c r="AR102" s="66">
        <f aca="true" t="shared" si="17" ref="AR102:AR107">AVERAGE(AJ102,AL102,AN102,AP102)</f>
        <v>1055.0807917857226</v>
      </c>
    </row>
    <row r="103" spans="2:44" ht="12.75">
      <c r="B103" s="63" t="s">
        <v>29</v>
      </c>
      <c r="D103" s="63" t="s">
        <v>38</v>
      </c>
      <c r="F103" s="66">
        <f>F$89*454*F92/1000000/F$99/0.0283/60*14/(21-F$100)*1000000</f>
        <v>39520819.885985315</v>
      </c>
      <c r="G103" s="64"/>
      <c r="H103" s="66">
        <f>H$89*454*H92/1000000/H$99/0.0283/60*14/(21-H$100)*1000000</f>
        <v>41493680.97253553</v>
      </c>
      <c r="I103" s="64"/>
      <c r="J103" s="66">
        <f>J$89*454*J92/1000000/J$99/0.0283/60*14/(21-J$100)*1000000</f>
        <v>34027979.57026931</v>
      </c>
      <c r="P103" s="66">
        <f>P$89*454*P92/1000000/P$99/0.0283/60*14/(21-P$100)*1000000</f>
        <v>0</v>
      </c>
      <c r="R103" s="66">
        <f>R$89*454*R92/1000000/R$99/0.0283/60*14/(21-R$100)*1000000</f>
        <v>0</v>
      </c>
      <c r="T103" s="66">
        <f>T$89*454*T92/1000000/T$99/0.0283/60*14/(21-T$100)*1000000</f>
        <v>0</v>
      </c>
      <c r="AJ103" s="66">
        <f t="shared" si="14"/>
        <v>39520819.885985315</v>
      </c>
      <c r="AL103" s="66">
        <f t="shared" si="15"/>
        <v>41493680.97253553</v>
      </c>
      <c r="AN103" s="66">
        <f t="shared" si="16"/>
        <v>34027979.57026931</v>
      </c>
      <c r="AP103" s="66"/>
      <c r="AR103" s="66">
        <f t="shared" si="17"/>
        <v>38347493.47626338</v>
      </c>
    </row>
    <row r="104" spans="2:44" ht="12.75">
      <c r="B104" s="63" t="s">
        <v>174</v>
      </c>
      <c r="D104" s="63" t="s">
        <v>38</v>
      </c>
      <c r="F104" s="66">
        <f>F$89*454*F93/1000000/F$99/0.0283/60*14/(21-F$100)*1000000</f>
        <v>941.3223329625143</v>
      </c>
      <c r="G104" s="64"/>
      <c r="H104" s="66">
        <f>H$89*454*H93/1000000/H$99/0.0283/60*14/(21-H$100)*1000000</f>
        <v>957.6321969440127</v>
      </c>
      <c r="I104" s="64"/>
      <c r="J104" s="66">
        <f>J$89*454*J93/1000000/J$99/0.0283/60*14/(21-J$100)*1000000</f>
        <v>944.1440604951065</v>
      </c>
      <c r="P104" s="66">
        <f>P$89*454*P93/1000000/P$99/0.0283/60*14/(21-P$100)*1000000</f>
        <v>0</v>
      </c>
      <c r="R104" s="66">
        <f>R$89*454*R93/1000000/R$99/0.0283/60*14/(21-R$100)*1000000</f>
        <v>0</v>
      </c>
      <c r="T104" s="66">
        <f>T$89*454*T93/1000000/T$99/0.0283/60*14/(21-T$100)*1000000</f>
        <v>0</v>
      </c>
      <c r="AJ104" s="66">
        <f t="shared" si="14"/>
        <v>941.3223329625143</v>
      </c>
      <c r="AL104" s="66">
        <f t="shared" si="15"/>
        <v>957.6321969440127</v>
      </c>
      <c r="AN104" s="66">
        <f t="shared" si="16"/>
        <v>944.1440604951065</v>
      </c>
      <c r="AP104" s="66"/>
      <c r="AR104" s="66">
        <f t="shared" si="17"/>
        <v>947.6995301338778</v>
      </c>
    </row>
    <row r="105" spans="2:44" ht="12.75">
      <c r="B105" s="63" t="s">
        <v>175</v>
      </c>
      <c r="D105" s="63" t="s">
        <v>38</v>
      </c>
      <c r="F105" s="66">
        <f aca="true" t="shared" si="18" ref="F105:H107">F$89*454*F94/1000000/F$99/0.0283/60*14/(21-F$100)*1000000</f>
        <v>54.329770785791304</v>
      </c>
      <c r="G105" s="64"/>
      <c r="H105" s="66">
        <f t="shared" si="18"/>
        <v>51.49878651939634</v>
      </c>
      <c r="I105" s="64"/>
      <c r="J105" s="66">
        <f>J$89*454*J94/1000000/J$99/0.0283/60*14/(21-J$100)*1000000</f>
        <v>48.56951879585867</v>
      </c>
      <c r="P105" s="66">
        <f>P$89*454*P94/1000000/P$99/0.0283/60*14/(21-P$100)*1000000</f>
        <v>0</v>
      </c>
      <c r="R105" s="66">
        <f>R$89*454*R94/1000000/R$99/0.0283/60*14/(21-R$100)*1000000</f>
        <v>0</v>
      </c>
      <c r="T105" s="66">
        <f>T$89*454*T94/1000000/T$99/0.0283/60*14/(21-T$100)*1000000</f>
        <v>0</v>
      </c>
      <c r="AJ105" s="66">
        <f t="shared" si="14"/>
        <v>54.329770785791304</v>
      </c>
      <c r="AL105" s="66">
        <f t="shared" si="15"/>
        <v>51.49878651939634</v>
      </c>
      <c r="AN105" s="66">
        <f t="shared" si="16"/>
        <v>48.56951879585867</v>
      </c>
      <c r="AP105" s="66"/>
      <c r="AR105" s="66">
        <f t="shared" si="17"/>
        <v>51.46602536701544</v>
      </c>
    </row>
    <row r="106" spans="2:44" ht="12.75">
      <c r="B106" s="63" t="s">
        <v>176</v>
      </c>
      <c r="D106" s="63" t="s">
        <v>38</v>
      </c>
      <c r="F106" s="66">
        <f t="shared" si="18"/>
        <v>1498.7930245036773</v>
      </c>
      <c r="G106" s="64"/>
      <c r="H106" s="66">
        <f t="shared" si="18"/>
        <v>1465.2630926352053</v>
      </c>
      <c r="I106" s="64"/>
      <c r="J106" s="66">
        <f>J$89*454*J95/1000000/J$99/0.0283/60*14/(21-J$100)*1000000</f>
        <v>1362.3157711033527</v>
      </c>
      <c r="P106" s="66">
        <f>P$89*454*P95/1000000/P$99/0.0283/60*14/(21-P$100)*1000000</f>
        <v>0</v>
      </c>
      <c r="R106" s="66">
        <f>R$89*454*R95/1000000/R$99/0.0283/60*14/(21-R$100)*1000000</f>
        <v>0</v>
      </c>
      <c r="T106" s="66">
        <f>T$89*454*T95/1000000/T$99/0.0283/60*14/(21-T$100)*1000000</f>
        <v>0</v>
      </c>
      <c r="AJ106" s="66">
        <f t="shared" si="14"/>
        <v>1498.7930245036773</v>
      </c>
      <c r="AL106" s="66">
        <f t="shared" si="15"/>
        <v>1465.2630926352053</v>
      </c>
      <c r="AN106" s="66">
        <f t="shared" si="16"/>
        <v>1362.3157711033527</v>
      </c>
      <c r="AP106" s="66"/>
      <c r="AR106" s="66">
        <f t="shared" si="17"/>
        <v>1442.1239627474117</v>
      </c>
    </row>
    <row r="107" spans="2:44" ht="12.75">
      <c r="B107" s="63" t="s">
        <v>178</v>
      </c>
      <c r="D107" s="63" t="s">
        <v>38</v>
      </c>
      <c r="F107" s="66">
        <f t="shared" si="18"/>
        <v>1165.7279079473046</v>
      </c>
      <c r="G107" s="64"/>
      <c r="H107" s="66">
        <f t="shared" si="18"/>
        <v>1185.698251529911</v>
      </c>
      <c r="I107" s="64"/>
      <c r="J107" s="66">
        <f>J$89*454*J96/1000000/J$99/0.0283/60*14/(21-J$100)*1000000</f>
        <v>1101.6988409792334</v>
      </c>
      <c r="P107" s="66">
        <f>P$89*454*P96/1000000/P$99/0.0283/60*14/(21-P$100)*1000000</f>
        <v>0</v>
      </c>
      <c r="R107" s="66">
        <f>R$89*454*R96/1000000/R$99/0.0283/60*14/(21-R$100)*1000000</f>
        <v>0</v>
      </c>
      <c r="T107" s="66">
        <f>T$89*454*T96/1000000/T$99/0.0283/60*14/(21-T$100)*1000000</f>
        <v>0</v>
      </c>
      <c r="AJ107" s="66">
        <f t="shared" si="14"/>
        <v>1165.7279079473046</v>
      </c>
      <c r="AL107" s="66">
        <f t="shared" si="15"/>
        <v>1185.698251529911</v>
      </c>
      <c r="AN107" s="66">
        <f t="shared" si="16"/>
        <v>1101.6988409792334</v>
      </c>
      <c r="AP107" s="66"/>
      <c r="AR107" s="66">
        <f t="shared" si="17"/>
        <v>1151.0416668188163</v>
      </c>
    </row>
    <row r="108" spans="6:20" ht="12.75">
      <c r="F108" s="66"/>
      <c r="G108" s="64"/>
      <c r="H108" s="66"/>
      <c r="I108" s="64"/>
      <c r="J108" s="66"/>
      <c r="P108" s="66"/>
      <c r="R108" s="66"/>
      <c r="T108" s="66"/>
    </row>
    <row r="109" spans="2:44" ht="12.75">
      <c r="B109" s="63" t="s">
        <v>39</v>
      </c>
      <c r="D109" s="63" t="s">
        <v>38</v>
      </c>
      <c r="F109" s="66">
        <f>F105</f>
        <v>54.329770785791304</v>
      </c>
      <c r="G109" s="64"/>
      <c r="H109" s="66">
        <f>H105</f>
        <v>51.49878651939634</v>
      </c>
      <c r="I109" s="64"/>
      <c r="J109" s="66">
        <f>J105</f>
        <v>48.56951879585867</v>
      </c>
      <c r="P109" s="66">
        <f>P105</f>
        <v>0</v>
      </c>
      <c r="R109" s="66">
        <f>R105</f>
        <v>0</v>
      </c>
      <c r="T109" s="66">
        <f>T105</f>
        <v>0</v>
      </c>
      <c r="AJ109" s="66">
        <f>F109+P109+Z109</f>
        <v>54.329770785791304</v>
      </c>
      <c r="AL109" s="66">
        <f>H109+R109+AB109</f>
        <v>51.49878651939634</v>
      </c>
      <c r="AN109" s="66">
        <f>J109+T109+AD109</f>
        <v>48.56951879585867</v>
      </c>
      <c r="AP109" s="66"/>
      <c r="AR109" s="66">
        <f>AVERAGE(AJ109,AL109,AN109,AP109)</f>
        <v>51.46602536701544</v>
      </c>
    </row>
    <row r="110" spans="2:44" ht="12.75">
      <c r="B110" s="63" t="s">
        <v>40</v>
      </c>
      <c r="D110" s="63" t="s">
        <v>38</v>
      </c>
      <c r="F110" s="66">
        <f>F104+F106</f>
        <v>2440.1153574661917</v>
      </c>
      <c r="G110" s="64"/>
      <c r="H110" s="66">
        <f>H104+H106</f>
        <v>2422.895289579218</v>
      </c>
      <c r="I110" s="64"/>
      <c r="J110" s="66">
        <f>J104+J106</f>
        <v>2306.4598315984595</v>
      </c>
      <c r="P110" s="66">
        <f>P104+P106</f>
        <v>0</v>
      </c>
      <c r="R110" s="66">
        <f>R104+R106</f>
        <v>0</v>
      </c>
      <c r="T110" s="66">
        <f>T104+T106</f>
        <v>0</v>
      </c>
      <c r="AJ110" s="66">
        <f>F110+P110+Z110</f>
        <v>2440.1153574661917</v>
      </c>
      <c r="AL110" s="66">
        <f>H110+R110+AB110</f>
        <v>2422.895289579218</v>
      </c>
      <c r="AN110" s="66">
        <f>J110+T110+AD110</f>
        <v>2306.4598315984595</v>
      </c>
      <c r="AP110" s="66"/>
      <c r="AR110" s="66">
        <f>AVERAGE(AJ110,AL110,AN110,AP110)</f>
        <v>2389.82349288129</v>
      </c>
    </row>
  </sheetData>
  <printOptions headings="1" horizontalCentered="1"/>
  <pageMargins left="0.25" right="0.25" top="0.5" bottom="0.5" header="0.25" footer="0.25"/>
  <pageSetup horizontalDpi="1200" verticalDpi="12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B1">
      <selection activeCell="B31" sqref="B31"/>
    </sheetView>
  </sheetViews>
  <sheetFormatPr defaultColWidth="9.140625" defaultRowHeight="12.75"/>
  <cols>
    <col min="1" max="1" width="3.7109375" style="0" hidden="1" customWidth="1"/>
    <col min="2" max="2" width="38.8515625" style="0" customWidth="1"/>
    <col min="3" max="3" width="6.0039062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2" t="s">
        <v>49</v>
      </c>
      <c r="C1" s="9"/>
      <c r="D1" s="9"/>
      <c r="E1" s="9"/>
      <c r="F1" s="9"/>
    </row>
    <row r="2" spans="2:6" ht="12.75">
      <c r="B2" s="9"/>
      <c r="C2" s="9"/>
      <c r="D2" s="9"/>
      <c r="E2" s="9"/>
      <c r="F2" s="9"/>
    </row>
    <row r="3" spans="1:6" ht="12.75">
      <c r="A3" t="s">
        <v>72</v>
      </c>
      <c r="B3" s="2" t="s">
        <v>169</v>
      </c>
      <c r="C3" s="9"/>
      <c r="D3" s="9"/>
      <c r="E3" s="9"/>
      <c r="F3" s="9"/>
    </row>
    <row r="4" spans="2:6" ht="12.75">
      <c r="B4" s="2"/>
      <c r="C4" s="9"/>
      <c r="D4" s="9"/>
      <c r="E4" s="9"/>
      <c r="F4" s="9"/>
    </row>
    <row r="5" spans="2:6" ht="12.75">
      <c r="B5" s="9" t="s">
        <v>157</v>
      </c>
      <c r="C5" s="9" t="s">
        <v>153</v>
      </c>
      <c r="D5" s="9"/>
      <c r="E5" s="9"/>
      <c r="F5" s="9"/>
    </row>
    <row r="6" spans="2:6" ht="12.75">
      <c r="B6" s="9" t="s">
        <v>158</v>
      </c>
      <c r="C6" s="9" t="s">
        <v>153</v>
      </c>
      <c r="D6" s="9"/>
      <c r="E6" s="9"/>
      <c r="F6" s="9"/>
    </row>
    <row r="7" spans="2:6" ht="12.75">
      <c r="B7" s="9" t="s">
        <v>159</v>
      </c>
      <c r="C7" s="9" t="s">
        <v>154</v>
      </c>
      <c r="D7" s="9"/>
      <c r="E7" s="9"/>
      <c r="F7" s="9"/>
    </row>
    <row r="8" spans="2:7" ht="12.75">
      <c r="B8" s="9" t="s">
        <v>160</v>
      </c>
      <c r="C8" s="9" t="s">
        <v>155</v>
      </c>
      <c r="D8" s="9"/>
      <c r="E8" s="9"/>
      <c r="F8" s="9"/>
      <c r="G8" s="34"/>
    </row>
    <row r="9" spans="2:6" ht="12.75">
      <c r="B9" s="9" t="s">
        <v>161</v>
      </c>
      <c r="C9" s="9" t="s">
        <v>153</v>
      </c>
      <c r="D9" s="9"/>
      <c r="E9" s="9"/>
      <c r="F9" s="9"/>
    </row>
    <row r="10" spans="2:6" ht="14.25">
      <c r="B10" s="9" t="s">
        <v>152</v>
      </c>
      <c r="C10" s="9"/>
      <c r="D10" s="3"/>
      <c r="E10" s="9"/>
      <c r="F10" s="9"/>
    </row>
    <row r="11" spans="2:6" ht="12.75">
      <c r="B11" s="9" t="s">
        <v>162</v>
      </c>
      <c r="C11" s="9" t="s">
        <v>156</v>
      </c>
      <c r="D11" s="9"/>
      <c r="E11" s="9"/>
      <c r="F11" s="9"/>
    </row>
    <row r="12" spans="2:6" ht="12.75">
      <c r="B12" s="9" t="s">
        <v>163</v>
      </c>
      <c r="C12" s="9" t="s">
        <v>156</v>
      </c>
      <c r="D12" s="9"/>
      <c r="E12" s="9"/>
      <c r="F12" s="9"/>
    </row>
    <row r="13" spans="2:6" ht="12.75">
      <c r="B13" s="9"/>
      <c r="C13" s="9"/>
      <c r="D13" s="9"/>
      <c r="E13" s="29"/>
      <c r="F13" s="9"/>
    </row>
    <row r="14" spans="2:6" ht="12.75">
      <c r="B14" s="9"/>
      <c r="C14" s="9"/>
      <c r="D14" s="9"/>
      <c r="E14" s="27"/>
      <c r="F14" s="9"/>
    </row>
    <row r="15" spans="2:6" ht="12.75">
      <c r="B15" s="9"/>
      <c r="C15" s="9"/>
      <c r="D15" s="9"/>
      <c r="E15" s="26"/>
      <c r="F15" s="9"/>
    </row>
    <row r="16" spans="2:6" ht="12.75">
      <c r="B16" s="9"/>
      <c r="C16" s="9"/>
      <c r="D16" s="9"/>
      <c r="E16" s="9"/>
      <c r="F16" s="9"/>
    </row>
    <row r="17" spans="2:6" ht="12.75">
      <c r="B17" s="9"/>
      <c r="C17" s="9"/>
      <c r="D17" s="9"/>
      <c r="E17" s="9"/>
      <c r="F17" s="9"/>
    </row>
    <row r="18" spans="2:6" ht="12.75">
      <c r="B18" s="9"/>
      <c r="C18" s="9"/>
      <c r="D18" s="9"/>
      <c r="E18" s="9"/>
      <c r="F18" s="9"/>
    </row>
    <row r="19" spans="2:6" ht="12.75">
      <c r="B19" s="9"/>
      <c r="C19" s="9"/>
      <c r="D19" s="9"/>
      <c r="E19" s="9"/>
      <c r="F19" s="9"/>
    </row>
    <row r="20" spans="2:6" ht="12.75">
      <c r="B20" s="9"/>
      <c r="C20" s="9"/>
      <c r="D20" s="9"/>
      <c r="E20" s="9"/>
      <c r="F20" s="9"/>
    </row>
    <row r="21" spans="2:6" ht="12.75">
      <c r="B21" s="9"/>
      <c r="C21" s="9"/>
      <c r="D21" s="9"/>
      <c r="E21" s="26"/>
      <c r="F21" s="9"/>
    </row>
    <row r="22" spans="2:6" ht="12.75">
      <c r="B22" s="9"/>
      <c r="C22" s="9"/>
      <c r="D22" s="9"/>
      <c r="E22" s="9"/>
      <c r="F22" s="9"/>
    </row>
    <row r="23" spans="2:6" ht="12.75">
      <c r="B23" s="9"/>
      <c r="C23" s="9"/>
      <c r="D23" s="9"/>
      <c r="E23" s="9"/>
      <c r="F23" s="9"/>
    </row>
    <row r="24" spans="2:6" ht="12.75">
      <c r="B24" s="9"/>
      <c r="C24" s="9"/>
      <c r="D24" s="9"/>
      <c r="E24" s="9"/>
      <c r="F24" s="9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B31" sqref="B31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9.421875" style="0" customWidth="1"/>
    <col min="4" max="4" width="5.14062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0" customWidth="1"/>
    <col min="11" max="11" width="9.28125" style="0" customWidth="1"/>
    <col min="13" max="13" width="9.28125" style="0" customWidth="1"/>
    <col min="14" max="14" width="6.00390625" style="0" customWidth="1"/>
    <col min="16" max="16" width="9.00390625" style="0" customWidth="1"/>
    <col min="18" max="18" width="9.00390625" style="0" customWidth="1"/>
  </cols>
  <sheetData>
    <row r="1" spans="1:18" ht="12.75">
      <c r="A1" s="45" t="s">
        <v>83</v>
      </c>
      <c r="B1" s="23"/>
      <c r="C1" s="23"/>
      <c r="D1" s="23"/>
      <c r="E1" s="46"/>
      <c r="F1" s="47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9" customHeight="1">
      <c r="A2" s="23" t="s">
        <v>322</v>
      </c>
      <c r="B2" s="23"/>
      <c r="C2" s="23"/>
      <c r="D2" s="23"/>
      <c r="E2" s="46"/>
      <c r="F2" s="47"/>
      <c r="G2" s="46"/>
      <c r="H2" s="47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2.75">
      <c r="A3" s="23" t="s">
        <v>84</v>
      </c>
      <c r="B3" s="23"/>
      <c r="C3" s="8" t="s">
        <v>150</v>
      </c>
      <c r="D3" s="8"/>
      <c r="E3" s="46"/>
      <c r="F3" s="47"/>
      <c r="G3" s="46"/>
      <c r="H3" s="47"/>
      <c r="I3" s="46"/>
      <c r="J3" s="48"/>
      <c r="K3" s="46"/>
      <c r="L3" s="46"/>
      <c r="M3" s="46"/>
      <c r="N3" s="46"/>
      <c r="O3" s="46"/>
      <c r="P3" s="46"/>
      <c r="Q3" s="46"/>
      <c r="R3" s="46"/>
    </row>
    <row r="4" spans="1:18" ht="12.75">
      <c r="A4" s="23" t="s">
        <v>85</v>
      </c>
      <c r="B4" s="23"/>
      <c r="C4" s="8" t="s">
        <v>167</v>
      </c>
      <c r="D4" s="8"/>
      <c r="E4" s="49"/>
      <c r="F4" s="50"/>
      <c r="G4" s="49"/>
      <c r="H4" s="50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12.75">
      <c r="A5" s="23" t="s">
        <v>86</v>
      </c>
      <c r="B5" s="23"/>
      <c r="C5" s="54" t="s">
        <v>151</v>
      </c>
      <c r="D5" s="9"/>
      <c r="E5" s="9"/>
      <c r="F5" s="9"/>
      <c r="G5" s="9"/>
      <c r="H5" s="9"/>
      <c r="I5" s="9"/>
      <c r="J5" s="9"/>
      <c r="K5" s="46"/>
      <c r="L5" s="9"/>
      <c r="M5" s="46"/>
      <c r="N5" s="46"/>
      <c r="O5" s="46"/>
      <c r="P5" s="46"/>
      <c r="Q5" s="46"/>
      <c r="R5" s="46"/>
    </row>
    <row r="6" spans="1:18" ht="12.75">
      <c r="A6" s="23"/>
      <c r="B6" s="23"/>
      <c r="C6" s="24"/>
      <c r="D6" s="24"/>
      <c r="E6" s="28"/>
      <c r="F6" s="47"/>
      <c r="G6" s="28"/>
      <c r="H6" s="47"/>
      <c r="I6" s="46"/>
      <c r="J6" s="28"/>
      <c r="K6" s="46"/>
      <c r="L6" s="28"/>
      <c r="M6" s="46"/>
      <c r="N6" s="46"/>
      <c r="O6" s="28"/>
      <c r="P6" s="46"/>
      <c r="Q6" s="28"/>
      <c r="R6" s="46"/>
    </row>
    <row r="7" spans="1:18" ht="12.75">
      <c r="A7" s="23"/>
      <c r="B7" s="23"/>
      <c r="C7" s="24" t="s">
        <v>87</v>
      </c>
      <c r="D7" s="24"/>
      <c r="E7" s="95" t="s">
        <v>34</v>
      </c>
      <c r="F7" s="95"/>
      <c r="G7" s="95"/>
      <c r="H7" s="95"/>
      <c r="I7" s="96"/>
      <c r="J7" s="95" t="s">
        <v>35</v>
      </c>
      <c r="K7" s="95"/>
      <c r="L7" s="95"/>
      <c r="M7" s="95"/>
      <c r="N7" s="96"/>
      <c r="O7" s="95" t="s">
        <v>36</v>
      </c>
      <c r="P7" s="95"/>
      <c r="Q7" s="95"/>
      <c r="R7" s="95"/>
    </row>
    <row r="8" spans="1:18" ht="12.75">
      <c r="A8" s="23"/>
      <c r="B8" s="23"/>
      <c r="C8" s="24" t="s">
        <v>88</v>
      </c>
      <c r="D8" s="23"/>
      <c r="E8" s="28" t="s">
        <v>80</v>
      </c>
      <c r="F8" s="50" t="s">
        <v>89</v>
      </c>
      <c r="G8" s="28" t="s">
        <v>80</v>
      </c>
      <c r="H8" s="50" t="s">
        <v>89</v>
      </c>
      <c r="I8" s="46"/>
      <c r="J8" s="28" t="s">
        <v>80</v>
      </c>
      <c r="K8" s="28" t="s">
        <v>90</v>
      </c>
      <c r="L8" s="28" t="s">
        <v>80</v>
      </c>
      <c r="M8" s="28" t="s">
        <v>90</v>
      </c>
      <c r="N8" s="46"/>
      <c r="O8" s="28" t="s">
        <v>80</v>
      </c>
      <c r="P8" s="28" t="s">
        <v>90</v>
      </c>
      <c r="Q8" s="28" t="s">
        <v>80</v>
      </c>
      <c r="R8" s="28" t="s">
        <v>90</v>
      </c>
    </row>
    <row r="9" spans="1:18" ht="12.75">
      <c r="A9" s="23"/>
      <c r="B9" s="23"/>
      <c r="C9" s="24"/>
      <c r="D9" s="23"/>
      <c r="E9" s="28" t="s">
        <v>246</v>
      </c>
      <c r="F9" s="28" t="s">
        <v>246</v>
      </c>
      <c r="G9" s="28" t="s">
        <v>91</v>
      </c>
      <c r="H9" s="50" t="s">
        <v>91</v>
      </c>
      <c r="I9" s="46"/>
      <c r="J9" s="28" t="s">
        <v>246</v>
      </c>
      <c r="K9" s="28" t="s">
        <v>246</v>
      </c>
      <c r="L9" s="28" t="s">
        <v>91</v>
      </c>
      <c r="M9" s="50" t="s">
        <v>91</v>
      </c>
      <c r="N9" s="46"/>
      <c r="O9" s="28" t="s">
        <v>246</v>
      </c>
      <c r="P9" s="28" t="s">
        <v>246</v>
      </c>
      <c r="Q9" s="28" t="s">
        <v>91</v>
      </c>
      <c r="R9" s="50" t="s">
        <v>91</v>
      </c>
    </row>
    <row r="10" spans="1:18" ht="12.75">
      <c r="A10" s="23" t="s">
        <v>124</v>
      </c>
      <c r="B10" s="23"/>
      <c r="C10" s="23"/>
      <c r="D10" s="23"/>
      <c r="E10" s="46"/>
      <c r="F10" s="47"/>
      <c r="G10" s="46"/>
      <c r="H10" s="47"/>
      <c r="I10" s="46"/>
      <c r="J10" s="46"/>
      <c r="K10" s="46"/>
      <c r="L10" s="46"/>
      <c r="M10" s="46"/>
      <c r="N10" s="46"/>
      <c r="O10" s="25"/>
      <c r="P10" s="46"/>
      <c r="Q10" s="46"/>
      <c r="R10" s="46"/>
    </row>
    <row r="11" spans="1:18" ht="12.75">
      <c r="A11" s="23"/>
      <c r="B11" s="23" t="s">
        <v>92</v>
      </c>
      <c r="C11" s="24">
        <v>1</v>
      </c>
      <c r="D11" s="24"/>
      <c r="E11" s="52">
        <v>0.0053</v>
      </c>
      <c r="F11" s="52">
        <f aca="true" t="shared" si="0" ref="F11:H35">IF(E11="","",E11*$C11)</f>
        <v>0.0053</v>
      </c>
      <c r="G11" s="52">
        <f aca="true" t="shared" si="1" ref="G11:G35">IF(E11=0,"",IF(D11="nd",E11/2,E11))</f>
        <v>0.0053</v>
      </c>
      <c r="H11" s="52">
        <f t="shared" si="0"/>
        <v>0.0053</v>
      </c>
      <c r="I11" s="52"/>
      <c r="J11" s="52">
        <v>0.0089</v>
      </c>
      <c r="K11" s="52">
        <f aca="true" t="shared" si="2" ref="K11:M35">IF(J11="","",J11*$C11)</f>
        <v>0.0089</v>
      </c>
      <c r="L11" s="52">
        <f aca="true" t="shared" si="3" ref="L11:L35">IF(J11=0,"",IF(I11="nd",J11/2,J11))</f>
        <v>0.0089</v>
      </c>
      <c r="M11" s="52">
        <f t="shared" si="2"/>
        <v>0.0089</v>
      </c>
      <c r="N11" s="52"/>
      <c r="O11" s="52">
        <v>0.011</v>
      </c>
      <c r="P11" s="52">
        <f aca="true" t="shared" si="4" ref="P11:R35">IF(O11="","",O11*$C11)</f>
        <v>0.011</v>
      </c>
      <c r="Q11" s="52">
        <f aca="true" t="shared" si="5" ref="Q11:Q35">IF(O11=0,"",IF(N11="nd",O11/2,O11))</f>
        <v>0.011</v>
      </c>
      <c r="R11" s="52">
        <f t="shared" si="4"/>
        <v>0.011</v>
      </c>
    </row>
    <row r="12" spans="1:18" ht="12.75">
      <c r="A12" s="23"/>
      <c r="B12" s="23" t="s">
        <v>93</v>
      </c>
      <c r="C12" s="24">
        <v>0.5</v>
      </c>
      <c r="D12" s="24"/>
      <c r="E12" s="52">
        <v>0.0048</v>
      </c>
      <c r="F12" s="52">
        <f t="shared" si="0"/>
        <v>0.0024</v>
      </c>
      <c r="G12" s="52">
        <f t="shared" si="1"/>
        <v>0.0048</v>
      </c>
      <c r="H12" s="52">
        <f t="shared" si="0"/>
        <v>0.0024</v>
      </c>
      <c r="I12" s="52"/>
      <c r="J12" s="52">
        <v>0.0093</v>
      </c>
      <c r="K12" s="52">
        <f t="shared" si="2"/>
        <v>0.00465</v>
      </c>
      <c r="L12" s="52">
        <f t="shared" si="3"/>
        <v>0.0093</v>
      </c>
      <c r="M12" s="52">
        <f t="shared" si="2"/>
        <v>0.00465</v>
      </c>
      <c r="N12" s="52"/>
      <c r="O12" s="52">
        <v>0.014</v>
      </c>
      <c r="P12" s="52">
        <f t="shared" si="4"/>
        <v>0.007</v>
      </c>
      <c r="Q12" s="52">
        <f t="shared" si="5"/>
        <v>0.014</v>
      </c>
      <c r="R12" s="52">
        <f t="shared" si="4"/>
        <v>0.007</v>
      </c>
    </row>
    <row r="13" spans="1:18" ht="12.75">
      <c r="A13" s="23"/>
      <c r="B13" s="23" t="s">
        <v>94</v>
      </c>
      <c r="C13" s="24">
        <v>0.1</v>
      </c>
      <c r="D13" s="24"/>
      <c r="E13" s="52">
        <v>0.0032</v>
      </c>
      <c r="F13" s="52">
        <f t="shared" si="0"/>
        <v>0.00032</v>
      </c>
      <c r="G13" s="52">
        <f t="shared" si="1"/>
        <v>0.0032</v>
      </c>
      <c r="H13" s="52">
        <f t="shared" si="0"/>
        <v>0.00032</v>
      </c>
      <c r="I13" s="52"/>
      <c r="J13" s="52">
        <v>0.0046</v>
      </c>
      <c r="K13" s="52">
        <f>IF(J13="","",J13*$C13)</f>
        <v>0.00046</v>
      </c>
      <c r="L13" s="52">
        <f t="shared" si="3"/>
        <v>0.0046</v>
      </c>
      <c r="M13" s="52">
        <f>IF(L13="","",L13*$C13)</f>
        <v>0.00046</v>
      </c>
      <c r="N13" s="52"/>
      <c r="O13" s="52">
        <v>0.0074</v>
      </c>
      <c r="P13" s="52">
        <f t="shared" si="4"/>
        <v>0.0007400000000000001</v>
      </c>
      <c r="Q13" s="52">
        <f t="shared" si="5"/>
        <v>0.0074</v>
      </c>
      <c r="R13" s="52">
        <f t="shared" si="4"/>
        <v>0.0007400000000000001</v>
      </c>
    </row>
    <row r="14" spans="1:18" ht="12.75">
      <c r="A14" s="23"/>
      <c r="B14" s="23" t="s">
        <v>95</v>
      </c>
      <c r="C14" s="24">
        <v>0.1</v>
      </c>
      <c r="D14" s="24"/>
      <c r="E14" s="52">
        <v>0.0035</v>
      </c>
      <c r="F14" s="52">
        <f t="shared" si="0"/>
        <v>0.00035000000000000005</v>
      </c>
      <c r="G14" s="52">
        <f t="shared" si="1"/>
        <v>0.0035</v>
      </c>
      <c r="H14" s="52">
        <f t="shared" si="0"/>
        <v>0.00035000000000000005</v>
      </c>
      <c r="I14" s="52"/>
      <c r="J14" s="52">
        <v>0.0059</v>
      </c>
      <c r="K14" s="52">
        <f t="shared" si="2"/>
        <v>0.00059</v>
      </c>
      <c r="L14" s="52">
        <f t="shared" si="3"/>
        <v>0.0059</v>
      </c>
      <c r="M14" s="52">
        <f t="shared" si="2"/>
        <v>0.00059</v>
      </c>
      <c r="N14" s="52"/>
      <c r="O14" s="52">
        <v>0.011</v>
      </c>
      <c r="P14" s="52">
        <f t="shared" si="4"/>
        <v>0.0011</v>
      </c>
      <c r="Q14" s="52">
        <f t="shared" si="5"/>
        <v>0.011</v>
      </c>
      <c r="R14" s="52">
        <f t="shared" si="4"/>
        <v>0.0011</v>
      </c>
    </row>
    <row r="15" spans="1:18" ht="12.75">
      <c r="A15" s="23"/>
      <c r="B15" s="23" t="s">
        <v>96</v>
      </c>
      <c r="C15" s="24">
        <v>0.1</v>
      </c>
      <c r="D15" s="24"/>
      <c r="E15" s="52">
        <v>0.0025</v>
      </c>
      <c r="F15" s="52">
        <f t="shared" si="0"/>
        <v>0.00025</v>
      </c>
      <c r="G15" s="52">
        <f t="shared" si="1"/>
        <v>0.0025</v>
      </c>
      <c r="H15" s="52">
        <f t="shared" si="0"/>
        <v>0.00025</v>
      </c>
      <c r="I15" s="52"/>
      <c r="J15" s="52">
        <v>0.0035</v>
      </c>
      <c r="K15" s="52">
        <f t="shared" si="2"/>
        <v>0.00035000000000000005</v>
      </c>
      <c r="L15" s="52">
        <f t="shared" si="3"/>
        <v>0.0035</v>
      </c>
      <c r="M15" s="52">
        <f t="shared" si="2"/>
        <v>0.00035000000000000005</v>
      </c>
      <c r="N15" s="52"/>
      <c r="O15" s="52">
        <v>0.0054</v>
      </c>
      <c r="P15" s="52">
        <f t="shared" si="4"/>
        <v>0.00054</v>
      </c>
      <c r="Q15" s="52">
        <f t="shared" si="5"/>
        <v>0.0054</v>
      </c>
      <c r="R15" s="52">
        <f t="shared" si="4"/>
        <v>0.00054</v>
      </c>
    </row>
    <row r="16" spans="1:18" ht="12.75">
      <c r="A16" s="23"/>
      <c r="B16" s="23" t="s">
        <v>97</v>
      </c>
      <c r="C16" s="24">
        <v>0.01</v>
      </c>
      <c r="D16" s="24"/>
      <c r="E16" s="52">
        <v>0.011</v>
      </c>
      <c r="F16" s="52">
        <f t="shared" si="0"/>
        <v>0.00010999999999999999</v>
      </c>
      <c r="G16" s="52">
        <f t="shared" si="1"/>
        <v>0.011</v>
      </c>
      <c r="H16" s="52">
        <f t="shared" si="0"/>
        <v>0.00010999999999999999</v>
      </c>
      <c r="I16" s="52"/>
      <c r="J16" s="52">
        <v>0.013</v>
      </c>
      <c r="K16" s="52">
        <f t="shared" si="2"/>
        <v>0.00013</v>
      </c>
      <c r="L16" s="52">
        <f t="shared" si="3"/>
        <v>0.013</v>
      </c>
      <c r="M16" s="52">
        <f t="shared" si="2"/>
        <v>0.00013</v>
      </c>
      <c r="N16" s="52"/>
      <c r="O16" s="52">
        <v>0.011</v>
      </c>
      <c r="P16" s="52">
        <f t="shared" si="4"/>
        <v>0.00010999999999999999</v>
      </c>
      <c r="Q16" s="52">
        <f t="shared" si="5"/>
        <v>0.011</v>
      </c>
      <c r="R16" s="52">
        <f t="shared" si="4"/>
        <v>0.00010999999999999999</v>
      </c>
    </row>
    <row r="17" spans="1:18" ht="12.75">
      <c r="A17" s="23"/>
      <c r="B17" s="23" t="s">
        <v>98</v>
      </c>
      <c r="C17" s="24">
        <v>0.001</v>
      </c>
      <c r="D17" s="24"/>
      <c r="E17" s="52">
        <v>0.04</v>
      </c>
      <c r="F17" s="52">
        <f t="shared" si="0"/>
        <v>4E-05</v>
      </c>
      <c r="G17" s="52">
        <f t="shared" si="1"/>
        <v>0.04</v>
      </c>
      <c r="H17" s="52">
        <f t="shared" si="0"/>
        <v>4E-05</v>
      </c>
      <c r="I17" s="52"/>
      <c r="J17" s="52">
        <v>0.04</v>
      </c>
      <c r="K17" s="52">
        <f t="shared" si="2"/>
        <v>4E-05</v>
      </c>
      <c r="L17" s="52">
        <f t="shared" si="3"/>
        <v>0.04</v>
      </c>
      <c r="M17" s="52">
        <f t="shared" si="2"/>
        <v>4E-05</v>
      </c>
      <c r="N17" s="52"/>
      <c r="O17" s="52">
        <v>0.018</v>
      </c>
      <c r="P17" s="52">
        <f t="shared" si="4"/>
        <v>1.8E-05</v>
      </c>
      <c r="Q17" s="52">
        <f t="shared" si="5"/>
        <v>0.018</v>
      </c>
      <c r="R17" s="52">
        <f t="shared" si="4"/>
        <v>1.8E-05</v>
      </c>
    </row>
    <row r="18" spans="1:18" ht="12.75">
      <c r="A18" s="23"/>
      <c r="B18" s="23" t="s">
        <v>99</v>
      </c>
      <c r="C18" s="24">
        <v>0.1</v>
      </c>
      <c r="D18" s="24"/>
      <c r="E18" s="52">
        <v>0.022</v>
      </c>
      <c r="F18" s="52">
        <f t="shared" si="0"/>
        <v>0.0022</v>
      </c>
      <c r="G18" s="52">
        <f t="shared" si="1"/>
        <v>0.022</v>
      </c>
      <c r="H18" s="52">
        <f t="shared" si="0"/>
        <v>0.0022</v>
      </c>
      <c r="I18" s="52"/>
      <c r="J18" s="52">
        <v>0.047</v>
      </c>
      <c r="K18" s="52">
        <f t="shared" si="2"/>
        <v>0.0047</v>
      </c>
      <c r="L18" s="52">
        <f t="shared" si="3"/>
        <v>0.047</v>
      </c>
      <c r="M18" s="52">
        <f t="shared" si="2"/>
        <v>0.0047</v>
      </c>
      <c r="N18" s="52"/>
      <c r="O18" s="52">
        <v>0.071</v>
      </c>
      <c r="P18" s="52">
        <f t="shared" si="4"/>
        <v>0.0070999999999999995</v>
      </c>
      <c r="Q18" s="52">
        <f t="shared" si="5"/>
        <v>0.071</v>
      </c>
      <c r="R18" s="52">
        <f t="shared" si="4"/>
        <v>0.0070999999999999995</v>
      </c>
    </row>
    <row r="19" spans="1:18" ht="12.75">
      <c r="A19" s="23"/>
      <c r="B19" s="23" t="s">
        <v>100</v>
      </c>
      <c r="C19" s="24">
        <v>0.05</v>
      </c>
      <c r="D19" s="24"/>
      <c r="E19" s="52">
        <v>0.054</v>
      </c>
      <c r="F19" s="52">
        <f t="shared" si="0"/>
        <v>0.0027</v>
      </c>
      <c r="G19" s="52">
        <f t="shared" si="1"/>
        <v>0.054</v>
      </c>
      <c r="H19" s="52">
        <f t="shared" si="0"/>
        <v>0.0027</v>
      </c>
      <c r="I19" s="52"/>
      <c r="J19" s="52">
        <v>0.14</v>
      </c>
      <c r="K19" s="52">
        <f t="shared" si="2"/>
        <v>0.007000000000000001</v>
      </c>
      <c r="L19" s="52">
        <f t="shared" si="3"/>
        <v>0.14</v>
      </c>
      <c r="M19" s="52">
        <f t="shared" si="2"/>
        <v>0.007000000000000001</v>
      </c>
      <c r="N19" s="52"/>
      <c r="O19" s="52">
        <v>0.21</v>
      </c>
      <c r="P19" s="52">
        <f t="shared" si="4"/>
        <v>0.0105</v>
      </c>
      <c r="Q19" s="52">
        <f t="shared" si="5"/>
        <v>0.21</v>
      </c>
      <c r="R19" s="52">
        <f t="shared" si="4"/>
        <v>0.0105</v>
      </c>
    </row>
    <row r="20" spans="1:18" ht="12.75">
      <c r="A20" s="23"/>
      <c r="B20" s="23" t="s">
        <v>101</v>
      </c>
      <c r="C20" s="24">
        <v>0.5</v>
      </c>
      <c r="D20" s="24"/>
      <c r="E20" s="52">
        <v>0.015</v>
      </c>
      <c r="F20" s="52">
        <f t="shared" si="0"/>
        <v>0.0075</v>
      </c>
      <c r="G20" s="52">
        <f t="shared" si="1"/>
        <v>0.015</v>
      </c>
      <c r="H20" s="52">
        <f t="shared" si="0"/>
        <v>0.0075</v>
      </c>
      <c r="I20" s="52"/>
      <c r="J20" s="52">
        <v>0.025</v>
      </c>
      <c r="K20" s="52">
        <f t="shared" si="2"/>
        <v>0.0125</v>
      </c>
      <c r="L20" s="52">
        <f t="shared" si="3"/>
        <v>0.025</v>
      </c>
      <c r="M20" s="52">
        <f t="shared" si="2"/>
        <v>0.0125</v>
      </c>
      <c r="N20" s="52"/>
      <c r="O20" s="52">
        <v>0.035</v>
      </c>
      <c r="P20" s="52">
        <f t="shared" si="4"/>
        <v>0.0175</v>
      </c>
      <c r="Q20" s="52">
        <f t="shared" si="5"/>
        <v>0.035</v>
      </c>
      <c r="R20" s="52">
        <f t="shared" si="4"/>
        <v>0.0175</v>
      </c>
    </row>
    <row r="21" spans="1:18" ht="12.75">
      <c r="A21" s="23"/>
      <c r="B21" s="23" t="s">
        <v>102</v>
      </c>
      <c r="C21" s="24">
        <v>0.1</v>
      </c>
      <c r="D21" s="24"/>
      <c r="E21" s="52">
        <v>0.066</v>
      </c>
      <c r="F21" s="52">
        <f t="shared" si="0"/>
        <v>0.006600000000000001</v>
      </c>
      <c r="G21" s="52">
        <f t="shared" si="1"/>
        <v>0.066</v>
      </c>
      <c r="H21" s="52">
        <f t="shared" si="0"/>
        <v>0.006600000000000001</v>
      </c>
      <c r="I21" s="52"/>
      <c r="J21" s="52">
        <v>0.16</v>
      </c>
      <c r="K21" s="52">
        <f t="shared" si="2"/>
        <v>0.016</v>
      </c>
      <c r="L21" s="52">
        <f t="shared" si="3"/>
        <v>0.16</v>
      </c>
      <c r="M21" s="52">
        <f t="shared" si="2"/>
        <v>0.016</v>
      </c>
      <c r="N21" s="52"/>
      <c r="O21" s="52">
        <v>0.22</v>
      </c>
      <c r="P21" s="52">
        <f t="shared" si="4"/>
        <v>0.022000000000000002</v>
      </c>
      <c r="Q21" s="52">
        <f t="shared" si="5"/>
        <v>0.22</v>
      </c>
      <c r="R21" s="52">
        <f t="shared" si="4"/>
        <v>0.022000000000000002</v>
      </c>
    </row>
    <row r="22" spans="1:18" ht="12.75">
      <c r="A22" s="23"/>
      <c r="B22" s="23" t="s">
        <v>103</v>
      </c>
      <c r="C22" s="24">
        <v>0.1</v>
      </c>
      <c r="D22" s="24"/>
      <c r="E22" s="52">
        <v>0.035</v>
      </c>
      <c r="F22" s="52">
        <f t="shared" si="0"/>
        <v>0.0035000000000000005</v>
      </c>
      <c r="G22" s="52">
        <f t="shared" si="1"/>
        <v>0.035</v>
      </c>
      <c r="H22" s="52">
        <f t="shared" si="0"/>
        <v>0.0035000000000000005</v>
      </c>
      <c r="I22" s="52"/>
      <c r="J22" s="52">
        <v>0.081</v>
      </c>
      <c r="K22" s="52">
        <f t="shared" si="2"/>
        <v>0.008100000000000001</v>
      </c>
      <c r="L22" s="52">
        <f t="shared" si="3"/>
        <v>0.081</v>
      </c>
      <c r="M22" s="52">
        <f t="shared" si="2"/>
        <v>0.008100000000000001</v>
      </c>
      <c r="N22" s="52"/>
      <c r="O22" s="52">
        <v>0.11</v>
      </c>
      <c r="P22" s="52">
        <f t="shared" si="4"/>
        <v>0.011000000000000001</v>
      </c>
      <c r="Q22" s="52">
        <f t="shared" si="5"/>
        <v>0.11</v>
      </c>
      <c r="R22" s="52">
        <f t="shared" si="4"/>
        <v>0.011000000000000001</v>
      </c>
    </row>
    <row r="23" spans="1:18" ht="12.75">
      <c r="A23" s="23"/>
      <c r="B23" s="23" t="s">
        <v>104</v>
      </c>
      <c r="C23" s="24">
        <v>0.1</v>
      </c>
      <c r="D23" s="24"/>
      <c r="E23" s="52">
        <v>0.012</v>
      </c>
      <c r="F23" s="52">
        <f t="shared" si="0"/>
        <v>0.0012000000000000001</v>
      </c>
      <c r="G23" s="52">
        <f t="shared" si="1"/>
        <v>0.012</v>
      </c>
      <c r="H23" s="52">
        <f t="shared" si="0"/>
        <v>0.0012000000000000001</v>
      </c>
      <c r="I23" s="52"/>
      <c r="J23" s="52">
        <v>0.014</v>
      </c>
      <c r="K23" s="52">
        <f t="shared" si="2"/>
        <v>0.0014000000000000002</v>
      </c>
      <c r="L23" s="52">
        <f t="shared" si="3"/>
        <v>0.014</v>
      </c>
      <c r="M23" s="52">
        <f t="shared" si="2"/>
        <v>0.0014000000000000002</v>
      </c>
      <c r="N23" s="52"/>
      <c r="O23" s="52">
        <v>0.015</v>
      </c>
      <c r="P23" s="52">
        <f t="shared" si="4"/>
        <v>0.0015</v>
      </c>
      <c r="Q23" s="52">
        <f t="shared" si="5"/>
        <v>0.015</v>
      </c>
      <c r="R23" s="52">
        <f t="shared" si="4"/>
        <v>0.0015</v>
      </c>
    </row>
    <row r="24" spans="1:18" ht="12.75">
      <c r="A24" s="23"/>
      <c r="B24" s="23" t="s">
        <v>105</v>
      </c>
      <c r="C24" s="24">
        <v>0.1</v>
      </c>
      <c r="D24" s="24"/>
      <c r="E24" s="52">
        <v>0.0039</v>
      </c>
      <c r="F24" s="52">
        <f t="shared" si="0"/>
        <v>0.00039</v>
      </c>
      <c r="G24" s="52">
        <f t="shared" si="1"/>
        <v>0.0039</v>
      </c>
      <c r="H24" s="52">
        <f t="shared" si="0"/>
        <v>0.00039</v>
      </c>
      <c r="I24" s="52"/>
      <c r="J24" s="52">
        <v>0.0045</v>
      </c>
      <c r="K24" s="52">
        <f t="shared" si="2"/>
        <v>0.00045</v>
      </c>
      <c r="L24" s="52">
        <f t="shared" si="3"/>
        <v>0.0045</v>
      </c>
      <c r="M24" s="52">
        <f t="shared" si="2"/>
        <v>0.00045</v>
      </c>
      <c r="N24" s="52"/>
      <c r="O24" s="52">
        <v>0.0064</v>
      </c>
      <c r="P24" s="52">
        <f t="shared" si="4"/>
        <v>0.00064</v>
      </c>
      <c r="Q24" s="52">
        <f t="shared" si="5"/>
        <v>0.0064</v>
      </c>
      <c r="R24" s="52">
        <f t="shared" si="4"/>
        <v>0.00064</v>
      </c>
    </row>
    <row r="25" spans="1:18" ht="12.75">
      <c r="A25" s="23"/>
      <c r="B25" s="23" t="s">
        <v>106</v>
      </c>
      <c r="C25" s="24">
        <v>0.01</v>
      </c>
      <c r="D25" s="24"/>
      <c r="E25" s="52">
        <v>0.063</v>
      </c>
      <c r="F25" s="52">
        <f t="shared" si="0"/>
        <v>0.00063</v>
      </c>
      <c r="G25" s="52">
        <f t="shared" si="1"/>
        <v>0.063</v>
      </c>
      <c r="H25" s="52">
        <f t="shared" si="0"/>
        <v>0.00063</v>
      </c>
      <c r="I25" s="52"/>
      <c r="J25" s="52">
        <v>0.12</v>
      </c>
      <c r="K25" s="52">
        <f t="shared" si="2"/>
        <v>0.0012</v>
      </c>
      <c r="L25" s="52">
        <f t="shared" si="3"/>
        <v>0.12</v>
      </c>
      <c r="M25" s="52">
        <f t="shared" si="2"/>
        <v>0.0012</v>
      </c>
      <c r="N25" s="52"/>
      <c r="O25" s="52">
        <v>0.14</v>
      </c>
      <c r="P25" s="52">
        <f t="shared" si="4"/>
        <v>0.0014000000000000002</v>
      </c>
      <c r="Q25" s="52">
        <f t="shared" si="5"/>
        <v>0.14</v>
      </c>
      <c r="R25" s="52">
        <f t="shared" si="4"/>
        <v>0.0014000000000000002</v>
      </c>
    </row>
    <row r="26" spans="1:18" ht="12.75">
      <c r="A26" s="23"/>
      <c r="B26" s="23" t="s">
        <v>107</v>
      </c>
      <c r="C26" s="24">
        <v>0.01</v>
      </c>
      <c r="D26" s="24"/>
      <c r="E26" s="52">
        <v>0.0051</v>
      </c>
      <c r="F26" s="52">
        <f t="shared" si="0"/>
        <v>5.1000000000000006E-05</v>
      </c>
      <c r="G26" s="52">
        <f t="shared" si="1"/>
        <v>0.0051</v>
      </c>
      <c r="H26" s="52">
        <f t="shared" si="0"/>
        <v>5.1000000000000006E-05</v>
      </c>
      <c r="I26" s="52"/>
      <c r="J26" s="52">
        <v>0.0074</v>
      </c>
      <c r="K26" s="52">
        <f t="shared" si="2"/>
        <v>7.400000000000001E-05</v>
      </c>
      <c r="L26" s="52">
        <f t="shared" si="3"/>
        <v>0.0074</v>
      </c>
      <c r="M26" s="52">
        <f t="shared" si="2"/>
        <v>7.400000000000001E-05</v>
      </c>
      <c r="N26" s="52"/>
      <c r="O26" s="52">
        <v>0.0079</v>
      </c>
      <c r="P26" s="52">
        <f t="shared" si="4"/>
        <v>7.900000000000001E-05</v>
      </c>
      <c r="Q26" s="52">
        <f t="shared" si="5"/>
        <v>0.0079</v>
      </c>
      <c r="R26" s="52">
        <f t="shared" si="4"/>
        <v>7.900000000000001E-05</v>
      </c>
    </row>
    <row r="27" spans="1:18" ht="12.75">
      <c r="A27" s="23"/>
      <c r="B27" s="23" t="s">
        <v>108</v>
      </c>
      <c r="C27" s="24">
        <v>0.001</v>
      </c>
      <c r="D27" s="24"/>
      <c r="E27" s="52">
        <v>0.019</v>
      </c>
      <c r="F27" s="52">
        <f t="shared" si="0"/>
        <v>1.9E-05</v>
      </c>
      <c r="G27" s="52">
        <f t="shared" si="1"/>
        <v>0.019</v>
      </c>
      <c r="H27" s="52">
        <f t="shared" si="0"/>
        <v>1.9E-05</v>
      </c>
      <c r="I27" s="52"/>
      <c r="J27" s="52">
        <v>0.021</v>
      </c>
      <c r="K27" s="52">
        <f t="shared" si="2"/>
        <v>2.1000000000000002E-05</v>
      </c>
      <c r="L27" s="52">
        <f t="shared" si="3"/>
        <v>0.021</v>
      </c>
      <c r="M27" s="52">
        <f t="shared" si="2"/>
        <v>2.1000000000000002E-05</v>
      </c>
      <c r="N27" s="52"/>
      <c r="O27" s="52">
        <v>0.017</v>
      </c>
      <c r="P27" s="52">
        <f t="shared" si="4"/>
        <v>1.7000000000000003E-05</v>
      </c>
      <c r="Q27" s="52">
        <f t="shared" si="5"/>
        <v>0.017</v>
      </c>
      <c r="R27" s="52">
        <f t="shared" si="4"/>
        <v>1.7000000000000003E-05</v>
      </c>
    </row>
    <row r="28" spans="1:18" ht="12.75">
      <c r="A28" s="23"/>
      <c r="B28" s="23" t="s">
        <v>109</v>
      </c>
      <c r="C28" s="24">
        <v>0</v>
      </c>
      <c r="D28" s="24"/>
      <c r="E28" s="52">
        <v>0.54</v>
      </c>
      <c r="F28" s="52">
        <f t="shared" si="0"/>
        <v>0</v>
      </c>
      <c r="G28" s="52">
        <f t="shared" si="1"/>
        <v>0.54</v>
      </c>
      <c r="H28" s="52">
        <f t="shared" si="0"/>
        <v>0</v>
      </c>
      <c r="I28" s="52"/>
      <c r="J28" s="55">
        <v>0.99</v>
      </c>
      <c r="K28" s="52">
        <f t="shared" si="2"/>
        <v>0</v>
      </c>
      <c r="L28" s="52">
        <f t="shared" si="3"/>
        <v>0.99</v>
      </c>
      <c r="M28" s="52">
        <f t="shared" si="2"/>
        <v>0</v>
      </c>
      <c r="N28" s="52"/>
      <c r="O28" s="52">
        <v>1.3</v>
      </c>
      <c r="P28" s="52">
        <f t="shared" si="4"/>
        <v>0</v>
      </c>
      <c r="Q28" s="52">
        <f t="shared" si="5"/>
        <v>1.3</v>
      </c>
      <c r="R28" s="52">
        <f t="shared" si="4"/>
        <v>0</v>
      </c>
    </row>
    <row r="29" spans="1:18" ht="12.75">
      <c r="A29" s="23"/>
      <c r="B29" s="23" t="s">
        <v>110</v>
      </c>
      <c r="C29" s="24">
        <v>0</v>
      </c>
      <c r="D29" s="24"/>
      <c r="E29" s="52">
        <v>0.015</v>
      </c>
      <c r="F29" s="52">
        <f t="shared" si="0"/>
        <v>0</v>
      </c>
      <c r="G29" s="52">
        <f t="shared" si="1"/>
        <v>0.015</v>
      </c>
      <c r="H29" s="52">
        <f t="shared" si="0"/>
        <v>0</v>
      </c>
      <c r="I29" s="52"/>
      <c r="J29" s="52">
        <v>0.33</v>
      </c>
      <c r="K29" s="52">
        <f t="shared" si="2"/>
        <v>0</v>
      </c>
      <c r="L29" s="52">
        <f t="shared" si="3"/>
        <v>0.33</v>
      </c>
      <c r="M29" s="52">
        <f t="shared" si="2"/>
        <v>0</v>
      </c>
      <c r="N29" s="52"/>
      <c r="O29" s="52">
        <v>0.51</v>
      </c>
      <c r="P29" s="52">
        <f t="shared" si="4"/>
        <v>0</v>
      </c>
      <c r="Q29" s="52">
        <f t="shared" si="5"/>
        <v>0.51</v>
      </c>
      <c r="R29" s="52">
        <f t="shared" si="4"/>
        <v>0</v>
      </c>
    </row>
    <row r="30" spans="1:18" ht="12.75">
      <c r="A30" s="23"/>
      <c r="B30" s="23" t="s">
        <v>111</v>
      </c>
      <c r="C30" s="24">
        <v>0</v>
      </c>
      <c r="D30" s="24"/>
      <c r="E30" s="52">
        <v>0.055</v>
      </c>
      <c r="F30" s="52">
        <f t="shared" si="0"/>
        <v>0</v>
      </c>
      <c r="G30" s="52">
        <f t="shared" si="1"/>
        <v>0.055</v>
      </c>
      <c r="H30" s="52">
        <f t="shared" si="0"/>
        <v>0</v>
      </c>
      <c r="I30" s="52"/>
      <c r="J30" s="52">
        <v>0.093</v>
      </c>
      <c r="K30" s="52">
        <f t="shared" si="2"/>
        <v>0</v>
      </c>
      <c r="L30" s="52">
        <f t="shared" si="3"/>
        <v>0.093</v>
      </c>
      <c r="M30" s="52">
        <f t="shared" si="2"/>
        <v>0</v>
      </c>
      <c r="N30" s="52"/>
      <c r="O30" s="52">
        <v>0.14</v>
      </c>
      <c r="P30" s="52">
        <f t="shared" si="4"/>
        <v>0</v>
      </c>
      <c r="Q30" s="52">
        <f t="shared" si="5"/>
        <v>0.14</v>
      </c>
      <c r="R30" s="52">
        <f t="shared" si="4"/>
        <v>0</v>
      </c>
    </row>
    <row r="31" spans="1:18" ht="12.75">
      <c r="A31" s="23"/>
      <c r="B31" s="23" t="s">
        <v>112</v>
      </c>
      <c r="C31" s="24">
        <v>0</v>
      </c>
      <c r="D31" s="24"/>
      <c r="E31" s="52">
        <v>0.021</v>
      </c>
      <c r="F31" s="52">
        <f t="shared" si="0"/>
        <v>0</v>
      </c>
      <c r="G31" s="52">
        <f t="shared" si="1"/>
        <v>0.021</v>
      </c>
      <c r="H31" s="52">
        <f t="shared" si="0"/>
        <v>0</v>
      </c>
      <c r="I31" s="52"/>
      <c r="J31" s="52">
        <v>0.024</v>
      </c>
      <c r="K31" s="52">
        <f t="shared" si="2"/>
        <v>0</v>
      </c>
      <c r="L31" s="52">
        <f t="shared" si="3"/>
        <v>0.024</v>
      </c>
      <c r="M31" s="52">
        <f t="shared" si="2"/>
        <v>0</v>
      </c>
      <c r="N31" s="52"/>
      <c r="O31" s="52">
        <v>0.02</v>
      </c>
      <c r="P31" s="52">
        <f t="shared" si="4"/>
        <v>0</v>
      </c>
      <c r="Q31" s="52">
        <f t="shared" si="5"/>
        <v>0.02</v>
      </c>
      <c r="R31" s="52">
        <f t="shared" si="4"/>
        <v>0</v>
      </c>
    </row>
    <row r="32" spans="1:18" ht="12.75">
      <c r="A32" s="23"/>
      <c r="B32" s="23" t="s">
        <v>113</v>
      </c>
      <c r="C32" s="24">
        <v>0</v>
      </c>
      <c r="D32" s="24"/>
      <c r="E32" s="52">
        <v>2.8</v>
      </c>
      <c r="F32" s="52">
        <f t="shared" si="0"/>
        <v>0</v>
      </c>
      <c r="G32" s="52">
        <f t="shared" si="1"/>
        <v>2.8</v>
      </c>
      <c r="H32" s="52">
        <f t="shared" si="0"/>
        <v>0</v>
      </c>
      <c r="I32" s="52"/>
      <c r="J32" s="52">
        <v>5.2</v>
      </c>
      <c r="K32" s="52">
        <f t="shared" si="2"/>
        <v>0</v>
      </c>
      <c r="L32" s="52">
        <f t="shared" si="3"/>
        <v>5.2</v>
      </c>
      <c r="M32" s="52">
        <f t="shared" si="2"/>
        <v>0</v>
      </c>
      <c r="N32" s="52"/>
      <c r="O32" s="52">
        <v>5</v>
      </c>
      <c r="P32" s="52">
        <f t="shared" si="4"/>
        <v>0</v>
      </c>
      <c r="Q32" s="52">
        <f t="shared" si="5"/>
        <v>5</v>
      </c>
      <c r="R32" s="52">
        <f t="shared" si="4"/>
        <v>0</v>
      </c>
    </row>
    <row r="33" spans="1:18" ht="12.75">
      <c r="A33" s="23"/>
      <c r="B33" s="23" t="s">
        <v>114</v>
      </c>
      <c r="C33" s="24">
        <v>0</v>
      </c>
      <c r="D33" s="24"/>
      <c r="E33" s="52">
        <v>1.2</v>
      </c>
      <c r="F33" s="52">
        <f t="shared" si="0"/>
        <v>0</v>
      </c>
      <c r="G33" s="52">
        <f t="shared" si="1"/>
        <v>1.2</v>
      </c>
      <c r="H33" s="52">
        <f t="shared" si="0"/>
        <v>0</v>
      </c>
      <c r="I33" s="52"/>
      <c r="J33" s="52">
        <v>2.6</v>
      </c>
      <c r="K33" s="52">
        <f t="shared" si="2"/>
        <v>0</v>
      </c>
      <c r="L33" s="52">
        <f t="shared" si="3"/>
        <v>2.6</v>
      </c>
      <c r="M33" s="52">
        <f t="shared" si="2"/>
        <v>0</v>
      </c>
      <c r="N33" s="52"/>
      <c r="O33" s="52">
        <v>3.2</v>
      </c>
      <c r="P33" s="52">
        <f t="shared" si="4"/>
        <v>0</v>
      </c>
      <c r="Q33" s="52">
        <f t="shared" si="5"/>
        <v>3.2</v>
      </c>
      <c r="R33" s="52">
        <f t="shared" si="4"/>
        <v>0</v>
      </c>
    </row>
    <row r="34" spans="1:18" ht="12.75">
      <c r="A34" s="23"/>
      <c r="B34" s="23" t="s">
        <v>115</v>
      </c>
      <c r="C34" s="24">
        <v>0</v>
      </c>
      <c r="D34" s="24"/>
      <c r="E34" s="52">
        <v>0.44</v>
      </c>
      <c r="F34" s="52">
        <f t="shared" si="0"/>
        <v>0</v>
      </c>
      <c r="G34" s="52">
        <f t="shared" si="1"/>
        <v>0.44</v>
      </c>
      <c r="H34" s="52">
        <f t="shared" si="0"/>
        <v>0</v>
      </c>
      <c r="I34" s="52"/>
      <c r="J34" s="52">
        <v>0.95</v>
      </c>
      <c r="K34" s="52">
        <f t="shared" si="2"/>
        <v>0</v>
      </c>
      <c r="L34" s="52">
        <f t="shared" si="3"/>
        <v>0.95</v>
      </c>
      <c r="M34" s="52">
        <f t="shared" si="2"/>
        <v>0</v>
      </c>
      <c r="N34" s="52"/>
      <c r="O34" s="52">
        <v>1.2</v>
      </c>
      <c r="P34" s="52">
        <f t="shared" si="4"/>
        <v>0</v>
      </c>
      <c r="Q34" s="52">
        <f t="shared" si="5"/>
        <v>1.2</v>
      </c>
      <c r="R34" s="52">
        <f t="shared" si="4"/>
        <v>0</v>
      </c>
    </row>
    <row r="35" spans="1:18" ht="12.75">
      <c r="A35" s="23" t="s">
        <v>116</v>
      </c>
      <c r="B35" s="23" t="s">
        <v>117</v>
      </c>
      <c r="C35" s="24">
        <v>0</v>
      </c>
      <c r="D35" s="24"/>
      <c r="E35" s="52">
        <v>0.087</v>
      </c>
      <c r="F35" s="52">
        <f t="shared" si="0"/>
        <v>0</v>
      </c>
      <c r="G35" s="52">
        <f t="shared" si="1"/>
        <v>0.087</v>
      </c>
      <c r="H35" s="52">
        <f t="shared" si="0"/>
        <v>0</v>
      </c>
      <c r="I35" s="52"/>
      <c r="J35" s="52">
        <v>0.16</v>
      </c>
      <c r="K35" s="52">
        <f t="shared" si="2"/>
        <v>0</v>
      </c>
      <c r="L35" s="52">
        <f t="shared" si="3"/>
        <v>0.16</v>
      </c>
      <c r="M35" s="52">
        <f t="shared" si="2"/>
        <v>0</v>
      </c>
      <c r="N35" s="52"/>
      <c r="O35" s="52">
        <v>0.18</v>
      </c>
      <c r="P35" s="52">
        <f t="shared" si="4"/>
        <v>0</v>
      </c>
      <c r="Q35" s="52">
        <f t="shared" si="5"/>
        <v>0.18</v>
      </c>
      <c r="R35" s="52">
        <f t="shared" si="4"/>
        <v>0</v>
      </c>
    </row>
    <row r="36" spans="1:19" ht="12.75">
      <c r="A36" s="23"/>
      <c r="B36" s="23"/>
      <c r="C36" s="23"/>
      <c r="D36" s="23"/>
      <c r="E36" s="51"/>
      <c r="F36" s="47"/>
      <c r="G36" s="51"/>
      <c r="H36" s="47"/>
      <c r="I36" s="51"/>
      <c r="J36" s="23"/>
      <c r="K36" s="25"/>
      <c r="L36" s="25"/>
      <c r="M36" s="25"/>
      <c r="N36" s="51"/>
      <c r="O36" s="23"/>
      <c r="P36" s="46"/>
      <c r="Q36" s="51"/>
      <c r="R36" s="46"/>
      <c r="S36" s="63"/>
    </row>
    <row r="37" spans="1:19" ht="12.75">
      <c r="A37" s="23"/>
      <c r="B37" s="23" t="s">
        <v>118</v>
      </c>
      <c r="C37" s="23"/>
      <c r="D37" s="23"/>
      <c r="E37" s="51"/>
      <c r="F37" s="51">
        <v>129.62</v>
      </c>
      <c r="G37" s="51">
        <v>129.62</v>
      </c>
      <c r="H37" s="51">
        <v>129.62</v>
      </c>
      <c r="I37" s="51"/>
      <c r="J37" s="51"/>
      <c r="K37" s="51">
        <v>146.98</v>
      </c>
      <c r="L37" s="51">
        <v>146.98</v>
      </c>
      <c r="M37" s="51">
        <v>146.98</v>
      </c>
      <c r="N37" s="51"/>
      <c r="O37" s="51"/>
      <c r="P37" s="51">
        <v>132.17</v>
      </c>
      <c r="Q37" s="51">
        <v>132.17</v>
      </c>
      <c r="R37" s="51">
        <v>132.17</v>
      </c>
      <c r="S37" s="63"/>
    </row>
    <row r="38" spans="1:19" ht="12.75">
      <c r="A38" s="23"/>
      <c r="B38" s="23" t="s">
        <v>119</v>
      </c>
      <c r="C38" s="23"/>
      <c r="D38" s="23"/>
      <c r="E38" s="51"/>
      <c r="F38" s="51">
        <v>13.2</v>
      </c>
      <c r="G38" s="51">
        <v>13.2</v>
      </c>
      <c r="H38" s="51">
        <v>13.2</v>
      </c>
      <c r="I38" s="51"/>
      <c r="J38" s="51"/>
      <c r="K38" s="25">
        <v>13</v>
      </c>
      <c r="L38" s="25">
        <v>13</v>
      </c>
      <c r="M38" s="25">
        <v>13</v>
      </c>
      <c r="N38" s="51"/>
      <c r="O38" s="51"/>
      <c r="P38" s="51">
        <v>12.3</v>
      </c>
      <c r="Q38" s="51">
        <v>12.3</v>
      </c>
      <c r="R38" s="51">
        <v>12.3</v>
      </c>
      <c r="S38" s="63"/>
    </row>
    <row r="39" spans="1:19" ht="12.75">
      <c r="A39" s="23"/>
      <c r="B39" s="23"/>
      <c r="C39" s="23"/>
      <c r="D39" s="23"/>
      <c r="E39" s="51"/>
      <c r="F39" s="23"/>
      <c r="G39" s="51"/>
      <c r="H39" s="23"/>
      <c r="I39" s="23"/>
      <c r="J39" s="51"/>
      <c r="K39" s="25"/>
      <c r="L39" s="25"/>
      <c r="M39" s="25"/>
      <c r="N39" s="51"/>
      <c r="O39" s="51"/>
      <c r="P39" s="51"/>
      <c r="Q39" s="51"/>
      <c r="R39" s="51"/>
      <c r="S39" s="63"/>
    </row>
    <row r="40" spans="1:19" ht="12.75">
      <c r="A40" s="23"/>
      <c r="B40" s="23" t="s">
        <v>120</v>
      </c>
      <c r="C40" s="47"/>
      <c r="D40" s="47"/>
      <c r="E40" s="25"/>
      <c r="F40" s="52">
        <f>SUM(F11:F27)</f>
        <v>0.033560000000000006</v>
      </c>
      <c r="G40" s="25">
        <f>SUM(G27,G35,G34,G33,G32,G17,G31,G30,G29,G28)</f>
        <v>5.216999999999999</v>
      </c>
      <c r="H40" s="52">
        <f>SUM(H11:H27)</f>
        <v>0.033560000000000006</v>
      </c>
      <c r="I40" s="47"/>
      <c r="J40" s="25"/>
      <c r="K40" s="52">
        <f>SUM(K11:K27)</f>
        <v>0.06656500000000001</v>
      </c>
      <c r="L40" s="25">
        <f>SUM(L27,L35,L34,L33,L32,L17,L31,L30,L29,L28)</f>
        <v>10.408</v>
      </c>
      <c r="M40" s="52">
        <f>SUM(M11:M27)</f>
        <v>0.06656500000000001</v>
      </c>
      <c r="N40" s="47"/>
      <c r="O40" s="51"/>
      <c r="P40" s="52">
        <f>SUM(P11:P27)</f>
        <v>0.09224399999999999</v>
      </c>
      <c r="Q40" s="25">
        <f>SUM(Q27,Q35,Q34,Q33,Q32,Q17,Q31,Q30,Q29,Q28)</f>
        <v>11.585000000000003</v>
      </c>
      <c r="R40" s="52">
        <f>SUM(R11:R27)</f>
        <v>0.09224399999999999</v>
      </c>
      <c r="S40" s="63"/>
    </row>
    <row r="41" spans="1:19" ht="12.75">
      <c r="A41" s="23"/>
      <c r="B41" s="23" t="s">
        <v>121</v>
      </c>
      <c r="C41" s="47"/>
      <c r="D41" s="25">
        <f>(F41-H41)*2/F41*100</f>
        <v>0</v>
      </c>
      <c r="E41" s="51"/>
      <c r="F41" s="52">
        <f>(F40/F37/0.0283*(21-7)/(21-F38))</f>
        <v>0.016420899098887432</v>
      </c>
      <c r="G41" s="51">
        <f>(G40/G37/0.0283*(21-7)/(21-G38))</f>
        <v>2.5526767162960584</v>
      </c>
      <c r="H41" s="52">
        <f>(H40/H37/0.0283*(21-7)/(21-H38))</f>
        <v>0.016420899098887432</v>
      </c>
      <c r="I41" s="25">
        <f>(K41-M41)*2/K41*100</f>
        <v>0</v>
      </c>
      <c r="J41" s="51"/>
      <c r="K41" s="52">
        <f>K40/K37/0.0283*(21-7)/(21-K38)</f>
        <v>0.028005240490881923</v>
      </c>
      <c r="L41" s="51">
        <f>(L40/L37/0.0283*(21-7)/(21-L38))</f>
        <v>4.378855900685029</v>
      </c>
      <c r="M41" s="52">
        <f>M40/M37/0.0283*(21-7)/(21-M38)</f>
        <v>0.028005240490881923</v>
      </c>
      <c r="N41" s="25">
        <f>(P41-R41)*2/P41*100</f>
        <v>0</v>
      </c>
      <c r="O41" s="51"/>
      <c r="P41" s="52">
        <f>P40/P37/0.0283*(21-7)/(21-P38)</f>
        <v>0.03968510965496979</v>
      </c>
      <c r="Q41" s="51">
        <f>(Q40/Q37/0.0283*(21-7)/(21-Q38))</f>
        <v>4.984085635410705</v>
      </c>
      <c r="R41" s="52">
        <f>R40/R37/0.0283*(21-7)/(21-R38)</f>
        <v>0.03968510965496979</v>
      </c>
      <c r="S41" s="63"/>
    </row>
    <row r="42" spans="1:18" ht="12.75">
      <c r="A42" s="23"/>
      <c r="B42" s="23"/>
      <c r="C42" s="23"/>
      <c r="D42" s="23"/>
      <c r="E42" s="52"/>
      <c r="F42" s="47"/>
      <c r="G42" s="52"/>
      <c r="H42" s="47"/>
      <c r="I42" s="52"/>
      <c r="J42" s="52"/>
      <c r="K42" s="52"/>
      <c r="L42" s="52"/>
      <c r="M42" s="52"/>
      <c r="N42" s="52"/>
      <c r="O42" s="52"/>
      <c r="P42" s="46"/>
      <c r="Q42" s="52"/>
      <c r="R42" s="46"/>
    </row>
    <row r="43" spans="1:18" ht="12.75">
      <c r="A43" s="51"/>
      <c r="B43" s="23" t="s">
        <v>122</v>
      </c>
      <c r="C43" s="52">
        <f>AVERAGE(H41,M41,R41)</f>
        <v>0.028037083081579716</v>
      </c>
      <c r="D43" s="51"/>
      <c r="E43" s="53"/>
      <c r="F43" s="47"/>
      <c r="G43" s="51"/>
      <c r="H43" s="47"/>
      <c r="I43" s="51"/>
      <c r="J43" s="51"/>
      <c r="K43" s="51"/>
      <c r="L43" s="51"/>
      <c r="M43" s="51"/>
      <c r="N43" s="51"/>
      <c r="O43" s="51"/>
      <c r="P43" s="46"/>
      <c r="Q43" s="51"/>
      <c r="R43" s="46"/>
    </row>
    <row r="44" spans="1:18" ht="12.75">
      <c r="A44" s="23"/>
      <c r="B44" s="23" t="s">
        <v>123</v>
      </c>
      <c r="C44" s="51">
        <f>AVERAGE(G41,L41,Q41)</f>
        <v>3.9718727507972638</v>
      </c>
      <c r="D44" s="23"/>
      <c r="E44" s="46"/>
      <c r="F44" s="47"/>
      <c r="G44" s="46"/>
      <c r="H44" s="47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="63" customFormat="1" ht="12.75"/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2004-02-25T17:18:06Z</cp:lastPrinted>
  <dcterms:created xsi:type="dcterms:W3CDTF">2000-01-10T00:44:42Z</dcterms:created>
  <dcterms:modified xsi:type="dcterms:W3CDTF">2005-03-11T17:18:56Z</dcterms:modified>
  <cp:category/>
  <cp:version/>
  <cp:contentType/>
  <cp:contentStatus/>
</cp:coreProperties>
</file>