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0" windowWidth="12030" windowHeight="6570" tabRatio="718" activeTab="1"/>
  </bookViews>
  <sheets>
    <sheet name="list" sheetId="1" r:id="rId1"/>
    <sheet name="source" sheetId="2" r:id="rId2"/>
    <sheet name="cond" sheetId="3" r:id="rId3"/>
    <sheet name="emiss 1" sheetId="4" r:id="rId4"/>
    <sheet name="emiss 2" sheetId="5" r:id="rId5"/>
    <sheet name="feed 1" sheetId="6" r:id="rId6"/>
    <sheet name="feed 2" sheetId="7" r:id="rId7"/>
    <sheet name="process 1" sheetId="8" r:id="rId8"/>
    <sheet name="process 2" sheetId="9" r:id="rId9"/>
    <sheet name="df c10" sheetId="10" r:id="rId10"/>
    <sheet name="df c1" sheetId="11" r:id="rId11"/>
  </sheets>
  <definedNames>
    <definedName name="_xlnm.Print_Titles" localSheetId="9">'df c10'!$A:$B</definedName>
    <definedName name="_xlnm.Print_Titles" localSheetId="5">'feed 1'!$B:$B</definedName>
    <definedName name="_xlnm.Print_Titles" localSheetId="6">'feed 2'!$B:$B</definedName>
  </definedNames>
  <calcPr fullCalcOnLoad="1"/>
</workbook>
</file>

<file path=xl/sharedStrings.xml><?xml version="1.0" encoding="utf-8"?>
<sst xmlns="http://schemas.openxmlformats.org/spreadsheetml/2006/main" count="1000" uniqueCount="271">
  <si>
    <t>EPA ID No.</t>
  </si>
  <si>
    <t>Facility Name</t>
  </si>
  <si>
    <t>Facility Location</t>
  </si>
  <si>
    <t xml:space="preserve">    City</t>
  </si>
  <si>
    <t xml:space="preserve">    State</t>
  </si>
  <si>
    <t>Unit ID Name/No.</t>
  </si>
  <si>
    <t>Other Sister Facilities</t>
  </si>
  <si>
    <t>APCS Characteristics</t>
  </si>
  <si>
    <t>Stack Characteristics</t>
  </si>
  <si>
    <t xml:space="preserve">    Diameter (ft)</t>
  </si>
  <si>
    <t xml:space="preserve">    Height (ft)</t>
  </si>
  <si>
    <t>Permitting Status</t>
  </si>
  <si>
    <t>Units</t>
  </si>
  <si>
    <t>PM</t>
  </si>
  <si>
    <t>gr/dscf</t>
  </si>
  <si>
    <t>y</t>
  </si>
  <si>
    <t>ppmv</t>
  </si>
  <si>
    <t>dscfm</t>
  </si>
  <si>
    <t>%</t>
  </si>
  <si>
    <t>°F</t>
  </si>
  <si>
    <t>Facility Name and ID:</t>
  </si>
  <si>
    <t>Condition ID:</t>
  </si>
  <si>
    <t>Condition/Test Date:</t>
  </si>
  <si>
    <t>I-TEF</t>
  </si>
  <si>
    <t>Wght Fact</t>
  </si>
  <si>
    <t>Total</t>
  </si>
  <si>
    <t xml:space="preserve"> TEQ</t>
  </si>
  <si>
    <t>TEQ</t>
  </si>
  <si>
    <t>2,3,7,8-TCDD</t>
  </si>
  <si>
    <t>1,2,3,7,8-PCDD</t>
  </si>
  <si>
    <t>1,2,3,4,7,8-HxCDD</t>
  </si>
  <si>
    <t>1,2,3,6,7,8-HxCDD</t>
  </si>
  <si>
    <t>1,2,3,7,8,9-HxCDD</t>
  </si>
  <si>
    <t>1,2,3,4,6,7,8-HpCDD</t>
  </si>
  <si>
    <t>OCDD</t>
  </si>
  <si>
    <t>2,3,7,8-TCDF</t>
  </si>
  <si>
    <t>1,2,3,7,8-PCDF</t>
  </si>
  <si>
    <t>2,3,4,7,8-PCDF</t>
  </si>
  <si>
    <t>1,2,3,4,7,8-HxCDF</t>
  </si>
  <si>
    <t>1,2,3,6,7,8-HxCDF</t>
  </si>
  <si>
    <t>2,3,4,6,7,8-HxCDF</t>
  </si>
  <si>
    <t>1,2,3,7,8,9-HxCDF</t>
  </si>
  <si>
    <t>1,2,3,4,6,7,8-HpCDF</t>
  </si>
  <si>
    <t>1,2,3,4,7,8,9-HpCDF</t>
  </si>
  <si>
    <t>OCDF</t>
  </si>
  <si>
    <t>Gas sample volume (dscf)</t>
  </si>
  <si>
    <t>PCDD/PCDF (ng/dscm @ 7% O2)</t>
  </si>
  <si>
    <t>Cond Avg</t>
  </si>
  <si>
    <t>HCl</t>
  </si>
  <si>
    <t>Cl2</t>
  </si>
  <si>
    <t>DRE</t>
  </si>
  <si>
    <t>lb/hr</t>
  </si>
  <si>
    <t>Run 3</t>
  </si>
  <si>
    <r>
      <t>o</t>
    </r>
    <r>
      <rPr>
        <sz val="10"/>
        <rFont val="Arial"/>
        <family val="2"/>
      </rPr>
      <t>F</t>
    </r>
  </si>
  <si>
    <t>ug/dscm</t>
  </si>
  <si>
    <t>SVM</t>
  </si>
  <si>
    <t>LVM</t>
  </si>
  <si>
    <t>O2 (%)</t>
  </si>
  <si>
    <t>TEQ Cond Avg</t>
  </si>
  <si>
    <t>Total Cond Avg</t>
  </si>
  <si>
    <t>ng/dscm</t>
  </si>
  <si>
    <t>Combustor Characteristics</t>
  </si>
  <si>
    <t>7% O2</t>
  </si>
  <si>
    <t>Process Information</t>
  </si>
  <si>
    <t>1/2 ND</t>
  </si>
  <si>
    <t>PCDD/PCDF</t>
  </si>
  <si>
    <t>Hazardous Wastes</t>
  </si>
  <si>
    <t>Supplemental Fuel</t>
  </si>
  <si>
    <t>Capacity (MMBtu/hr)</t>
  </si>
  <si>
    <t xml:space="preserve">    Gas Velocity (ft/sec)</t>
  </si>
  <si>
    <t xml:space="preserve">    Gas Temperature (°F)</t>
  </si>
  <si>
    <t>Source Description</t>
  </si>
  <si>
    <t>Soot Blowing</t>
  </si>
  <si>
    <t>Haz Waste Description</t>
  </si>
  <si>
    <t xml:space="preserve">   Temperature</t>
  </si>
  <si>
    <t xml:space="preserve">   Stack Gas Flowrate</t>
  </si>
  <si>
    <t>Lead</t>
  </si>
  <si>
    <t>Beryllium</t>
  </si>
  <si>
    <t>Mercury</t>
  </si>
  <si>
    <t>Comments</t>
  </si>
  <si>
    <t xml:space="preserve">   O2</t>
  </si>
  <si>
    <t xml:space="preserve">   Moisture</t>
  </si>
  <si>
    <t>Chromium</t>
  </si>
  <si>
    <t>Sampling Train</t>
  </si>
  <si>
    <t>*</t>
  </si>
  <si>
    <t>HWC Burn Status (Date if Terminated)</t>
  </si>
  <si>
    <t>Total TCDD</t>
  </si>
  <si>
    <t>Total PCDD</t>
  </si>
  <si>
    <t>Total HxCDD</t>
  </si>
  <si>
    <t>Total HpCDD</t>
  </si>
  <si>
    <t>Total TCDF</t>
  </si>
  <si>
    <t>Total PCDF</t>
  </si>
  <si>
    <t>Total HxCDF</t>
  </si>
  <si>
    <t>Total HpCDF</t>
  </si>
  <si>
    <t>PCDD/PCDF (ng in sample)</t>
  </si>
  <si>
    <t>Metals</t>
  </si>
  <si>
    <t>nd</t>
  </si>
  <si>
    <t>Detected in sample volume (pg)</t>
  </si>
  <si>
    <t>WQ/VS/PBS/DM</t>
  </si>
  <si>
    <t>n</t>
  </si>
  <si>
    <t>mg/dscf</t>
  </si>
  <si>
    <t>PM, HCl/Cl2, HF</t>
  </si>
  <si>
    <t>Total Chlorine</t>
  </si>
  <si>
    <t>Phase I ID No.</t>
  </si>
  <si>
    <t>Silver</t>
  </si>
  <si>
    <t>Aluminum</t>
  </si>
  <si>
    <t>Arsenic</t>
  </si>
  <si>
    <t>Barium</t>
  </si>
  <si>
    <t>Boron</t>
  </si>
  <si>
    <t>Cadmium</t>
  </si>
  <si>
    <t>Copper</t>
  </si>
  <si>
    <t>Manganese</t>
  </si>
  <si>
    <t>Nickel</t>
  </si>
  <si>
    <t>Antimony</t>
  </si>
  <si>
    <t>Selenium</t>
  </si>
  <si>
    <t>Tin</t>
  </si>
  <si>
    <t>Thallium</t>
  </si>
  <si>
    <t>Vanadium</t>
  </si>
  <si>
    <t>Zinc</t>
  </si>
  <si>
    <t>ug/dscf</t>
  </si>
  <si>
    <t>CO (RA)</t>
  </si>
  <si>
    <t>Afterburner Temp</t>
  </si>
  <si>
    <t>Comb Cham Pressure</t>
  </si>
  <si>
    <t>in H2O</t>
  </si>
  <si>
    <t>VS Pressure Drop</t>
  </si>
  <si>
    <t>gpm</t>
  </si>
  <si>
    <t>VS Brine Flow</t>
  </si>
  <si>
    <t>PBS Liquor Flow</t>
  </si>
  <si>
    <t>PBS Clean Liquor pH</t>
  </si>
  <si>
    <t>Brine pH</t>
  </si>
  <si>
    <t>TRC Environmental</t>
  </si>
  <si>
    <t xml:space="preserve">POHC </t>
  </si>
  <si>
    <t>POHC Feedrate</t>
  </si>
  <si>
    <t>Emission Rate</t>
  </si>
  <si>
    <t>&gt;</t>
  </si>
  <si>
    <t>Johnston Atoll</t>
  </si>
  <si>
    <t>Territory</t>
  </si>
  <si>
    <t>TT0570090001</t>
  </si>
  <si>
    <t>Raytheon Engineers &amp; Construction</t>
  </si>
  <si>
    <t>PBS pressure drop</t>
  </si>
  <si>
    <t>JACADS, LIC</t>
  </si>
  <si>
    <t>Run 4</t>
  </si>
  <si>
    <t>Run 5</t>
  </si>
  <si>
    <t>346C10</t>
  </si>
  <si>
    <t>Note: Common stack for 3 HWIs: LIC, MPF, and DFS; stack velocity &amp; temp. below is for DFS only</t>
  </si>
  <si>
    <t>JACADS- GB Trial Burn Report of the DFS Incinerator, July, 1998</t>
  </si>
  <si>
    <t>2,4,6-TNT</t>
  </si>
  <si>
    <t>JP-5 (fuel source to primary &amp; secondary combustion chambers)</t>
  </si>
  <si>
    <t>February 24, 26, 28 and March 2, 1998</t>
  </si>
  <si>
    <t>Explosive components from chemical weapons (fuses, explosives, propellants)</t>
  </si>
  <si>
    <t>Rotary kiln (Primary Comb Chamb) Temp</t>
  </si>
  <si>
    <t>HF</t>
  </si>
  <si>
    <t>GB trial burn, Feb 24, 26, 28, &amp; Mar 2, 1998</t>
  </si>
  <si>
    <t>PM, HCl/Cl2/HF, metals, PCDD/PCDF, DRE, VOC/SVOC (Runs 3-6)</t>
  </si>
  <si>
    <t>GB Trial Burn</t>
  </si>
  <si>
    <t>RCRA</t>
  </si>
  <si>
    <t>DFS Incinerator</t>
  </si>
  <si>
    <t>Run 6</t>
  </si>
  <si>
    <t>Report Name/Date</t>
  </si>
  <si>
    <t>Report Prepare</t>
  </si>
  <si>
    <t>Testing Firm</t>
  </si>
  <si>
    <t>Testing Dates</t>
  </si>
  <si>
    <t>Condition Descr</t>
  </si>
  <si>
    <t>Content</t>
  </si>
  <si>
    <t>346C1</t>
  </si>
  <si>
    <t>Results of the RCRA Trial Burn and TSCA Demonstration Burn of the Deactivation Furnace System with M55 VX Rockets at the Johnston Atoll Chemical Agent Disposal System, June 23, 1992, SRI-APC-92-385-7530.5.1-I-R3</t>
  </si>
  <si>
    <t>Southern Research Institute</t>
  </si>
  <si>
    <t>Cond Descr</t>
  </si>
  <si>
    <t>Trial burn, NOMINAL CONDITIONS</t>
  </si>
  <si>
    <t>March 4 - 12, 1992</t>
  </si>
  <si>
    <t>R1</t>
  </si>
  <si>
    <t>R2</t>
  </si>
  <si>
    <t>R3</t>
  </si>
  <si>
    <t>R4</t>
  </si>
  <si>
    <t/>
  </si>
  <si>
    <t>Halogens</t>
  </si>
  <si>
    <t>STEM</t>
  </si>
  <si>
    <t>SVOC</t>
  </si>
  <si>
    <t>Nitroglycerine</t>
  </si>
  <si>
    <t>PCB</t>
  </si>
  <si>
    <t>No feedrate information is available</t>
  </si>
  <si>
    <t>Run 1</t>
  </si>
  <si>
    <t>Run 2</t>
  </si>
  <si>
    <t>Wt Fact</t>
  </si>
  <si>
    <t>Full ND</t>
  </si>
  <si>
    <t>4D 2378</t>
  </si>
  <si>
    <t>4D Other</t>
  </si>
  <si>
    <t>4D Total</t>
  </si>
  <si>
    <t>5D 12378</t>
  </si>
  <si>
    <t>5D Other</t>
  </si>
  <si>
    <t>5D Total</t>
  </si>
  <si>
    <t>6D 123478</t>
  </si>
  <si>
    <t>6D 123678</t>
  </si>
  <si>
    <t>6D 123789</t>
  </si>
  <si>
    <t>6D Other</t>
  </si>
  <si>
    <t>6D Total</t>
  </si>
  <si>
    <t>7D 1234678</t>
  </si>
  <si>
    <t>7D Other</t>
  </si>
  <si>
    <t>7D Total</t>
  </si>
  <si>
    <t>8D</t>
  </si>
  <si>
    <t>4F 2378</t>
  </si>
  <si>
    <t>4F Other</t>
  </si>
  <si>
    <t>4F Total</t>
  </si>
  <si>
    <t>5F 12378</t>
  </si>
  <si>
    <t>5F 23478</t>
  </si>
  <si>
    <t>5F Other</t>
  </si>
  <si>
    <t>5F Total</t>
  </si>
  <si>
    <t>6F 123478</t>
  </si>
  <si>
    <t>6F 123678</t>
  </si>
  <si>
    <t>6F 123789</t>
  </si>
  <si>
    <t>6F 234678</t>
  </si>
  <si>
    <t>6F Other</t>
  </si>
  <si>
    <t>6F Total</t>
  </si>
  <si>
    <t>7F 1234678</t>
  </si>
  <si>
    <t>7F 1234789</t>
  </si>
  <si>
    <t>7F Other</t>
  </si>
  <si>
    <t>7F Total</t>
  </si>
  <si>
    <t>8F</t>
  </si>
  <si>
    <t>Total PCDD/PCDF</t>
  </si>
  <si>
    <t>TEQ cond avg</t>
  </si>
  <si>
    <t>Condition Description</t>
  </si>
  <si>
    <t>Combustor Class</t>
  </si>
  <si>
    <t>Combustor Type</t>
  </si>
  <si>
    <t>Johnston Atoll Chemical Agent Disposal System (JACADS)</t>
  </si>
  <si>
    <t>Deactivation furnace system.  Rotary kiln/heated discharge conveyor/cyclone/afterburner</t>
  </si>
  <si>
    <t>Stack Gas Emissions 1</t>
  </si>
  <si>
    <t>Stack Gas Emissions 2</t>
  </si>
  <si>
    <t>Nothing available</t>
  </si>
  <si>
    <t>Feedstream 1</t>
  </si>
  <si>
    <t>Feedstream 2</t>
  </si>
  <si>
    <t>34610</t>
  </si>
  <si>
    <t>F</t>
  </si>
  <si>
    <t>34611</t>
  </si>
  <si>
    <t>34612</t>
  </si>
  <si>
    <t>34613</t>
  </si>
  <si>
    <t>Afterburner Temperature?</t>
  </si>
  <si>
    <t>Kiln Temperature</t>
  </si>
  <si>
    <t>Quench Inlet Temperature?</t>
  </si>
  <si>
    <t>WS Temperature</t>
  </si>
  <si>
    <t>PBS Pressure Drop</t>
  </si>
  <si>
    <t>PBS pH</t>
  </si>
  <si>
    <t>Quench pH</t>
  </si>
  <si>
    <t>Process Information 2</t>
  </si>
  <si>
    <t>Quench tower, venturi scrubber (variable throat), packed bed scrubber, demister vessel</t>
  </si>
  <si>
    <t>E1</t>
  </si>
  <si>
    <t>E2</t>
  </si>
  <si>
    <t>E3</t>
  </si>
  <si>
    <t>E4</t>
  </si>
  <si>
    <t>Chromium (Hex)</t>
  </si>
  <si>
    <t>Cond Dates</t>
  </si>
  <si>
    <t>Rotary kiln</t>
  </si>
  <si>
    <t>Number of Sister Facilities</t>
  </si>
  <si>
    <t>APCS Detailed Acronym</t>
  </si>
  <si>
    <t>APCS General Class</t>
  </si>
  <si>
    <t>Misc fuel</t>
  </si>
  <si>
    <t>Solid</t>
  </si>
  <si>
    <t>source</t>
  </si>
  <si>
    <t>cond</t>
  </si>
  <si>
    <t>emiss 1</t>
  </si>
  <si>
    <t>emiss 2</t>
  </si>
  <si>
    <t>feed 1</t>
  </si>
  <si>
    <t>feed 2</t>
  </si>
  <si>
    <t>process 1</t>
  </si>
  <si>
    <t>process 2</t>
  </si>
  <si>
    <t>df c10</t>
  </si>
  <si>
    <t>Onsite Incinerator, DoD government, chem demil</t>
  </si>
  <si>
    <t>WQ, HEWS, LEWS</t>
  </si>
  <si>
    <t>Cobalt</t>
  </si>
  <si>
    <t>df c1</t>
  </si>
  <si>
    <t>N</t>
  </si>
  <si>
    <t>No longer burning waste; shutdown after all hazardous waste on island was treated.</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</si>
</sst>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0"/>
    <numFmt numFmtId="166" formatCode="0.0000"/>
    <numFmt numFmtId="167" formatCode="0.000"/>
    <numFmt numFmtId="168" formatCode="#,##0.000"/>
    <numFmt numFmtId="169" formatCode="#,##0.0000"/>
    <numFmt numFmtId="170" formatCode="0.000000"/>
    <numFmt numFmtId="171" formatCode="0.00000"/>
    <numFmt numFmtId="172" formatCode="mmm\-yyyy"/>
    <numFmt numFmtId="173" formatCode="&quot;$&quot;#,##0.0"/>
    <numFmt numFmtId="174" formatCode="#,##0.0"/>
    <numFmt numFmtId="175" formatCode="0.00000000"/>
    <numFmt numFmtId="176" formatCode="0.0000000"/>
    <numFmt numFmtId="177" formatCode="mm/dd/yy"/>
  </numFmts>
  <fonts count="6">
    <font>
      <sz val="10"/>
      <name val="Arial"/>
      <family val="0"/>
    </font>
    <font>
      <sz val="10"/>
      <name val="Helv"/>
      <family val="0"/>
    </font>
    <font>
      <u val="single"/>
      <sz val="10"/>
      <color indexed="12"/>
      <name val="Arial"/>
      <family val="0"/>
    </font>
    <font>
      <b/>
      <sz val="10"/>
      <name val="Arial"/>
      <family val="2"/>
    </font>
    <font>
      <vertAlign val="superscript"/>
      <sz val="10"/>
      <name val="Arial"/>
      <family val="2"/>
    </font>
    <font>
      <i/>
      <sz val="10"/>
      <name val="Arial"/>
      <family val="2"/>
    </font>
  </fonts>
  <fills count="2">
    <fill>
      <patternFill/>
    </fill>
    <fill>
      <patternFill patternType="gray125"/>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95">
    <xf numFmtId="0" fontId="0" fillId="0" borderId="0" xfId="0" applyAlignment="1">
      <alignment/>
    </xf>
    <xf numFmtId="0" fontId="1" fillId="0" borderId="0" xfId="0" applyFont="1" applyAlignment="1">
      <alignment/>
    </xf>
    <xf numFmtId="0" fontId="1" fillId="0" borderId="0" xfId="0" applyFont="1" applyBorder="1" applyAlignment="1">
      <alignment horizontal="left"/>
    </xf>
    <xf numFmtId="0" fontId="1" fillId="0" borderId="0" xfId="0" applyFont="1" applyBorder="1" applyAlignment="1">
      <alignment/>
    </xf>
    <xf numFmtId="0" fontId="1" fillId="0" borderId="0" xfId="0" applyFont="1" applyBorder="1" applyAlignment="1">
      <alignment horizontal="right"/>
    </xf>
    <xf numFmtId="165" fontId="0" fillId="0" borderId="0" xfId="0" applyNumberFormat="1" applyAlignment="1">
      <alignment/>
    </xf>
    <xf numFmtId="0" fontId="3" fillId="0" borderId="0" xfId="0" applyFont="1" applyAlignment="1">
      <alignment/>
    </xf>
    <xf numFmtId="0" fontId="4" fillId="0" borderId="0" xfId="0" applyFont="1" applyAlignment="1">
      <alignment/>
    </xf>
    <xf numFmtId="0" fontId="0" fillId="0" borderId="0" xfId="0" applyFont="1" applyFill="1" applyBorder="1" applyAlignment="1">
      <alignment horizontal="left"/>
    </xf>
    <xf numFmtId="0" fontId="0" fillId="0" borderId="0" xfId="0" applyFont="1" applyBorder="1" applyAlignment="1">
      <alignment horizontal="left"/>
    </xf>
    <xf numFmtId="165" fontId="0" fillId="0" borderId="0" xfId="0" applyNumberFormat="1" applyFont="1" applyBorder="1" applyAlignment="1">
      <alignment horizontal="right"/>
    </xf>
    <xf numFmtId="1" fontId="0" fillId="0" borderId="0" xfId="0" applyNumberFormat="1" applyFont="1" applyBorder="1" applyAlignment="1">
      <alignment horizontal="center"/>
    </xf>
    <xf numFmtId="0" fontId="0" fillId="0" borderId="0" xfId="0" applyFont="1" applyAlignment="1">
      <alignment/>
    </xf>
    <xf numFmtId="0" fontId="0" fillId="0" borderId="0" xfId="0" applyFont="1" applyAlignment="1">
      <alignment horizontal="left"/>
    </xf>
    <xf numFmtId="165" fontId="0" fillId="0" borderId="0" xfId="0" applyNumberFormat="1" applyFont="1" applyAlignment="1">
      <alignment horizontal="left"/>
    </xf>
    <xf numFmtId="164" fontId="0" fillId="0" borderId="0" xfId="0" applyNumberFormat="1" applyFont="1" applyAlignment="1">
      <alignment horizontal="left"/>
    </xf>
    <xf numFmtId="0" fontId="3" fillId="0" borderId="0" xfId="0" applyFont="1" applyFill="1" applyBorder="1" applyAlignment="1">
      <alignment/>
    </xf>
    <xf numFmtId="0" fontId="0" fillId="0" borderId="0" xfId="0" applyFont="1" applyFill="1" applyBorder="1" applyAlignment="1">
      <alignment/>
    </xf>
    <xf numFmtId="0" fontId="0" fillId="0" borderId="0" xfId="0" applyNumberFormat="1" applyFont="1" applyFill="1" applyBorder="1" applyAlignment="1">
      <alignment/>
    </xf>
    <xf numFmtId="0" fontId="0" fillId="0" borderId="0" xfId="0" applyFont="1" applyFill="1" applyBorder="1" applyAlignment="1">
      <alignment horizontal="center"/>
    </xf>
    <xf numFmtId="0" fontId="0" fillId="0" borderId="0" xfId="0" applyNumberFormat="1" applyFont="1" applyFill="1" applyBorder="1" applyAlignment="1">
      <alignment horizontal="center"/>
    </xf>
    <xf numFmtId="0" fontId="3" fillId="0" borderId="0" xfId="0" applyFont="1" applyFill="1" applyBorder="1" applyAlignment="1">
      <alignment horizontal="left"/>
    </xf>
    <xf numFmtId="0" fontId="0" fillId="0" borderId="0" xfId="0" applyNumberFormat="1" applyFont="1" applyAlignment="1">
      <alignment/>
    </xf>
    <xf numFmtId="0" fontId="0" fillId="0" borderId="0" xfId="0" applyFont="1" applyFill="1" applyBorder="1" applyAlignment="1">
      <alignment horizontal="right"/>
    </xf>
    <xf numFmtId="0" fontId="0" fillId="0" borderId="0" xfId="0" applyNumberFormat="1" applyFont="1" applyFill="1" applyBorder="1" applyAlignment="1">
      <alignment horizontal="right"/>
    </xf>
    <xf numFmtId="11" fontId="0" fillId="0" borderId="0" xfId="0" applyNumberFormat="1" applyFont="1" applyFill="1" applyBorder="1" applyAlignment="1">
      <alignment/>
    </xf>
    <xf numFmtId="0" fontId="3" fillId="0" borderId="0" xfId="0" applyFont="1" applyBorder="1" applyAlignment="1">
      <alignment horizontal="left"/>
    </xf>
    <xf numFmtId="0" fontId="0"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horizontal="center"/>
    </xf>
    <xf numFmtId="165" fontId="0" fillId="0" borderId="0" xfId="0" applyNumberFormat="1" applyFont="1" applyBorder="1" applyAlignment="1">
      <alignment/>
    </xf>
    <xf numFmtId="167"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Alignment="1">
      <alignment/>
    </xf>
    <xf numFmtId="11" fontId="0" fillId="0" borderId="0" xfId="0" applyNumberFormat="1" applyFont="1" applyBorder="1" applyAlignment="1">
      <alignment/>
    </xf>
    <xf numFmtId="166" fontId="0" fillId="0" borderId="0" xfId="0" applyNumberFormat="1" applyFont="1" applyBorder="1" applyAlignment="1">
      <alignment/>
    </xf>
    <xf numFmtId="11" fontId="0" fillId="0" borderId="0" xfId="0" applyNumberFormat="1" applyFont="1" applyBorder="1" applyAlignment="1">
      <alignment horizontal="left"/>
    </xf>
    <xf numFmtId="166" fontId="0" fillId="0" borderId="0" xfId="0" applyNumberFormat="1" applyFont="1" applyBorder="1" applyAlignment="1">
      <alignment horizontal="center"/>
    </xf>
    <xf numFmtId="11" fontId="0" fillId="0" borderId="0" xfId="0" applyNumberFormat="1" applyFont="1" applyBorder="1" applyAlignment="1">
      <alignment horizontal="center"/>
    </xf>
    <xf numFmtId="1" fontId="0" fillId="0" borderId="0" xfId="0" applyNumberFormat="1" applyFont="1" applyBorder="1" applyAlignment="1">
      <alignment horizontal="centerContinuous"/>
    </xf>
    <xf numFmtId="1" fontId="0" fillId="0" borderId="0" xfId="0" applyNumberFormat="1" applyFont="1" applyBorder="1" applyAlignment="1">
      <alignment/>
    </xf>
    <xf numFmtId="0" fontId="3" fillId="0" borderId="0" xfId="0" applyFont="1" applyBorder="1" applyAlignment="1">
      <alignment/>
    </xf>
    <xf numFmtId="0" fontId="0" fillId="0" borderId="0" xfId="0" applyFont="1" applyAlignment="1">
      <alignment vertical="top" wrapText="1"/>
    </xf>
    <xf numFmtId="0" fontId="1" fillId="0" borderId="0" xfId="0" applyFont="1" applyAlignment="1">
      <alignment vertical="top" wrapText="1"/>
    </xf>
    <xf numFmtId="0" fontId="0" fillId="0" borderId="0" xfId="0" applyFont="1" applyAlignment="1">
      <alignment horizontal="left" vertical="top" wrapText="1"/>
    </xf>
    <xf numFmtId="0" fontId="5" fillId="0" borderId="0" xfId="0" applyFont="1" applyBorder="1" applyAlignment="1">
      <alignment horizontal="left"/>
    </xf>
    <xf numFmtId="0" fontId="0" fillId="0" borderId="0" xfId="0" applyFont="1" applyAlignment="1">
      <alignment horizontal="center"/>
    </xf>
    <xf numFmtId="2" fontId="0" fillId="0" borderId="0" xfId="0" applyNumberFormat="1" applyFont="1" applyAlignment="1">
      <alignment horizontal="left"/>
    </xf>
    <xf numFmtId="0" fontId="0" fillId="0" borderId="0" xfId="0" applyFont="1" applyAlignment="1">
      <alignment wrapText="1"/>
    </xf>
    <xf numFmtId="164" fontId="0" fillId="0" borderId="0" xfId="0" applyNumberFormat="1" applyFont="1" applyAlignment="1">
      <alignment horizontal="left" wrapText="1"/>
    </xf>
    <xf numFmtId="0" fontId="0" fillId="0" borderId="0" xfId="0" applyFont="1" applyBorder="1" applyAlignment="1">
      <alignment wrapText="1"/>
    </xf>
    <xf numFmtId="0" fontId="0" fillId="0" borderId="0" xfId="0" applyAlignment="1">
      <alignment horizontal="center"/>
    </xf>
    <xf numFmtId="2" fontId="0" fillId="0" borderId="0" xfId="0" applyNumberFormat="1" applyFont="1" applyBorder="1" applyAlignment="1">
      <alignment horizontal="center"/>
    </xf>
    <xf numFmtId="167" fontId="0" fillId="0" borderId="0" xfId="0" applyNumberFormat="1" applyFont="1" applyBorder="1" applyAlignment="1">
      <alignment horizontal="center"/>
    </xf>
    <xf numFmtId="0" fontId="0" fillId="0" borderId="0" xfId="0" applyFont="1" applyBorder="1" applyAlignment="1">
      <alignment vertical="top" wrapText="1"/>
    </xf>
    <xf numFmtId="0" fontId="0" fillId="0" borderId="0" xfId="0" applyFont="1" applyAlignment="1">
      <alignment vertical="top"/>
    </xf>
    <xf numFmtId="166" fontId="0" fillId="0" borderId="0" xfId="0" applyNumberFormat="1" applyAlignment="1">
      <alignment/>
    </xf>
    <xf numFmtId="2" fontId="0" fillId="0" borderId="0" xfId="0" applyNumberFormat="1" applyFont="1" applyFill="1" applyBorder="1" applyAlignment="1">
      <alignment/>
    </xf>
    <xf numFmtId="165" fontId="0" fillId="0" borderId="0" xfId="0" applyNumberFormat="1" applyFont="1" applyFill="1" applyBorder="1" applyAlignment="1">
      <alignment/>
    </xf>
    <xf numFmtId="0" fontId="0" fillId="0" borderId="0" xfId="0" applyAlignment="1">
      <alignment horizontal="left"/>
    </xf>
    <xf numFmtId="11" fontId="0" fillId="0" borderId="0" xfId="0" applyNumberFormat="1" applyFont="1" applyFill="1" applyBorder="1" applyAlignment="1">
      <alignment horizontal="right"/>
    </xf>
    <xf numFmtId="0" fontId="0" fillId="0" borderId="0" xfId="0" applyNumberFormat="1" applyFont="1" applyBorder="1" applyAlignment="1">
      <alignment horizontal="right"/>
    </xf>
    <xf numFmtId="0" fontId="0" fillId="0" borderId="0" xfId="0" applyNumberFormat="1" applyFont="1" applyBorder="1" applyAlignment="1">
      <alignment/>
    </xf>
    <xf numFmtId="2" fontId="0" fillId="0" borderId="0" xfId="0" applyNumberFormat="1" applyAlignment="1">
      <alignment/>
    </xf>
    <xf numFmtId="1" fontId="0" fillId="0" borderId="0" xfId="0" applyNumberFormat="1" applyAlignment="1">
      <alignment/>
    </xf>
    <xf numFmtId="1" fontId="0" fillId="0" borderId="0" xfId="0" applyNumberFormat="1" applyFont="1" applyFill="1" applyBorder="1" applyAlignment="1">
      <alignment/>
    </xf>
    <xf numFmtId="175" fontId="0" fillId="0" borderId="0" xfId="0" applyNumberFormat="1" applyFont="1" applyFill="1" applyBorder="1" applyAlignment="1">
      <alignment horizontal="right"/>
    </xf>
    <xf numFmtId="167" fontId="0" fillId="0" borderId="0" xfId="0" applyNumberFormat="1" applyAlignment="1">
      <alignment/>
    </xf>
    <xf numFmtId="175" fontId="0" fillId="0" borderId="0" xfId="0" applyNumberFormat="1" applyAlignment="1">
      <alignment/>
    </xf>
    <xf numFmtId="11" fontId="0" fillId="0" borderId="0" xfId="0" applyNumberFormat="1" applyFont="1" applyBorder="1" applyAlignment="1">
      <alignment horizontal="right"/>
    </xf>
    <xf numFmtId="1" fontId="0" fillId="0" borderId="0" xfId="0" applyNumberFormat="1" applyFont="1" applyBorder="1" applyAlignment="1">
      <alignment horizontal="right"/>
    </xf>
    <xf numFmtId="166" fontId="0" fillId="0" borderId="0" xfId="0" applyNumberFormat="1" applyFont="1" applyFill="1" applyBorder="1" applyAlignment="1">
      <alignment/>
    </xf>
    <xf numFmtId="1" fontId="0" fillId="0" borderId="0" xfId="0" applyNumberFormat="1" applyFont="1" applyAlignment="1">
      <alignment horizontal="left"/>
    </xf>
    <xf numFmtId="170" fontId="0" fillId="0" borderId="0" xfId="0" applyNumberFormat="1" applyAlignment="1">
      <alignment/>
    </xf>
    <xf numFmtId="170" fontId="0" fillId="0" borderId="0" xfId="0" applyNumberFormat="1" applyFont="1" applyFill="1" applyBorder="1" applyAlignment="1">
      <alignment horizontal="right"/>
    </xf>
    <xf numFmtId="0" fontId="0" fillId="0" borderId="0" xfId="0" applyAlignment="1">
      <alignment vertical="top" wrapText="1"/>
    </xf>
    <xf numFmtId="0" fontId="0" fillId="0" borderId="0" xfId="0" applyAlignment="1">
      <alignment horizontal="left" vertical="top" wrapText="1"/>
    </xf>
    <xf numFmtId="0" fontId="0" fillId="0" borderId="0" xfId="0" applyBorder="1" applyAlignment="1">
      <alignment/>
    </xf>
    <xf numFmtId="0" fontId="0" fillId="0" borderId="0" xfId="0" applyNumberFormat="1" applyBorder="1" applyAlignment="1">
      <alignment/>
    </xf>
    <xf numFmtId="166" fontId="0" fillId="0" borderId="0" xfId="0" applyNumberFormat="1" applyBorder="1" applyAlignment="1">
      <alignment/>
    </xf>
    <xf numFmtId="165" fontId="0" fillId="0" borderId="0" xfId="0" applyNumberFormat="1" applyBorder="1" applyAlignment="1">
      <alignment/>
    </xf>
    <xf numFmtId="0" fontId="0" fillId="0" borderId="0" xfId="0" applyFill="1" applyBorder="1" applyAlignment="1">
      <alignment/>
    </xf>
    <xf numFmtId="0" fontId="0" fillId="0" borderId="0" xfId="0" applyNumberFormat="1" applyFill="1" applyBorder="1" applyAlignment="1">
      <alignment/>
    </xf>
    <xf numFmtId="0" fontId="0" fillId="0" borderId="0" xfId="0" applyNumberFormat="1" applyAlignment="1">
      <alignment horizontal="center"/>
    </xf>
    <xf numFmtId="0" fontId="0" fillId="0" borderId="0" xfId="0" applyNumberFormat="1" applyFill="1" applyBorder="1" applyAlignment="1">
      <alignment horizontal="center"/>
    </xf>
    <xf numFmtId="167" fontId="0" fillId="0" borderId="0" xfId="0" applyNumberFormat="1" applyFill="1" applyBorder="1" applyAlignment="1">
      <alignment/>
    </xf>
    <xf numFmtId="171" fontId="0" fillId="0" borderId="0" xfId="0" applyNumberFormat="1" applyFill="1" applyBorder="1" applyAlignment="1">
      <alignment/>
    </xf>
    <xf numFmtId="2" fontId="0" fillId="0" borderId="0" xfId="0" applyNumberFormat="1" applyFill="1" applyBorder="1" applyAlignment="1">
      <alignment/>
    </xf>
    <xf numFmtId="17" fontId="0" fillId="0" borderId="0" xfId="0" applyNumberFormat="1" applyFont="1" applyAlignment="1">
      <alignment horizontal="left"/>
    </xf>
    <xf numFmtId="17" fontId="0" fillId="0" borderId="0" xfId="0" applyNumberFormat="1" applyAlignment="1">
      <alignment horizontal="left"/>
    </xf>
    <xf numFmtId="165" fontId="0" fillId="0" borderId="0" xfId="0" applyNumberFormat="1" applyFill="1" applyBorder="1" applyAlignment="1">
      <alignment/>
    </xf>
    <xf numFmtId="0" fontId="0" fillId="0" borderId="0" xfId="0" applyAlignment="1">
      <alignment horizontal="center"/>
    </xf>
    <xf numFmtId="167" fontId="0" fillId="0" borderId="0" xfId="0" applyNumberFormat="1" applyAlignment="1">
      <alignment horizontal="center"/>
    </xf>
    <xf numFmtId="0" fontId="0" fillId="0" borderId="0" xfId="0" applyAlignment="1">
      <alignment horizontal="centerContinuous"/>
    </xf>
    <xf numFmtId="167" fontId="0" fillId="0" borderId="0" xfId="0" applyNumberFormat="1" applyAlignment="1">
      <alignment horizontal="centerContinuous"/>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0"/>
  <sheetViews>
    <sheetView workbookViewId="0" topLeftCell="A1">
      <selection activeCell="A10" sqref="A10"/>
    </sheetView>
  </sheetViews>
  <sheetFormatPr defaultColWidth="9.140625" defaultRowHeight="12.75"/>
  <sheetData>
    <row r="1" ht="12.75">
      <c r="A1" t="s">
        <v>256</v>
      </c>
    </row>
    <row r="2" ht="12.75">
      <c r="A2" t="s">
        <v>257</v>
      </c>
    </row>
    <row r="3" ht="12.75">
      <c r="A3" t="s">
        <v>258</v>
      </c>
    </row>
    <row r="4" ht="12.75">
      <c r="A4" t="s">
        <v>259</v>
      </c>
    </row>
    <row r="5" ht="12.75">
      <c r="A5" t="s">
        <v>260</v>
      </c>
    </row>
    <row r="6" ht="12.75">
      <c r="A6" t="s">
        <v>261</v>
      </c>
    </row>
    <row r="7" ht="12.75">
      <c r="A7" t="s">
        <v>262</v>
      </c>
    </row>
    <row r="8" ht="12.75">
      <c r="A8" t="s">
        <v>263</v>
      </c>
    </row>
    <row r="9" ht="12.75">
      <c r="A9" t="s">
        <v>264</v>
      </c>
    </row>
    <row r="10" ht="12.75">
      <c r="A10" t="s">
        <v>268</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W132"/>
  <sheetViews>
    <sheetView zoomScale="75" zoomScaleNormal="75" workbookViewId="0" topLeftCell="A1">
      <selection activeCell="C47" sqref="C47"/>
    </sheetView>
  </sheetViews>
  <sheetFormatPr defaultColWidth="9.140625" defaultRowHeight="12.75"/>
  <cols>
    <col min="1" max="1" width="1.7109375" style="0" customWidth="1"/>
    <col min="2" max="2" width="20.00390625" style="0" customWidth="1"/>
    <col min="3" max="3" width="7.57421875" style="0" customWidth="1"/>
    <col min="4" max="4" width="6.421875" style="0" customWidth="1"/>
    <col min="5" max="5" width="9.421875" style="0" customWidth="1"/>
    <col min="6" max="6" width="9.8515625" style="0" customWidth="1"/>
    <col min="8" max="8" width="9.8515625" style="0" customWidth="1"/>
    <col min="9" max="9" width="7.00390625" style="51" customWidth="1"/>
    <col min="11" max="11" width="9.28125" style="0" customWidth="1"/>
    <col min="13" max="13" width="9.28125" style="0" customWidth="1"/>
    <col min="14" max="14" width="8.421875" style="0" customWidth="1"/>
    <col min="16" max="16" width="9.00390625" style="0" customWidth="1"/>
    <col min="18" max="18" width="9.00390625" style="0" customWidth="1"/>
    <col min="19" max="19" width="8.00390625" style="0" customWidth="1"/>
    <col min="21" max="21" width="9.00390625" style="0" customWidth="1"/>
    <col min="23" max="23" width="9.00390625" style="0" customWidth="1"/>
  </cols>
  <sheetData>
    <row r="1" spans="1:23" ht="12.75">
      <c r="A1" s="41" t="s">
        <v>65</v>
      </c>
      <c r="B1" s="27"/>
      <c r="C1" s="27"/>
      <c r="D1" s="27"/>
      <c r="E1" s="34"/>
      <c r="F1" s="35"/>
      <c r="G1" s="34"/>
      <c r="H1" s="35"/>
      <c r="I1" s="38"/>
      <c r="J1" s="34"/>
      <c r="K1" s="34"/>
      <c r="L1" s="34"/>
      <c r="M1" s="34"/>
      <c r="N1" s="34"/>
      <c r="O1" s="34"/>
      <c r="P1" s="34"/>
      <c r="Q1" s="34"/>
      <c r="R1" s="34"/>
      <c r="S1" s="34"/>
      <c r="T1" s="34"/>
      <c r="U1" s="34"/>
      <c r="V1" s="34"/>
      <c r="W1" s="34"/>
    </row>
    <row r="2" spans="1:23" ht="9" customHeight="1">
      <c r="A2" s="27" t="s">
        <v>269</v>
      </c>
      <c r="B2" s="27"/>
      <c r="C2" s="27"/>
      <c r="D2" s="27"/>
      <c r="E2" s="34"/>
      <c r="F2" s="35"/>
      <c r="G2" s="34"/>
      <c r="H2" s="35"/>
      <c r="I2" s="38"/>
      <c r="J2" s="34"/>
      <c r="K2" s="34"/>
      <c r="L2" s="34"/>
      <c r="M2" s="34"/>
      <c r="N2" s="34"/>
      <c r="O2" s="34"/>
      <c r="P2" s="34"/>
      <c r="Q2" s="34"/>
      <c r="R2" s="34"/>
      <c r="S2" s="34"/>
      <c r="T2" s="34"/>
      <c r="U2" s="34"/>
      <c r="V2" s="34"/>
      <c r="W2" s="34"/>
    </row>
    <row r="3" spans="1:23" ht="12.75">
      <c r="A3" s="27" t="s">
        <v>20</v>
      </c>
      <c r="B3" s="27"/>
      <c r="C3" s="9" t="s">
        <v>140</v>
      </c>
      <c r="D3" s="9"/>
      <c r="E3" s="34"/>
      <c r="F3" s="35"/>
      <c r="G3" s="34"/>
      <c r="H3" s="35"/>
      <c r="I3" s="38"/>
      <c r="J3" s="34"/>
      <c r="K3" s="34"/>
      <c r="L3" s="34"/>
      <c r="M3" s="34"/>
      <c r="N3" s="34"/>
      <c r="O3" s="34"/>
      <c r="P3" s="34"/>
      <c r="Q3" s="34"/>
      <c r="R3" s="34"/>
      <c r="S3" s="34"/>
      <c r="T3" s="34"/>
      <c r="U3" s="34"/>
      <c r="V3" s="34"/>
      <c r="W3" s="34"/>
    </row>
    <row r="4" spans="1:23" ht="12.75">
      <c r="A4" s="27" t="s">
        <v>21</v>
      </c>
      <c r="B4" s="27"/>
      <c r="C4" s="9" t="str">
        <f>'emiss 1'!B6</f>
        <v>346C10</v>
      </c>
      <c r="D4" s="9"/>
      <c r="E4" s="36"/>
      <c r="F4" s="37"/>
      <c r="G4" s="36"/>
      <c r="H4" s="37"/>
      <c r="I4" s="38"/>
      <c r="J4" s="36"/>
      <c r="K4" s="36"/>
      <c r="L4" s="36"/>
      <c r="M4" s="36"/>
      <c r="N4" s="36"/>
      <c r="O4" s="36"/>
      <c r="P4" s="36"/>
      <c r="Q4" s="36"/>
      <c r="R4" s="36"/>
      <c r="S4" s="36"/>
      <c r="T4" s="36"/>
      <c r="U4" s="36"/>
      <c r="V4" s="36"/>
      <c r="W4" s="36"/>
    </row>
    <row r="5" spans="1:23" ht="12.75">
      <c r="A5" s="27" t="s">
        <v>22</v>
      </c>
      <c r="B5" s="27"/>
      <c r="C5" s="12" t="s">
        <v>152</v>
      </c>
      <c r="D5" s="12"/>
      <c r="E5" s="12"/>
      <c r="F5" s="12"/>
      <c r="G5" s="12"/>
      <c r="H5" s="12"/>
      <c r="I5" s="46"/>
      <c r="J5" s="12"/>
      <c r="K5" s="34"/>
      <c r="L5" s="12"/>
      <c r="M5" s="34"/>
      <c r="N5" s="34"/>
      <c r="O5" s="34"/>
      <c r="P5" s="34"/>
      <c r="Q5" s="34"/>
      <c r="R5" s="34"/>
      <c r="S5" s="34"/>
      <c r="T5" s="34"/>
      <c r="U5" s="34"/>
      <c r="V5" s="34"/>
      <c r="W5" s="34"/>
    </row>
    <row r="6" spans="1:23" ht="12.75">
      <c r="A6" s="27"/>
      <c r="B6" s="27"/>
      <c r="C6" s="29"/>
      <c r="D6" s="29"/>
      <c r="E6" s="38"/>
      <c r="F6" s="35"/>
      <c r="G6" s="38"/>
      <c r="H6" s="35"/>
      <c r="I6" s="38"/>
      <c r="J6" s="38"/>
      <c r="K6" s="34"/>
      <c r="L6" s="38"/>
      <c r="M6" s="34"/>
      <c r="N6" s="34"/>
      <c r="O6" s="38"/>
      <c r="P6" s="34"/>
      <c r="Q6" s="38"/>
      <c r="R6" s="34"/>
      <c r="S6" s="34"/>
      <c r="T6" s="38"/>
      <c r="U6" s="34"/>
      <c r="V6" s="38"/>
      <c r="W6" s="34"/>
    </row>
    <row r="7" spans="1:23" ht="12.75">
      <c r="A7" s="27"/>
      <c r="B7" s="27"/>
      <c r="C7" s="29" t="s">
        <v>23</v>
      </c>
      <c r="D7" s="29"/>
      <c r="E7" s="39" t="s">
        <v>52</v>
      </c>
      <c r="F7" s="39"/>
      <c r="G7" s="39"/>
      <c r="H7" s="39"/>
      <c r="I7" s="11"/>
      <c r="J7" s="39" t="s">
        <v>141</v>
      </c>
      <c r="K7" s="39"/>
      <c r="L7" s="39"/>
      <c r="M7" s="39"/>
      <c r="N7" s="11"/>
      <c r="O7" s="39" t="s">
        <v>142</v>
      </c>
      <c r="P7" s="39"/>
      <c r="Q7" s="39"/>
      <c r="R7" s="39"/>
      <c r="S7" s="11"/>
      <c r="T7" s="39" t="s">
        <v>157</v>
      </c>
      <c r="U7" s="39"/>
      <c r="V7" s="39"/>
      <c r="W7" s="39"/>
    </row>
    <row r="8" spans="1:23" ht="12.75">
      <c r="A8" s="27"/>
      <c r="B8" s="27"/>
      <c r="C8" s="29" t="s">
        <v>24</v>
      </c>
      <c r="D8" s="27"/>
      <c r="E8" s="38" t="s">
        <v>25</v>
      </c>
      <c r="F8" s="37" t="s">
        <v>26</v>
      </c>
      <c r="G8" s="38" t="s">
        <v>25</v>
      </c>
      <c r="H8" s="37" t="s">
        <v>26</v>
      </c>
      <c r="I8" s="38"/>
      <c r="J8" s="38" t="s">
        <v>25</v>
      </c>
      <c r="K8" s="38" t="s">
        <v>27</v>
      </c>
      <c r="L8" s="38" t="s">
        <v>25</v>
      </c>
      <c r="M8" s="38" t="s">
        <v>27</v>
      </c>
      <c r="N8" s="34"/>
      <c r="O8" s="38" t="s">
        <v>25</v>
      </c>
      <c r="P8" s="38" t="s">
        <v>27</v>
      </c>
      <c r="Q8" s="38" t="s">
        <v>25</v>
      </c>
      <c r="R8" s="38" t="s">
        <v>27</v>
      </c>
      <c r="S8" s="34"/>
      <c r="T8" s="38" t="s">
        <v>25</v>
      </c>
      <c r="U8" s="38" t="s">
        <v>27</v>
      </c>
      <c r="V8" s="38" t="s">
        <v>25</v>
      </c>
      <c r="W8" s="38" t="s">
        <v>27</v>
      </c>
    </row>
    <row r="9" spans="1:23" ht="12.75">
      <c r="A9" s="27"/>
      <c r="B9" s="27"/>
      <c r="C9" s="29"/>
      <c r="D9" s="27"/>
      <c r="E9" s="38" t="s">
        <v>184</v>
      </c>
      <c r="F9" s="38" t="s">
        <v>184</v>
      </c>
      <c r="G9" s="38" t="s">
        <v>64</v>
      </c>
      <c r="H9" s="37" t="s">
        <v>64</v>
      </c>
      <c r="I9" s="38"/>
      <c r="J9" s="38" t="s">
        <v>184</v>
      </c>
      <c r="K9" s="38" t="s">
        <v>184</v>
      </c>
      <c r="L9" s="38" t="s">
        <v>64</v>
      </c>
      <c r="M9" s="37" t="s">
        <v>64</v>
      </c>
      <c r="N9" s="34"/>
      <c r="O9" s="38" t="s">
        <v>184</v>
      </c>
      <c r="P9" s="38" t="s">
        <v>184</v>
      </c>
      <c r="Q9" s="38" t="s">
        <v>64</v>
      </c>
      <c r="R9" s="37" t="s">
        <v>64</v>
      </c>
      <c r="S9" s="34"/>
      <c r="T9" s="38" t="s">
        <v>184</v>
      </c>
      <c r="U9" s="38" t="s">
        <v>184</v>
      </c>
      <c r="V9" s="38" t="s">
        <v>64</v>
      </c>
      <c r="W9" s="37" t="s">
        <v>64</v>
      </c>
    </row>
    <row r="10" spans="1:23" ht="12.75">
      <c r="A10" s="27" t="s">
        <v>97</v>
      </c>
      <c r="B10" s="27"/>
      <c r="C10" s="27"/>
      <c r="D10" s="27"/>
      <c r="E10" s="34"/>
      <c r="F10" s="35"/>
      <c r="G10" s="34"/>
      <c r="H10" s="35"/>
      <c r="I10" s="38"/>
      <c r="J10" s="34"/>
      <c r="K10" s="34"/>
      <c r="L10" s="34"/>
      <c r="M10" s="34"/>
      <c r="N10" s="34"/>
      <c r="O10" s="30"/>
      <c r="P10" s="34"/>
      <c r="Q10" s="34"/>
      <c r="R10" s="34"/>
      <c r="S10" s="34"/>
      <c r="T10" s="30"/>
      <c r="U10" s="34"/>
      <c r="V10" s="34"/>
      <c r="W10" s="34"/>
    </row>
    <row r="11" spans="1:23" ht="12.75">
      <c r="A11" s="27"/>
      <c r="B11" s="27" t="s">
        <v>28</v>
      </c>
      <c r="C11" s="29">
        <v>1</v>
      </c>
      <c r="D11" t="s">
        <v>96</v>
      </c>
      <c r="E11">
        <v>20</v>
      </c>
      <c r="F11" s="32">
        <f aca="true" t="shared" si="0" ref="F11:F35">IF(E11="","",E11*$C11)</f>
        <v>20</v>
      </c>
      <c r="G11" s="32">
        <f aca="true" t="shared" si="1" ref="G11:G35">IF(E11=0,"",IF(D11="nd",E11/2,E11))</f>
        <v>10</v>
      </c>
      <c r="H11" s="32">
        <f aca="true" t="shared" si="2" ref="H11:H35">IF(G11="","",G11*$C11)</f>
        <v>10</v>
      </c>
      <c r="I11" t="s">
        <v>96</v>
      </c>
      <c r="J11">
        <v>17</v>
      </c>
      <c r="K11" s="32">
        <f aca="true" t="shared" si="3" ref="K11:K35">IF(J11="","",J11*$C11)</f>
        <v>17</v>
      </c>
      <c r="L11" s="32">
        <f>IF(J11=0,"",IF(I11="nd",J11/2,J11))</f>
        <v>8.5</v>
      </c>
      <c r="M11" s="32">
        <f aca="true" t="shared" si="4" ref="M11:M35">IF(L11="","",L11*$C11)</f>
        <v>8.5</v>
      </c>
      <c r="N11" t="s">
        <v>96</v>
      </c>
      <c r="O11">
        <v>14</v>
      </c>
      <c r="P11" s="40">
        <f aca="true" t="shared" si="5" ref="P11:P35">IF(O11="","",O11*$C11)</f>
        <v>14</v>
      </c>
      <c r="Q11" s="40">
        <f>IF(O11=0,"",IF(N11="nd",O11/2,O11))</f>
        <v>7</v>
      </c>
      <c r="R11" s="40">
        <f aca="true" t="shared" si="6" ref="R11:R35">IF(Q11="","",Q11*$C11)</f>
        <v>7</v>
      </c>
      <c r="S11" t="s">
        <v>96</v>
      </c>
      <c r="T11">
        <v>15</v>
      </c>
      <c r="U11" s="40">
        <f aca="true" t="shared" si="7" ref="U11:U35">IF(T11="","",T11*$C11)</f>
        <v>15</v>
      </c>
      <c r="V11" s="40">
        <f aca="true" t="shared" si="8" ref="V11:V35">IF(T11=0,"",IF(S11="nd",T11/2,T11))</f>
        <v>7.5</v>
      </c>
      <c r="W11" s="40">
        <f aca="true" t="shared" si="9" ref="W11:W35">IF(V11="","",V11*$C11)</f>
        <v>7.5</v>
      </c>
    </row>
    <row r="12" spans="1:23" ht="12.75">
      <c r="A12" s="27"/>
      <c r="B12" s="27" t="s">
        <v>86</v>
      </c>
      <c r="C12" s="29">
        <v>0</v>
      </c>
      <c r="D12" t="s">
        <v>96</v>
      </c>
      <c r="E12">
        <v>20</v>
      </c>
      <c r="F12" s="40">
        <f t="shared" si="0"/>
        <v>0</v>
      </c>
      <c r="G12" s="40">
        <f>IF(E12=0,"",IF(D12="nd",E12/2,E12))</f>
        <v>10</v>
      </c>
      <c r="H12" s="40">
        <f t="shared" si="2"/>
        <v>0</v>
      </c>
      <c r="I12" t="s">
        <v>96</v>
      </c>
      <c r="J12">
        <v>17</v>
      </c>
      <c r="K12" s="32">
        <f t="shared" si="3"/>
        <v>0</v>
      </c>
      <c r="L12" s="40">
        <f>IF(J12=0,"",IF(I12="nd",J12/2,J12))</f>
        <v>8.5</v>
      </c>
      <c r="M12" s="32">
        <f t="shared" si="4"/>
        <v>0</v>
      </c>
      <c r="N12" t="s">
        <v>96</v>
      </c>
      <c r="O12">
        <v>14</v>
      </c>
      <c r="P12" s="40">
        <f t="shared" si="5"/>
        <v>0</v>
      </c>
      <c r="Q12" s="40">
        <f>IF(O12=0,"",IF(N12="nd",O12/2,O12))</f>
        <v>7</v>
      </c>
      <c r="R12" s="40">
        <f t="shared" si="6"/>
        <v>0</v>
      </c>
      <c r="S12" t="s">
        <v>96</v>
      </c>
      <c r="T12">
        <v>15</v>
      </c>
      <c r="U12" s="40">
        <f t="shared" si="7"/>
        <v>0</v>
      </c>
      <c r="V12" s="40">
        <f t="shared" si="8"/>
        <v>7.5</v>
      </c>
      <c r="W12" s="40">
        <f t="shared" si="9"/>
        <v>0</v>
      </c>
    </row>
    <row r="13" spans="1:23" ht="12.75">
      <c r="A13" s="27"/>
      <c r="B13" s="27" t="s">
        <v>29</v>
      </c>
      <c r="C13" s="29">
        <v>0.5</v>
      </c>
      <c r="D13" t="s">
        <v>96</v>
      </c>
      <c r="E13">
        <v>39</v>
      </c>
      <c r="F13" s="32">
        <f t="shared" si="0"/>
        <v>19.5</v>
      </c>
      <c r="G13" s="32">
        <f t="shared" si="1"/>
        <v>19.5</v>
      </c>
      <c r="H13" s="32">
        <f t="shared" si="2"/>
        <v>9.75</v>
      </c>
      <c r="I13" t="s">
        <v>96</v>
      </c>
      <c r="J13">
        <v>30</v>
      </c>
      <c r="K13" s="32">
        <f t="shared" si="3"/>
        <v>15</v>
      </c>
      <c r="L13" s="32">
        <f aca="true" t="shared" si="10" ref="L13:L35">IF(J13=0,"",IF(I13="nd",J13/2,J13))</f>
        <v>15</v>
      </c>
      <c r="M13" s="32">
        <f t="shared" si="4"/>
        <v>7.5</v>
      </c>
      <c r="N13" t="s">
        <v>96</v>
      </c>
      <c r="O13">
        <v>29</v>
      </c>
      <c r="P13" s="40">
        <f t="shared" si="5"/>
        <v>14.5</v>
      </c>
      <c r="Q13" s="40">
        <f aca="true" t="shared" si="11" ref="Q13:Q35">IF(O13=0,"",IF(N13="nd",O13/2,O13))</f>
        <v>14.5</v>
      </c>
      <c r="R13" s="40">
        <f t="shared" si="6"/>
        <v>7.25</v>
      </c>
      <c r="S13" t="s">
        <v>96</v>
      </c>
      <c r="T13">
        <v>41</v>
      </c>
      <c r="U13" s="40">
        <f t="shared" si="7"/>
        <v>20.5</v>
      </c>
      <c r="V13" s="40">
        <f t="shared" si="8"/>
        <v>20.5</v>
      </c>
      <c r="W13" s="40">
        <f t="shared" si="9"/>
        <v>10.25</v>
      </c>
    </row>
    <row r="14" spans="1:23" ht="12.75">
      <c r="A14" s="27"/>
      <c r="B14" s="27" t="s">
        <v>87</v>
      </c>
      <c r="C14" s="29">
        <v>0</v>
      </c>
      <c r="D14" t="s">
        <v>96</v>
      </c>
      <c r="E14">
        <v>39</v>
      </c>
      <c r="F14" s="40">
        <f t="shared" si="0"/>
        <v>0</v>
      </c>
      <c r="G14" s="40">
        <f>IF(E14=0,"",IF(D14="nd",E14/2,E14))</f>
        <v>19.5</v>
      </c>
      <c r="H14" s="40">
        <f t="shared" si="2"/>
        <v>0</v>
      </c>
      <c r="I14" t="s">
        <v>96</v>
      </c>
      <c r="J14">
        <v>30</v>
      </c>
      <c r="K14" s="32">
        <f t="shared" si="3"/>
        <v>0</v>
      </c>
      <c r="L14" s="40">
        <f>IF(J14=0,"",IF(I14="nd",J14/2,J14))</f>
        <v>15</v>
      </c>
      <c r="M14" s="32">
        <f t="shared" si="4"/>
        <v>0</v>
      </c>
      <c r="N14" t="s">
        <v>96</v>
      </c>
      <c r="O14">
        <v>29</v>
      </c>
      <c r="P14" s="40">
        <f t="shared" si="5"/>
        <v>0</v>
      </c>
      <c r="Q14" s="40">
        <f>IF(O14=0,"",IF(N14="nd",O14/2,O14))</f>
        <v>14.5</v>
      </c>
      <c r="R14" s="40">
        <f t="shared" si="6"/>
        <v>0</v>
      </c>
      <c r="S14" t="s">
        <v>96</v>
      </c>
      <c r="T14">
        <v>41</v>
      </c>
      <c r="U14" s="40">
        <f t="shared" si="7"/>
        <v>0</v>
      </c>
      <c r="V14" s="40">
        <f t="shared" si="8"/>
        <v>20.5</v>
      </c>
      <c r="W14" s="40">
        <f t="shared" si="9"/>
        <v>0</v>
      </c>
    </row>
    <row r="15" spans="1:23" ht="12.75">
      <c r="A15" s="27"/>
      <c r="B15" s="27" t="s">
        <v>30</v>
      </c>
      <c r="C15" s="29">
        <v>0.1</v>
      </c>
      <c r="D15" t="s">
        <v>96</v>
      </c>
      <c r="E15">
        <v>39</v>
      </c>
      <c r="F15" s="32">
        <f t="shared" si="0"/>
        <v>3.9000000000000004</v>
      </c>
      <c r="G15" s="32">
        <f t="shared" si="1"/>
        <v>19.5</v>
      </c>
      <c r="H15" s="32">
        <f t="shared" si="2"/>
        <v>1.9500000000000002</v>
      </c>
      <c r="I15" t="s">
        <v>96</v>
      </c>
      <c r="J15">
        <v>34</v>
      </c>
      <c r="K15" s="32">
        <f t="shared" si="3"/>
        <v>3.4000000000000004</v>
      </c>
      <c r="L15" s="32">
        <f t="shared" si="10"/>
        <v>17</v>
      </c>
      <c r="M15" s="32">
        <f t="shared" si="4"/>
        <v>1.7000000000000002</v>
      </c>
      <c r="N15" t="s">
        <v>96</v>
      </c>
      <c r="O15">
        <v>27</v>
      </c>
      <c r="P15" s="40">
        <f t="shared" si="5"/>
        <v>2.7</v>
      </c>
      <c r="Q15" s="40">
        <f t="shared" si="11"/>
        <v>13.5</v>
      </c>
      <c r="R15" s="40">
        <f t="shared" si="6"/>
        <v>1.35</v>
      </c>
      <c r="S15" t="s">
        <v>96</v>
      </c>
      <c r="T15">
        <v>53</v>
      </c>
      <c r="U15" s="40">
        <f t="shared" si="7"/>
        <v>5.300000000000001</v>
      </c>
      <c r="V15" s="40">
        <f t="shared" si="8"/>
        <v>26.5</v>
      </c>
      <c r="W15" s="40">
        <f t="shared" si="9"/>
        <v>2.6500000000000004</v>
      </c>
    </row>
    <row r="16" spans="1:23" ht="12.75">
      <c r="A16" s="27"/>
      <c r="B16" s="27" t="s">
        <v>31</v>
      </c>
      <c r="C16" s="29">
        <v>0.1</v>
      </c>
      <c r="D16" t="s">
        <v>96</v>
      </c>
      <c r="E16">
        <v>37</v>
      </c>
      <c r="F16" s="32">
        <f t="shared" si="0"/>
        <v>3.7</v>
      </c>
      <c r="G16" s="32">
        <f t="shared" si="1"/>
        <v>18.5</v>
      </c>
      <c r="H16" s="32">
        <f t="shared" si="2"/>
        <v>1.85</v>
      </c>
      <c r="I16" t="s">
        <v>96</v>
      </c>
      <c r="J16">
        <v>33</v>
      </c>
      <c r="K16" s="32">
        <f t="shared" si="3"/>
        <v>3.3000000000000003</v>
      </c>
      <c r="L16" s="32">
        <f t="shared" si="10"/>
        <v>16.5</v>
      </c>
      <c r="M16" s="32">
        <f t="shared" si="4"/>
        <v>1.6500000000000001</v>
      </c>
      <c r="N16" t="s">
        <v>96</v>
      </c>
      <c r="O16">
        <v>26</v>
      </c>
      <c r="P16" s="40">
        <f t="shared" si="5"/>
        <v>2.6</v>
      </c>
      <c r="Q16" s="40">
        <f t="shared" si="11"/>
        <v>13</v>
      </c>
      <c r="R16" s="40">
        <f t="shared" si="6"/>
        <v>1.3</v>
      </c>
      <c r="S16" t="s">
        <v>96</v>
      </c>
      <c r="T16">
        <v>52</v>
      </c>
      <c r="U16" s="40">
        <f t="shared" si="7"/>
        <v>5.2</v>
      </c>
      <c r="V16" s="40">
        <f t="shared" si="8"/>
        <v>26</v>
      </c>
      <c r="W16" s="40">
        <f t="shared" si="9"/>
        <v>2.6</v>
      </c>
    </row>
    <row r="17" spans="1:23" ht="12.75">
      <c r="A17" s="27"/>
      <c r="B17" s="27" t="s">
        <v>32</v>
      </c>
      <c r="C17" s="29">
        <v>0.1</v>
      </c>
      <c r="D17" t="s">
        <v>96</v>
      </c>
      <c r="E17">
        <v>35</v>
      </c>
      <c r="F17" s="32">
        <f t="shared" si="0"/>
        <v>3.5</v>
      </c>
      <c r="G17" s="32">
        <f t="shared" si="1"/>
        <v>17.5</v>
      </c>
      <c r="H17" s="32">
        <f t="shared" si="2"/>
        <v>1.75</v>
      </c>
      <c r="I17" t="s">
        <v>96</v>
      </c>
      <c r="J17">
        <v>31</v>
      </c>
      <c r="K17" s="32">
        <f t="shared" si="3"/>
        <v>3.1</v>
      </c>
      <c r="L17" s="32">
        <f t="shared" si="10"/>
        <v>15.5</v>
      </c>
      <c r="M17" s="32">
        <f t="shared" si="4"/>
        <v>1.55</v>
      </c>
      <c r="N17" t="s">
        <v>96</v>
      </c>
      <c r="O17">
        <v>24</v>
      </c>
      <c r="P17" s="40">
        <f t="shared" si="5"/>
        <v>2.4000000000000004</v>
      </c>
      <c r="Q17" s="40">
        <f t="shared" si="11"/>
        <v>12</v>
      </c>
      <c r="R17" s="40">
        <f t="shared" si="6"/>
        <v>1.2000000000000002</v>
      </c>
      <c r="S17" t="s">
        <v>96</v>
      </c>
      <c r="T17">
        <v>48</v>
      </c>
      <c r="U17" s="40">
        <f t="shared" si="7"/>
        <v>4.800000000000001</v>
      </c>
      <c r="V17" s="40">
        <f t="shared" si="8"/>
        <v>24</v>
      </c>
      <c r="W17" s="40">
        <f t="shared" si="9"/>
        <v>2.4000000000000004</v>
      </c>
    </row>
    <row r="18" spans="1:23" ht="12.75">
      <c r="A18" s="27"/>
      <c r="B18" s="27" t="s">
        <v>88</v>
      </c>
      <c r="C18" s="29">
        <v>0</v>
      </c>
      <c r="D18" t="s">
        <v>96</v>
      </c>
      <c r="E18">
        <v>39</v>
      </c>
      <c r="F18" s="40">
        <f t="shared" si="0"/>
        <v>0</v>
      </c>
      <c r="G18" s="40">
        <f>IF(E18=0,"",IF(D18="nd",E18/2,E18))</f>
        <v>19.5</v>
      </c>
      <c r="H18" s="40">
        <f t="shared" si="2"/>
        <v>0</v>
      </c>
      <c r="I18" t="s">
        <v>96</v>
      </c>
      <c r="J18">
        <v>34</v>
      </c>
      <c r="K18" s="32">
        <f t="shared" si="3"/>
        <v>0</v>
      </c>
      <c r="L18" s="40">
        <f>IF(J18=0,"",IF(I18="nd",J18/2,J18))</f>
        <v>17</v>
      </c>
      <c r="M18" s="32">
        <f t="shared" si="4"/>
        <v>0</v>
      </c>
      <c r="N18" t="s">
        <v>96</v>
      </c>
      <c r="O18">
        <v>27</v>
      </c>
      <c r="P18" s="40">
        <f t="shared" si="5"/>
        <v>0</v>
      </c>
      <c r="Q18" s="40">
        <f>IF(O18=0,"",IF(N18="nd",O18/2,O18))</f>
        <v>13.5</v>
      </c>
      <c r="R18" s="40">
        <f t="shared" si="6"/>
        <v>0</v>
      </c>
      <c r="S18" t="s">
        <v>96</v>
      </c>
      <c r="T18">
        <v>53</v>
      </c>
      <c r="U18" s="40">
        <f t="shared" si="7"/>
        <v>0</v>
      </c>
      <c r="V18" s="40">
        <f t="shared" si="8"/>
        <v>26.5</v>
      </c>
      <c r="W18" s="40">
        <f t="shared" si="9"/>
        <v>0</v>
      </c>
    </row>
    <row r="19" spans="1:23" ht="12.75">
      <c r="A19" s="27"/>
      <c r="B19" s="27" t="s">
        <v>33</v>
      </c>
      <c r="C19" s="29">
        <v>0.01</v>
      </c>
      <c r="D19" t="s">
        <v>96</v>
      </c>
      <c r="E19">
        <v>19</v>
      </c>
      <c r="F19" s="32">
        <f t="shared" si="0"/>
        <v>0.19</v>
      </c>
      <c r="G19" s="32">
        <f t="shared" si="1"/>
        <v>9.5</v>
      </c>
      <c r="H19" s="32">
        <f t="shared" si="2"/>
        <v>0.095</v>
      </c>
      <c r="I19" t="s">
        <v>96</v>
      </c>
      <c r="J19">
        <v>19</v>
      </c>
      <c r="K19" s="32">
        <f t="shared" si="3"/>
        <v>0.19</v>
      </c>
      <c r="L19" s="32">
        <f t="shared" si="10"/>
        <v>9.5</v>
      </c>
      <c r="M19" s="32">
        <f t="shared" si="4"/>
        <v>0.095</v>
      </c>
      <c r="N19" t="s">
        <v>96</v>
      </c>
      <c r="O19">
        <v>16</v>
      </c>
      <c r="P19" s="40">
        <f t="shared" si="5"/>
        <v>0.16</v>
      </c>
      <c r="Q19" s="40">
        <f t="shared" si="11"/>
        <v>8</v>
      </c>
      <c r="R19" s="40">
        <f t="shared" si="6"/>
        <v>0.08</v>
      </c>
      <c r="S19" t="s">
        <v>96</v>
      </c>
      <c r="T19">
        <v>17</v>
      </c>
      <c r="U19" s="40">
        <f t="shared" si="7"/>
        <v>0.17</v>
      </c>
      <c r="V19" s="40">
        <f t="shared" si="8"/>
        <v>8.5</v>
      </c>
      <c r="W19" s="40">
        <f t="shared" si="9"/>
        <v>0.085</v>
      </c>
    </row>
    <row r="20" spans="1:23" ht="12.75">
      <c r="A20" s="27"/>
      <c r="B20" s="27" t="s">
        <v>89</v>
      </c>
      <c r="C20" s="29">
        <v>0</v>
      </c>
      <c r="D20" t="s">
        <v>96</v>
      </c>
      <c r="E20">
        <v>19</v>
      </c>
      <c r="F20" s="40">
        <f t="shared" si="0"/>
        <v>0</v>
      </c>
      <c r="G20" s="40">
        <f>IF(E20=0,"",IF(D20="nd",E20/2,E20))</f>
        <v>9.5</v>
      </c>
      <c r="H20" s="40">
        <f t="shared" si="2"/>
        <v>0</v>
      </c>
      <c r="I20" t="s">
        <v>96</v>
      </c>
      <c r="J20">
        <v>19</v>
      </c>
      <c r="K20" s="32">
        <f t="shared" si="3"/>
        <v>0</v>
      </c>
      <c r="L20" s="40">
        <f>IF(J20=0,"",IF(I20="nd",J20/2,J20))</f>
        <v>9.5</v>
      </c>
      <c r="M20" s="32">
        <f t="shared" si="4"/>
        <v>0</v>
      </c>
      <c r="N20" t="s">
        <v>96</v>
      </c>
      <c r="O20">
        <v>16</v>
      </c>
      <c r="P20" s="40">
        <f t="shared" si="5"/>
        <v>0</v>
      </c>
      <c r="Q20" s="40">
        <f>IF(O20=0,"",IF(N20="nd",O20/2,O20))</f>
        <v>8</v>
      </c>
      <c r="R20" s="40">
        <f t="shared" si="6"/>
        <v>0</v>
      </c>
      <c r="S20" t="s">
        <v>96</v>
      </c>
      <c r="T20">
        <v>17</v>
      </c>
      <c r="U20" s="40">
        <f t="shared" si="7"/>
        <v>0</v>
      </c>
      <c r="V20" s="40">
        <f t="shared" si="8"/>
        <v>8.5</v>
      </c>
      <c r="W20" s="40">
        <f t="shared" si="9"/>
        <v>0</v>
      </c>
    </row>
    <row r="21" spans="1:23" ht="12.75">
      <c r="A21" s="27"/>
      <c r="B21" s="27" t="s">
        <v>34</v>
      </c>
      <c r="C21" s="29">
        <v>0.001</v>
      </c>
      <c r="D21" t="s">
        <v>96</v>
      </c>
      <c r="E21">
        <v>39</v>
      </c>
      <c r="F21" s="32">
        <f t="shared" si="0"/>
        <v>0.039</v>
      </c>
      <c r="G21" s="32">
        <f t="shared" si="1"/>
        <v>19.5</v>
      </c>
      <c r="H21" s="32">
        <f t="shared" si="2"/>
        <v>0.0195</v>
      </c>
      <c r="I21" t="s">
        <v>96</v>
      </c>
      <c r="J21">
        <v>39</v>
      </c>
      <c r="K21" s="32">
        <f t="shared" si="3"/>
        <v>0.039</v>
      </c>
      <c r="L21" s="40">
        <f t="shared" si="10"/>
        <v>19.5</v>
      </c>
      <c r="M21" s="32">
        <f t="shared" si="4"/>
        <v>0.0195</v>
      </c>
      <c r="N21" t="s">
        <v>96</v>
      </c>
      <c r="O21">
        <v>28</v>
      </c>
      <c r="P21" s="40">
        <f t="shared" si="5"/>
        <v>0.028</v>
      </c>
      <c r="Q21" s="40">
        <f t="shared" si="11"/>
        <v>14</v>
      </c>
      <c r="R21" s="40">
        <f t="shared" si="6"/>
        <v>0.014</v>
      </c>
      <c r="S21" t="s">
        <v>96</v>
      </c>
      <c r="T21">
        <v>41</v>
      </c>
      <c r="U21" s="40">
        <f t="shared" si="7"/>
        <v>0.041</v>
      </c>
      <c r="V21" s="40">
        <f t="shared" si="8"/>
        <v>20.5</v>
      </c>
      <c r="W21" s="40">
        <f t="shared" si="9"/>
        <v>0.0205</v>
      </c>
    </row>
    <row r="22" spans="1:23" ht="12.75">
      <c r="A22" s="27"/>
      <c r="B22" s="27" t="s">
        <v>35</v>
      </c>
      <c r="C22" s="29">
        <v>0.1</v>
      </c>
      <c r="D22" t="s">
        <v>96</v>
      </c>
      <c r="E22">
        <v>24</v>
      </c>
      <c r="F22" s="32">
        <f t="shared" si="0"/>
        <v>2.4000000000000004</v>
      </c>
      <c r="G22" s="32">
        <f t="shared" si="1"/>
        <v>12</v>
      </c>
      <c r="H22" s="32">
        <f t="shared" si="2"/>
        <v>1.2000000000000002</v>
      </c>
      <c r="I22" t="s">
        <v>96</v>
      </c>
      <c r="J22">
        <v>13</v>
      </c>
      <c r="K22" s="32">
        <f t="shared" si="3"/>
        <v>1.3</v>
      </c>
      <c r="L22" s="40">
        <f t="shared" si="10"/>
        <v>6.5</v>
      </c>
      <c r="M22" s="32">
        <f t="shared" si="4"/>
        <v>0.65</v>
      </c>
      <c r="N22" t="s">
        <v>96</v>
      </c>
      <c r="O22">
        <v>10</v>
      </c>
      <c r="P22" s="40">
        <f t="shared" si="5"/>
        <v>1</v>
      </c>
      <c r="Q22" s="40">
        <f t="shared" si="11"/>
        <v>5</v>
      </c>
      <c r="R22" s="40">
        <f t="shared" si="6"/>
        <v>0.5</v>
      </c>
      <c r="S22" t="s">
        <v>96</v>
      </c>
      <c r="T22">
        <v>12</v>
      </c>
      <c r="U22" s="40">
        <f t="shared" si="7"/>
        <v>1.2000000000000002</v>
      </c>
      <c r="V22" s="40">
        <f t="shared" si="8"/>
        <v>6</v>
      </c>
      <c r="W22" s="40">
        <f t="shared" si="9"/>
        <v>0.6000000000000001</v>
      </c>
    </row>
    <row r="23" spans="1:23" ht="12.75">
      <c r="A23" s="27"/>
      <c r="B23" s="27" t="s">
        <v>90</v>
      </c>
      <c r="C23" s="29">
        <v>0</v>
      </c>
      <c r="D23" t="s">
        <v>96</v>
      </c>
      <c r="E23">
        <v>48</v>
      </c>
      <c r="F23" s="40">
        <f t="shared" si="0"/>
        <v>0</v>
      </c>
      <c r="G23" s="40">
        <f>IF(E23=0,"",IF(D23="nd",E23/2,E23))</f>
        <v>24</v>
      </c>
      <c r="H23" s="40">
        <f t="shared" si="2"/>
        <v>0</v>
      </c>
      <c r="I23" t="s">
        <v>96</v>
      </c>
      <c r="J23">
        <v>13</v>
      </c>
      <c r="K23" s="32">
        <f t="shared" si="3"/>
        <v>0</v>
      </c>
      <c r="L23" s="40">
        <f>IF(J23=0,"",IF(I23="nd",J23/2,J23))</f>
        <v>6.5</v>
      </c>
      <c r="M23" s="32">
        <f t="shared" si="4"/>
        <v>0</v>
      </c>
      <c r="N23" t="s">
        <v>96</v>
      </c>
      <c r="O23">
        <v>10</v>
      </c>
      <c r="P23" s="40">
        <f t="shared" si="5"/>
        <v>0</v>
      </c>
      <c r="Q23" s="40">
        <f>IF(O23=0,"",IF(N23="nd",O23/2,O23))</f>
        <v>5</v>
      </c>
      <c r="R23" s="40">
        <f t="shared" si="6"/>
        <v>0</v>
      </c>
      <c r="S23" t="s">
        <v>96</v>
      </c>
      <c r="T23">
        <v>12</v>
      </c>
      <c r="U23" s="40">
        <f t="shared" si="7"/>
        <v>0</v>
      </c>
      <c r="V23" s="40">
        <f t="shared" si="8"/>
        <v>6</v>
      </c>
      <c r="W23" s="40">
        <f t="shared" si="9"/>
        <v>0</v>
      </c>
    </row>
    <row r="24" spans="1:23" ht="12.75">
      <c r="A24" s="27"/>
      <c r="B24" s="27" t="s">
        <v>36</v>
      </c>
      <c r="C24" s="29">
        <v>0.05</v>
      </c>
      <c r="D24" t="s">
        <v>96</v>
      </c>
      <c r="E24">
        <v>19</v>
      </c>
      <c r="F24" s="40">
        <f t="shared" si="0"/>
        <v>0.9500000000000001</v>
      </c>
      <c r="G24" s="40">
        <f t="shared" si="1"/>
        <v>9.5</v>
      </c>
      <c r="H24" s="40">
        <f t="shared" si="2"/>
        <v>0.47500000000000003</v>
      </c>
      <c r="I24" t="s">
        <v>96</v>
      </c>
      <c r="J24">
        <v>14</v>
      </c>
      <c r="K24" s="32">
        <f t="shared" si="3"/>
        <v>0.7000000000000001</v>
      </c>
      <c r="L24" s="40">
        <f t="shared" si="10"/>
        <v>7</v>
      </c>
      <c r="M24" s="32">
        <f t="shared" si="4"/>
        <v>0.35000000000000003</v>
      </c>
      <c r="N24" t="s">
        <v>96</v>
      </c>
      <c r="O24">
        <v>11</v>
      </c>
      <c r="P24" s="40">
        <f t="shared" si="5"/>
        <v>0.55</v>
      </c>
      <c r="Q24" s="40">
        <f t="shared" si="11"/>
        <v>5.5</v>
      </c>
      <c r="R24" s="40">
        <f t="shared" si="6"/>
        <v>0.275</v>
      </c>
      <c r="S24" t="s">
        <v>96</v>
      </c>
      <c r="T24">
        <v>38</v>
      </c>
      <c r="U24" s="40">
        <f t="shared" si="7"/>
        <v>1.9000000000000001</v>
      </c>
      <c r="V24" s="40">
        <f t="shared" si="8"/>
        <v>19</v>
      </c>
      <c r="W24" s="40">
        <f t="shared" si="9"/>
        <v>0.9500000000000001</v>
      </c>
    </row>
    <row r="25" spans="1:23" ht="12.75">
      <c r="A25" s="27"/>
      <c r="B25" s="27" t="s">
        <v>37</v>
      </c>
      <c r="C25" s="29">
        <v>0.5</v>
      </c>
      <c r="D25" t="s">
        <v>96</v>
      </c>
      <c r="E25">
        <v>20</v>
      </c>
      <c r="F25" s="40">
        <f t="shared" si="0"/>
        <v>10</v>
      </c>
      <c r="G25" s="40">
        <f t="shared" si="1"/>
        <v>10</v>
      </c>
      <c r="H25" s="40">
        <f t="shared" si="2"/>
        <v>5</v>
      </c>
      <c r="I25" t="s">
        <v>96</v>
      </c>
      <c r="J25">
        <v>14</v>
      </c>
      <c r="K25" s="32">
        <f t="shared" si="3"/>
        <v>7</v>
      </c>
      <c r="L25" s="40">
        <f t="shared" si="10"/>
        <v>7</v>
      </c>
      <c r="M25" s="32">
        <f t="shared" si="4"/>
        <v>3.5</v>
      </c>
      <c r="N25" t="s">
        <v>96</v>
      </c>
      <c r="O25">
        <v>11</v>
      </c>
      <c r="P25" s="40">
        <f t="shared" si="5"/>
        <v>5.5</v>
      </c>
      <c r="Q25" s="40">
        <f t="shared" si="11"/>
        <v>5.5</v>
      </c>
      <c r="R25" s="40">
        <f t="shared" si="6"/>
        <v>2.75</v>
      </c>
      <c r="S25" t="s">
        <v>96</v>
      </c>
      <c r="T25">
        <v>40</v>
      </c>
      <c r="U25" s="40">
        <f t="shared" si="7"/>
        <v>20</v>
      </c>
      <c r="V25" s="40">
        <f t="shared" si="8"/>
        <v>20</v>
      </c>
      <c r="W25" s="40">
        <f t="shared" si="9"/>
        <v>10</v>
      </c>
    </row>
    <row r="26" spans="1:23" ht="12.75">
      <c r="A26" s="27"/>
      <c r="B26" s="27" t="s">
        <v>91</v>
      </c>
      <c r="C26" s="29">
        <v>0</v>
      </c>
      <c r="D26" t="s">
        <v>96</v>
      </c>
      <c r="E26">
        <v>20</v>
      </c>
      <c r="F26" s="40">
        <f t="shared" si="0"/>
        <v>0</v>
      </c>
      <c r="G26" s="40">
        <f>IF(E26=0,"",IF(D26="nd",E26/2,E26))</f>
        <v>10</v>
      </c>
      <c r="H26" s="40">
        <f t="shared" si="2"/>
        <v>0</v>
      </c>
      <c r="I26" t="s">
        <v>96</v>
      </c>
      <c r="J26">
        <v>14</v>
      </c>
      <c r="K26" s="32">
        <f t="shared" si="3"/>
        <v>0</v>
      </c>
      <c r="L26" s="40">
        <f>IF(J26=0,"",IF(I26="nd",J26/2,J26))</f>
        <v>7</v>
      </c>
      <c r="M26" s="32">
        <f t="shared" si="4"/>
        <v>0</v>
      </c>
      <c r="N26" t="s">
        <v>96</v>
      </c>
      <c r="O26">
        <v>11</v>
      </c>
      <c r="P26" s="40">
        <f t="shared" si="5"/>
        <v>0</v>
      </c>
      <c r="Q26" s="40">
        <f>IF(O26=0,"",IF(N26="nd",O26/2,O26))</f>
        <v>5.5</v>
      </c>
      <c r="R26" s="40">
        <f t="shared" si="6"/>
        <v>0</v>
      </c>
      <c r="S26" t="s">
        <v>96</v>
      </c>
      <c r="T26">
        <v>40</v>
      </c>
      <c r="U26" s="40">
        <f t="shared" si="7"/>
        <v>0</v>
      </c>
      <c r="V26" s="40">
        <f t="shared" si="8"/>
        <v>20</v>
      </c>
      <c r="W26" s="40">
        <f t="shared" si="9"/>
        <v>0</v>
      </c>
    </row>
    <row r="27" spans="1:23" ht="12.75">
      <c r="A27" s="27"/>
      <c r="B27" s="27" t="s">
        <v>38</v>
      </c>
      <c r="C27" s="29">
        <v>0.1</v>
      </c>
      <c r="D27" t="s">
        <v>96</v>
      </c>
      <c r="E27">
        <v>24</v>
      </c>
      <c r="F27" s="40">
        <f t="shared" si="0"/>
        <v>2.4000000000000004</v>
      </c>
      <c r="G27" s="40">
        <f t="shared" si="1"/>
        <v>12</v>
      </c>
      <c r="H27" s="40">
        <f t="shared" si="2"/>
        <v>1.2000000000000002</v>
      </c>
      <c r="I27" t="s">
        <v>96</v>
      </c>
      <c r="J27">
        <v>19</v>
      </c>
      <c r="K27" s="32">
        <f t="shared" si="3"/>
        <v>1.9000000000000001</v>
      </c>
      <c r="L27" s="40">
        <f t="shared" si="10"/>
        <v>9.5</v>
      </c>
      <c r="M27" s="32">
        <f t="shared" si="4"/>
        <v>0.9500000000000001</v>
      </c>
      <c r="N27" t="s">
        <v>96</v>
      </c>
      <c r="O27">
        <v>17</v>
      </c>
      <c r="P27" s="40">
        <f t="shared" si="5"/>
        <v>1.7000000000000002</v>
      </c>
      <c r="Q27" s="40">
        <f t="shared" si="11"/>
        <v>8.5</v>
      </c>
      <c r="R27" s="40">
        <f t="shared" si="6"/>
        <v>0.8500000000000001</v>
      </c>
      <c r="S27" t="s">
        <v>96</v>
      </c>
      <c r="T27">
        <v>23</v>
      </c>
      <c r="U27" s="40">
        <f t="shared" si="7"/>
        <v>2.3000000000000003</v>
      </c>
      <c r="V27" s="40">
        <f t="shared" si="8"/>
        <v>11.5</v>
      </c>
      <c r="W27" s="40">
        <f t="shared" si="9"/>
        <v>1.1500000000000001</v>
      </c>
    </row>
    <row r="28" spans="1:23" ht="12.75">
      <c r="A28" s="27"/>
      <c r="B28" s="27" t="s">
        <v>39</v>
      </c>
      <c r="C28" s="29">
        <v>0.1</v>
      </c>
      <c r="D28" t="s">
        <v>96</v>
      </c>
      <c r="E28">
        <v>25</v>
      </c>
      <c r="F28" s="40">
        <f t="shared" si="0"/>
        <v>2.5</v>
      </c>
      <c r="G28" s="40">
        <f t="shared" si="1"/>
        <v>12.5</v>
      </c>
      <c r="H28" s="40">
        <f t="shared" si="2"/>
        <v>1.25</v>
      </c>
      <c r="I28" t="s">
        <v>96</v>
      </c>
      <c r="J28">
        <v>19</v>
      </c>
      <c r="K28" s="32">
        <f t="shared" si="3"/>
        <v>1.9000000000000001</v>
      </c>
      <c r="L28" s="40">
        <f t="shared" si="10"/>
        <v>9.5</v>
      </c>
      <c r="M28" s="32">
        <f t="shared" si="4"/>
        <v>0.9500000000000001</v>
      </c>
      <c r="N28" t="s">
        <v>96</v>
      </c>
      <c r="O28">
        <v>17</v>
      </c>
      <c r="P28" s="40">
        <f t="shared" si="5"/>
        <v>1.7000000000000002</v>
      </c>
      <c r="Q28" s="40">
        <f t="shared" si="11"/>
        <v>8.5</v>
      </c>
      <c r="R28" s="40">
        <f t="shared" si="6"/>
        <v>0.8500000000000001</v>
      </c>
      <c r="S28" t="s">
        <v>96</v>
      </c>
      <c r="T28">
        <v>23</v>
      </c>
      <c r="U28" s="40">
        <f t="shared" si="7"/>
        <v>2.3000000000000003</v>
      </c>
      <c r="V28" s="40">
        <f t="shared" si="8"/>
        <v>11.5</v>
      </c>
      <c r="W28" s="40">
        <f t="shared" si="9"/>
        <v>1.1500000000000001</v>
      </c>
    </row>
    <row r="29" spans="1:23" ht="12.75">
      <c r="A29" s="27"/>
      <c r="B29" s="27" t="s">
        <v>40</v>
      </c>
      <c r="C29" s="29">
        <v>0.1</v>
      </c>
      <c r="D29" t="s">
        <v>96</v>
      </c>
      <c r="E29">
        <v>27</v>
      </c>
      <c r="F29" s="40">
        <f t="shared" si="0"/>
        <v>2.7</v>
      </c>
      <c r="G29" s="40">
        <f t="shared" si="1"/>
        <v>13.5</v>
      </c>
      <c r="H29" s="40">
        <f t="shared" si="2"/>
        <v>1.35</v>
      </c>
      <c r="I29" t="s">
        <v>96</v>
      </c>
      <c r="J29">
        <v>20</v>
      </c>
      <c r="K29" s="32">
        <f t="shared" si="3"/>
        <v>2</v>
      </c>
      <c r="L29" s="40">
        <f t="shared" si="10"/>
        <v>10</v>
      </c>
      <c r="M29" s="32">
        <f t="shared" si="4"/>
        <v>1</v>
      </c>
      <c r="N29" t="s">
        <v>96</v>
      </c>
      <c r="O29">
        <v>18</v>
      </c>
      <c r="P29" s="40">
        <f t="shared" si="5"/>
        <v>1.8</v>
      </c>
      <c r="Q29" s="40">
        <f t="shared" si="11"/>
        <v>9</v>
      </c>
      <c r="R29" s="40">
        <f t="shared" si="6"/>
        <v>0.9</v>
      </c>
      <c r="S29" t="s">
        <v>96</v>
      </c>
      <c r="T29">
        <v>25</v>
      </c>
      <c r="U29" s="40">
        <f t="shared" si="7"/>
        <v>2.5</v>
      </c>
      <c r="V29" s="40">
        <f t="shared" si="8"/>
        <v>12.5</v>
      </c>
      <c r="W29" s="40">
        <f t="shared" si="9"/>
        <v>1.25</v>
      </c>
    </row>
    <row r="30" spans="1:23" ht="12.75">
      <c r="A30" s="27"/>
      <c r="B30" s="27" t="s">
        <v>41</v>
      </c>
      <c r="C30" s="29">
        <v>0.1</v>
      </c>
      <c r="D30" t="s">
        <v>96</v>
      </c>
      <c r="E30">
        <v>29</v>
      </c>
      <c r="F30" s="40">
        <f t="shared" si="0"/>
        <v>2.9000000000000004</v>
      </c>
      <c r="G30" s="40">
        <f t="shared" si="1"/>
        <v>14.5</v>
      </c>
      <c r="H30" s="40">
        <f t="shared" si="2"/>
        <v>1.4500000000000002</v>
      </c>
      <c r="I30" t="s">
        <v>96</v>
      </c>
      <c r="J30">
        <v>22</v>
      </c>
      <c r="K30" s="32">
        <f t="shared" si="3"/>
        <v>2.2</v>
      </c>
      <c r="L30" s="40">
        <f t="shared" si="10"/>
        <v>11</v>
      </c>
      <c r="M30" s="32">
        <f t="shared" si="4"/>
        <v>1.1</v>
      </c>
      <c r="N30" t="s">
        <v>96</v>
      </c>
      <c r="O30">
        <v>20</v>
      </c>
      <c r="P30" s="40">
        <f t="shared" si="5"/>
        <v>2</v>
      </c>
      <c r="Q30" s="40">
        <f t="shared" si="11"/>
        <v>10</v>
      </c>
      <c r="R30" s="40">
        <f t="shared" si="6"/>
        <v>1</v>
      </c>
      <c r="S30" t="s">
        <v>96</v>
      </c>
      <c r="T30">
        <v>28</v>
      </c>
      <c r="U30" s="40">
        <f t="shared" si="7"/>
        <v>2.8000000000000003</v>
      </c>
      <c r="V30" s="40">
        <f t="shared" si="8"/>
        <v>14</v>
      </c>
      <c r="W30" s="40">
        <f t="shared" si="9"/>
        <v>1.4000000000000001</v>
      </c>
    </row>
    <row r="31" spans="1:23" ht="12.75">
      <c r="A31" s="27"/>
      <c r="B31" s="27" t="s">
        <v>92</v>
      </c>
      <c r="C31" s="29">
        <v>0</v>
      </c>
      <c r="D31" t="s">
        <v>96</v>
      </c>
      <c r="E31">
        <v>29</v>
      </c>
      <c r="F31" s="40">
        <f t="shared" si="0"/>
        <v>0</v>
      </c>
      <c r="G31" s="40">
        <f>IF(E31=0,"",IF(D31="nd",E31/2,E31))</f>
        <v>14.5</v>
      </c>
      <c r="H31" s="40">
        <f t="shared" si="2"/>
        <v>0</v>
      </c>
      <c r="I31" t="s">
        <v>96</v>
      </c>
      <c r="J31">
        <v>22</v>
      </c>
      <c r="K31" s="32">
        <f t="shared" si="3"/>
        <v>0</v>
      </c>
      <c r="L31" s="40">
        <f>IF(J31=0,"",IF(I31="nd",J31/2,J31))</f>
        <v>11</v>
      </c>
      <c r="M31" s="32">
        <f t="shared" si="4"/>
        <v>0</v>
      </c>
      <c r="N31" t="s">
        <v>96</v>
      </c>
      <c r="O31">
        <v>20</v>
      </c>
      <c r="P31" s="40">
        <f t="shared" si="5"/>
        <v>0</v>
      </c>
      <c r="Q31" s="40">
        <f>IF(O31=0,"",IF(N31="nd",O31/2,O31))</f>
        <v>10</v>
      </c>
      <c r="R31" s="40">
        <f t="shared" si="6"/>
        <v>0</v>
      </c>
      <c r="S31" t="s">
        <v>96</v>
      </c>
      <c r="T31">
        <v>28</v>
      </c>
      <c r="U31" s="40">
        <f t="shared" si="7"/>
        <v>0</v>
      </c>
      <c r="V31" s="40">
        <f t="shared" si="8"/>
        <v>14</v>
      </c>
      <c r="W31" s="40">
        <f t="shared" si="9"/>
        <v>0</v>
      </c>
    </row>
    <row r="32" spans="1:23" ht="12.75">
      <c r="A32" s="27"/>
      <c r="B32" s="27" t="s">
        <v>42</v>
      </c>
      <c r="C32" s="29">
        <v>0.01</v>
      </c>
      <c r="D32" t="s">
        <v>96</v>
      </c>
      <c r="E32">
        <v>12</v>
      </c>
      <c r="F32" s="40">
        <f t="shared" si="0"/>
        <v>0.12</v>
      </c>
      <c r="G32" s="40">
        <f t="shared" si="1"/>
        <v>6</v>
      </c>
      <c r="H32" s="40">
        <f t="shared" si="2"/>
        <v>0.06</v>
      </c>
      <c r="I32" t="s">
        <v>96</v>
      </c>
      <c r="J32">
        <v>8</v>
      </c>
      <c r="K32" s="32">
        <f t="shared" si="3"/>
        <v>0.08</v>
      </c>
      <c r="L32" s="40">
        <f t="shared" si="10"/>
        <v>4</v>
      </c>
      <c r="M32" s="32">
        <f t="shared" si="4"/>
        <v>0.04</v>
      </c>
      <c r="N32" t="s">
        <v>96</v>
      </c>
      <c r="O32">
        <v>7</v>
      </c>
      <c r="P32" s="40">
        <f t="shared" si="5"/>
        <v>0.07</v>
      </c>
      <c r="Q32" s="40">
        <f t="shared" si="11"/>
        <v>3.5</v>
      </c>
      <c r="R32" s="40">
        <f t="shared" si="6"/>
        <v>0.035</v>
      </c>
      <c r="S32" t="s">
        <v>96</v>
      </c>
      <c r="T32">
        <v>12</v>
      </c>
      <c r="U32" s="40">
        <f t="shared" si="7"/>
        <v>0.12</v>
      </c>
      <c r="V32" s="40">
        <f t="shared" si="8"/>
        <v>6</v>
      </c>
      <c r="W32" s="40">
        <f t="shared" si="9"/>
        <v>0.06</v>
      </c>
    </row>
    <row r="33" spans="1:23" ht="12.75">
      <c r="A33" s="27"/>
      <c r="B33" s="27" t="s">
        <v>43</v>
      </c>
      <c r="C33" s="29">
        <v>0.01</v>
      </c>
      <c r="D33" t="s">
        <v>96</v>
      </c>
      <c r="E33">
        <v>16</v>
      </c>
      <c r="F33" s="40">
        <f t="shared" si="0"/>
        <v>0.16</v>
      </c>
      <c r="G33" s="40">
        <f t="shared" si="1"/>
        <v>8</v>
      </c>
      <c r="H33" s="40">
        <f t="shared" si="2"/>
        <v>0.08</v>
      </c>
      <c r="I33" t="s">
        <v>96</v>
      </c>
      <c r="J33">
        <v>10</v>
      </c>
      <c r="K33" s="32">
        <f t="shared" si="3"/>
        <v>0.1</v>
      </c>
      <c r="L33" s="40">
        <f t="shared" si="10"/>
        <v>5</v>
      </c>
      <c r="M33" s="32">
        <f t="shared" si="4"/>
        <v>0.05</v>
      </c>
      <c r="N33" t="s">
        <v>96</v>
      </c>
      <c r="O33">
        <v>9</v>
      </c>
      <c r="P33" s="40">
        <f t="shared" si="5"/>
        <v>0.09</v>
      </c>
      <c r="Q33" s="40">
        <f t="shared" si="11"/>
        <v>4.5</v>
      </c>
      <c r="R33" s="40">
        <f t="shared" si="6"/>
        <v>0.045</v>
      </c>
      <c r="S33" t="s">
        <v>96</v>
      </c>
      <c r="T33">
        <v>16</v>
      </c>
      <c r="U33" s="40">
        <f t="shared" si="7"/>
        <v>0.16</v>
      </c>
      <c r="V33" s="40">
        <f t="shared" si="8"/>
        <v>8</v>
      </c>
      <c r="W33" s="40">
        <f t="shared" si="9"/>
        <v>0.08</v>
      </c>
    </row>
    <row r="34" spans="1:23" ht="12.75">
      <c r="A34" s="27"/>
      <c r="B34" s="27" t="s">
        <v>93</v>
      </c>
      <c r="C34" s="29">
        <v>0</v>
      </c>
      <c r="D34" t="s">
        <v>96</v>
      </c>
      <c r="E34">
        <v>16</v>
      </c>
      <c r="F34" s="40">
        <f t="shared" si="0"/>
        <v>0</v>
      </c>
      <c r="G34" s="40">
        <f>IF(E34=0,"",IF(D34="nd",E34/2,E34))</f>
        <v>8</v>
      </c>
      <c r="H34" s="40">
        <f t="shared" si="2"/>
        <v>0</v>
      </c>
      <c r="I34" t="s">
        <v>96</v>
      </c>
      <c r="J34">
        <v>10</v>
      </c>
      <c r="K34" s="32">
        <f t="shared" si="3"/>
        <v>0</v>
      </c>
      <c r="L34" s="40">
        <f>IF(J34=0,"",IF(I34="nd",J34/2,J34))</f>
        <v>5</v>
      </c>
      <c r="M34" s="32">
        <f t="shared" si="4"/>
        <v>0</v>
      </c>
      <c r="N34" t="s">
        <v>96</v>
      </c>
      <c r="O34">
        <v>9</v>
      </c>
      <c r="P34" s="40">
        <f t="shared" si="5"/>
        <v>0</v>
      </c>
      <c r="Q34" s="40">
        <f>IF(O34=0,"",IF(N34="nd",O34/2,O34))</f>
        <v>4.5</v>
      </c>
      <c r="R34" s="40">
        <f t="shared" si="6"/>
        <v>0</v>
      </c>
      <c r="S34" t="s">
        <v>96</v>
      </c>
      <c r="T34">
        <v>16</v>
      </c>
      <c r="U34" s="40">
        <f t="shared" si="7"/>
        <v>0</v>
      </c>
      <c r="V34" s="40">
        <f t="shared" si="8"/>
        <v>8</v>
      </c>
      <c r="W34" s="40">
        <f t="shared" si="9"/>
        <v>0</v>
      </c>
    </row>
    <row r="35" spans="1:23" ht="12.75">
      <c r="A35" s="27"/>
      <c r="B35" s="27" t="s">
        <v>44</v>
      </c>
      <c r="C35" s="29">
        <v>0.001</v>
      </c>
      <c r="D35" t="s">
        <v>96</v>
      </c>
      <c r="E35">
        <v>30</v>
      </c>
      <c r="F35" s="40">
        <f t="shared" si="0"/>
        <v>0.03</v>
      </c>
      <c r="G35" s="40">
        <f t="shared" si="1"/>
        <v>15</v>
      </c>
      <c r="H35" s="40">
        <f t="shared" si="2"/>
        <v>0.015</v>
      </c>
      <c r="I35" t="s">
        <v>96</v>
      </c>
      <c r="J35">
        <v>20</v>
      </c>
      <c r="K35" s="32">
        <f t="shared" si="3"/>
        <v>0.02</v>
      </c>
      <c r="L35" s="40">
        <f t="shared" si="10"/>
        <v>10</v>
      </c>
      <c r="M35" s="32">
        <f t="shared" si="4"/>
        <v>0.01</v>
      </c>
      <c r="N35" t="s">
        <v>96</v>
      </c>
      <c r="O35">
        <v>16</v>
      </c>
      <c r="P35" s="40">
        <f t="shared" si="5"/>
        <v>0.016</v>
      </c>
      <c r="Q35" s="40">
        <f t="shared" si="11"/>
        <v>8</v>
      </c>
      <c r="R35" s="40">
        <f t="shared" si="6"/>
        <v>0.008</v>
      </c>
      <c r="S35" t="s">
        <v>96</v>
      </c>
      <c r="T35">
        <v>46</v>
      </c>
      <c r="U35" s="40">
        <f t="shared" si="7"/>
        <v>0.046</v>
      </c>
      <c r="V35" s="40">
        <f t="shared" si="8"/>
        <v>23</v>
      </c>
      <c r="W35" s="40">
        <f t="shared" si="9"/>
        <v>0.023</v>
      </c>
    </row>
    <row r="36" spans="1:23" ht="12.75">
      <c r="A36" s="27"/>
      <c r="B36" s="27"/>
      <c r="C36" s="27"/>
      <c r="D36" s="27"/>
      <c r="E36" s="32"/>
      <c r="F36" s="35"/>
      <c r="G36" s="32"/>
      <c r="H36" s="35"/>
      <c r="I36" s="52"/>
      <c r="J36" s="12"/>
      <c r="K36" s="30"/>
      <c r="L36" s="30"/>
      <c r="M36" s="30"/>
      <c r="N36" s="32"/>
      <c r="O36" s="12"/>
      <c r="P36" s="34"/>
      <c r="Q36" s="32"/>
      <c r="R36" s="34"/>
      <c r="S36" s="32"/>
      <c r="T36" s="12"/>
      <c r="U36" s="34"/>
      <c r="V36" s="32"/>
      <c r="W36" s="34"/>
    </row>
    <row r="37" spans="1:23" ht="12.75">
      <c r="A37" s="27"/>
      <c r="B37" s="27" t="s">
        <v>45</v>
      </c>
      <c r="C37" s="27"/>
      <c r="D37" s="27"/>
      <c r="E37" s="32"/>
      <c r="F37">
        <v>151.499</v>
      </c>
      <c r="G37">
        <v>151.499</v>
      </c>
      <c r="H37">
        <v>151.499</v>
      </c>
      <c r="I37"/>
      <c r="K37">
        <v>149.606</v>
      </c>
      <c r="L37">
        <v>149.606</v>
      </c>
      <c r="M37">
        <v>149.606</v>
      </c>
      <c r="P37">
        <v>148.951</v>
      </c>
      <c r="Q37">
        <v>148.951</v>
      </c>
      <c r="R37">
        <v>148.951</v>
      </c>
      <c r="S37" s="32"/>
      <c r="U37">
        <v>149.799</v>
      </c>
      <c r="V37">
        <v>149.799</v>
      </c>
      <c r="W37">
        <v>149.799</v>
      </c>
    </row>
    <row r="38" spans="1:23" ht="12.75">
      <c r="A38" s="27"/>
      <c r="B38" s="27" t="s">
        <v>57</v>
      </c>
      <c r="C38" s="27"/>
      <c r="D38" s="27"/>
      <c r="E38" s="32"/>
      <c r="F38">
        <v>10.5</v>
      </c>
      <c r="G38">
        <v>10.5</v>
      </c>
      <c r="H38">
        <v>10.5</v>
      </c>
      <c r="I38"/>
      <c r="K38">
        <v>10.7</v>
      </c>
      <c r="L38">
        <v>10.7</v>
      </c>
      <c r="M38">
        <v>10.7</v>
      </c>
      <c r="P38">
        <v>11</v>
      </c>
      <c r="Q38">
        <v>11</v>
      </c>
      <c r="R38">
        <v>11</v>
      </c>
      <c r="S38" s="32"/>
      <c r="U38">
        <v>11.1</v>
      </c>
      <c r="V38">
        <v>11.1</v>
      </c>
      <c r="W38">
        <v>11.1</v>
      </c>
    </row>
    <row r="39" spans="1:23" ht="12.75">
      <c r="A39" s="27"/>
      <c r="B39" s="27"/>
      <c r="C39" s="27"/>
      <c r="D39" s="27"/>
      <c r="E39" s="32"/>
      <c r="F39" s="12"/>
      <c r="G39" s="32"/>
      <c r="H39" s="12"/>
      <c r="I39" s="46"/>
      <c r="J39" s="32"/>
      <c r="K39" s="33"/>
      <c r="L39" s="30"/>
      <c r="M39" s="33"/>
      <c r="N39" s="32"/>
      <c r="O39" s="32"/>
      <c r="P39" s="32"/>
      <c r="Q39" s="32"/>
      <c r="R39" s="32"/>
      <c r="S39" s="32"/>
      <c r="T39" s="32"/>
      <c r="U39" s="32"/>
      <c r="V39" s="32"/>
      <c r="W39" s="32"/>
    </row>
    <row r="40" spans="1:23" ht="12.75">
      <c r="A40" s="27"/>
      <c r="B40" s="27" t="s">
        <v>94</v>
      </c>
      <c r="C40" s="35"/>
      <c r="D40" s="35"/>
      <c r="E40" s="30"/>
      <c r="F40" s="31">
        <f>SUM(F11:F35)/1000</f>
        <v>0.07498900000000001</v>
      </c>
      <c r="G40" s="30">
        <f>SUM(G35,G34,G31,G26,G23,G21,G20,G18,G14,G12)/1000</f>
        <v>0.1495</v>
      </c>
      <c r="H40" s="31">
        <f>SUM(H11:H35)/1000</f>
        <v>0.03749450000000001</v>
      </c>
      <c r="I40" s="37"/>
      <c r="J40" s="30"/>
      <c r="K40" s="31">
        <f>SUM(K11:K35)/1000</f>
        <v>0.059229</v>
      </c>
      <c r="L40" s="30">
        <f>SUM(L35,L34,L31,L26,L23,L21,L20,L18,L14,L12)/1000</f>
        <v>0.109</v>
      </c>
      <c r="M40" s="31">
        <f>SUM(M11:M35)/1000</f>
        <v>0.0296145</v>
      </c>
      <c r="N40" s="35"/>
      <c r="O40" s="32"/>
      <c r="P40" s="32">
        <f>SUM(P11:P35)/1000</f>
        <v>0.05081399999999999</v>
      </c>
      <c r="Q40" s="30">
        <f>SUM(Q35,Q34,Q31,Q26,Q23,Q21,Q20,Q18,Q14,Q12)/1000</f>
        <v>0.09</v>
      </c>
      <c r="R40" s="32">
        <f>SUM(R11:R35)/1000</f>
        <v>0.025406999999999996</v>
      </c>
      <c r="S40" s="35"/>
      <c r="T40" s="32"/>
      <c r="U40" s="32">
        <f>SUM(U11:U35)/1000</f>
        <v>0.084337</v>
      </c>
      <c r="V40" s="30">
        <f>SUM(V35,V34,V31,V26,V23,V21,V20,V18,V14,V12)/1000</f>
        <v>0.1545</v>
      </c>
      <c r="W40" s="32">
        <f>SUM(W11:W35)/1000</f>
        <v>0.0421685</v>
      </c>
    </row>
    <row r="41" spans="1:23" ht="12.75">
      <c r="A41" s="27"/>
      <c r="B41" s="27" t="s">
        <v>46</v>
      </c>
      <c r="C41" s="35"/>
      <c r="D41" s="30">
        <f>(F41-H41)*2/F41*100</f>
        <v>100</v>
      </c>
      <c r="E41" s="32"/>
      <c r="F41" s="31">
        <f>(F40/F37/0.0283*(21-7)/(21-F38))</f>
        <v>0.023320620253737427</v>
      </c>
      <c r="G41" s="31">
        <f>(G40/G37/0.0283*(21-7)/(21-G38))</f>
        <v>0.04649258861878068</v>
      </c>
      <c r="H41" s="31">
        <f>(H40/H37/0.0283*(21-7)/(21-H38))</f>
        <v>0.011660310126868714</v>
      </c>
      <c r="I41" s="30">
        <f>(K41-M41)*2/K41*100</f>
        <v>100</v>
      </c>
      <c r="J41" s="32"/>
      <c r="K41" s="32">
        <f>K40/K37/0.0283*(21-7)/(21-K38)</f>
        <v>0.019014712542047167</v>
      </c>
      <c r="L41" s="31">
        <f>(L40/L37/0.0283*(21-7)/(21-L38))</f>
        <v>0.034993055210845045</v>
      </c>
      <c r="M41" s="32">
        <f>M40/M37/0.0283*(21-7)/(21-M38)</f>
        <v>0.009507356271023584</v>
      </c>
      <c r="N41" s="30">
        <f>(P41-R41)*2/P41*100</f>
        <v>100</v>
      </c>
      <c r="O41" s="32"/>
      <c r="P41" s="32">
        <f>P40/P37/0.0283*(21-7)/(21-P38)</f>
        <v>0.016876467995866402</v>
      </c>
      <c r="Q41" s="31">
        <f>(Q40/Q37/0.0283*(21-7)/(21-Q38))</f>
        <v>0.029891016641633728</v>
      </c>
      <c r="R41" s="32">
        <f>R40/R37/0.0283*(21-7)/(21-R38)</f>
        <v>0.008438233997933201</v>
      </c>
      <c r="S41" s="30">
        <f>(U41-W41)*2/U41*100</f>
        <v>100</v>
      </c>
      <c r="T41" s="32"/>
      <c r="U41" s="31">
        <f>U40/U37/0.0283*(21-7)/(21-U38)</f>
        <v>0.02813297367222241</v>
      </c>
      <c r="V41" s="32">
        <f>(V40/V37/0.0283*(21-7)/(21-V38))</f>
        <v>0.05153781178318369</v>
      </c>
      <c r="W41" s="31">
        <f>W40/W37/0.0283*(21-7)/(21-W38)</f>
        <v>0.014066486836111204</v>
      </c>
    </row>
    <row r="42" spans="1:23" ht="12.75">
      <c r="A42" s="27"/>
      <c r="B42" s="27"/>
      <c r="C42" s="27"/>
      <c r="D42" s="27"/>
      <c r="E42" s="31"/>
      <c r="F42" s="35"/>
      <c r="G42" s="31"/>
      <c r="H42" s="35"/>
      <c r="I42" s="53"/>
      <c r="J42" s="31"/>
      <c r="K42" s="31"/>
      <c r="L42" s="31"/>
      <c r="M42" s="31"/>
      <c r="N42" s="31"/>
      <c r="O42" s="31"/>
      <c r="P42" s="34"/>
      <c r="Q42" s="31"/>
      <c r="R42" s="34"/>
      <c r="S42" s="31"/>
      <c r="T42" s="31"/>
      <c r="U42" s="34"/>
      <c r="V42" s="31"/>
      <c r="W42" s="34"/>
    </row>
    <row r="43" spans="1:23" ht="12.75">
      <c r="A43" s="32"/>
      <c r="B43" s="27" t="s">
        <v>58</v>
      </c>
      <c r="C43" s="35">
        <f>AVERAGE(H41,M41,R41,W41)</f>
        <v>0.010918096807984175</v>
      </c>
      <c r="D43" s="32"/>
      <c r="E43" s="32"/>
      <c r="F43" s="35"/>
      <c r="G43" s="32"/>
      <c r="H43" s="35"/>
      <c r="I43" s="52"/>
      <c r="J43" s="32"/>
      <c r="K43" s="32"/>
      <c r="L43" s="32"/>
      <c r="M43" s="32"/>
      <c r="N43" s="32"/>
      <c r="O43" s="32"/>
      <c r="P43" s="34"/>
      <c r="Q43" s="32"/>
      <c r="R43" s="34"/>
      <c r="S43" s="32"/>
      <c r="T43" s="32"/>
      <c r="U43" s="34"/>
      <c r="V43" s="32"/>
      <c r="W43" s="34"/>
    </row>
    <row r="44" spans="1:23" ht="12.75">
      <c r="A44" s="27"/>
      <c r="B44" s="27" t="s">
        <v>59</v>
      </c>
      <c r="C44" s="35">
        <f>AVERAGE(G41,L41,Q41,V41)</f>
        <v>0.040728618063610784</v>
      </c>
      <c r="D44" s="27"/>
      <c r="E44" s="34"/>
      <c r="F44" s="35"/>
      <c r="G44" s="34"/>
      <c r="H44" s="35"/>
      <c r="I44" s="38"/>
      <c r="J44" s="34"/>
      <c r="K44" s="34"/>
      <c r="L44" s="34"/>
      <c r="M44" s="34"/>
      <c r="N44" s="34"/>
      <c r="O44" s="34"/>
      <c r="P44" s="34"/>
      <c r="Q44" s="34"/>
      <c r="R44" s="34"/>
      <c r="S44" s="34"/>
      <c r="T44" s="34"/>
      <c r="U44" s="34"/>
      <c r="V44" s="34"/>
      <c r="W44" s="34"/>
    </row>
    <row r="46" ht="12.75">
      <c r="I46"/>
    </row>
    <row r="47" ht="12.75">
      <c r="I47"/>
    </row>
    <row r="48" ht="12.75">
      <c r="I48"/>
    </row>
    <row r="49" ht="12.75">
      <c r="I49"/>
    </row>
    <row r="50" ht="12.75">
      <c r="I50"/>
    </row>
    <row r="51" ht="12.75">
      <c r="I51"/>
    </row>
    <row r="52" ht="12.75">
      <c r="I52"/>
    </row>
    <row r="53" ht="12.75">
      <c r="I53"/>
    </row>
    <row r="54" ht="12.75">
      <c r="I54"/>
    </row>
    <row r="55" ht="12.75">
      <c r="I55"/>
    </row>
    <row r="56" ht="12.75">
      <c r="I56"/>
    </row>
    <row r="57" ht="12.75">
      <c r="I57"/>
    </row>
    <row r="58" ht="12.75">
      <c r="I58"/>
    </row>
    <row r="59" ht="12.75">
      <c r="I59"/>
    </row>
    <row r="60" ht="12.75">
      <c r="I60"/>
    </row>
    <row r="61" ht="12.75">
      <c r="I61"/>
    </row>
    <row r="62" ht="12.75">
      <c r="I62"/>
    </row>
    <row r="63" ht="12.75">
      <c r="I63"/>
    </row>
    <row r="64" ht="12.75">
      <c r="I64"/>
    </row>
    <row r="65" ht="12.75">
      <c r="I65"/>
    </row>
    <row r="66" ht="12.75">
      <c r="I66"/>
    </row>
    <row r="67" ht="12.75">
      <c r="I67"/>
    </row>
    <row r="68" ht="12.75">
      <c r="I68"/>
    </row>
    <row r="69" ht="12.75">
      <c r="I69"/>
    </row>
    <row r="70" ht="12.75">
      <c r="I70"/>
    </row>
    <row r="71" ht="12.75">
      <c r="I71"/>
    </row>
    <row r="72" ht="12.75">
      <c r="I72"/>
    </row>
    <row r="73" ht="12.75">
      <c r="I73"/>
    </row>
    <row r="74" ht="12.75">
      <c r="I74"/>
    </row>
    <row r="75" ht="12.75">
      <c r="I75"/>
    </row>
    <row r="76" ht="12.75">
      <c r="I76"/>
    </row>
    <row r="77" ht="12.75">
      <c r="I77"/>
    </row>
    <row r="78" ht="12.75">
      <c r="I78"/>
    </row>
    <row r="79" ht="12.75">
      <c r="I79"/>
    </row>
    <row r="80" ht="12.75">
      <c r="I80"/>
    </row>
    <row r="81" ht="12.75">
      <c r="I81"/>
    </row>
    <row r="82" ht="12.75">
      <c r="I82"/>
    </row>
    <row r="83" ht="12.75">
      <c r="I83"/>
    </row>
    <row r="84" ht="12.75">
      <c r="I84"/>
    </row>
    <row r="85" ht="12.75">
      <c r="I85"/>
    </row>
    <row r="86" ht="12.75">
      <c r="I86"/>
    </row>
    <row r="87" ht="12.75">
      <c r="I87"/>
    </row>
    <row r="88" ht="12.75">
      <c r="I88"/>
    </row>
    <row r="89" ht="12.75">
      <c r="I89"/>
    </row>
    <row r="90" ht="12.75">
      <c r="I90"/>
    </row>
    <row r="91" ht="12.75">
      <c r="I91"/>
    </row>
    <row r="92" ht="12.75">
      <c r="I92"/>
    </row>
    <row r="93" ht="12.75">
      <c r="I93"/>
    </row>
    <row r="94" ht="12.75">
      <c r="I94"/>
    </row>
    <row r="95" ht="12.75">
      <c r="I95"/>
    </row>
    <row r="96" ht="12.75">
      <c r="I96"/>
    </row>
    <row r="97" ht="12.75">
      <c r="I97"/>
    </row>
    <row r="98" ht="12.75">
      <c r="I98"/>
    </row>
    <row r="99" ht="12.75">
      <c r="I99"/>
    </row>
    <row r="100" ht="12.75">
      <c r="I100"/>
    </row>
    <row r="101" ht="12.75">
      <c r="I101"/>
    </row>
    <row r="102" ht="12.75">
      <c r="I102"/>
    </row>
    <row r="103" ht="12.75">
      <c r="I103"/>
    </row>
    <row r="104" ht="12.75">
      <c r="I104"/>
    </row>
    <row r="105" ht="12.75">
      <c r="I105"/>
    </row>
    <row r="106" ht="12.75">
      <c r="I106"/>
    </row>
    <row r="107" ht="12.75">
      <c r="I107"/>
    </row>
    <row r="108" ht="12.75">
      <c r="I108"/>
    </row>
    <row r="109" ht="12.75">
      <c r="I109"/>
    </row>
    <row r="110" ht="12.75">
      <c r="I110"/>
    </row>
    <row r="111" ht="12.75">
      <c r="I111"/>
    </row>
    <row r="112" ht="12.75">
      <c r="I112"/>
    </row>
    <row r="113" ht="12.75">
      <c r="I113"/>
    </row>
    <row r="114" ht="12.75">
      <c r="I114"/>
    </row>
    <row r="115" ht="12.75">
      <c r="I115"/>
    </row>
    <row r="116" ht="12.75">
      <c r="I116"/>
    </row>
    <row r="117" ht="12.75">
      <c r="I117"/>
    </row>
    <row r="118" ht="12.75">
      <c r="I118"/>
    </row>
    <row r="119" ht="12.75">
      <c r="I119"/>
    </row>
    <row r="120" ht="12.75">
      <c r="I120"/>
    </row>
    <row r="121" ht="12.75">
      <c r="I121"/>
    </row>
    <row r="122" ht="12.75">
      <c r="I122"/>
    </row>
    <row r="123" ht="12.75">
      <c r="I123"/>
    </row>
    <row r="124" ht="12.75">
      <c r="I124"/>
    </row>
    <row r="125" ht="12.75">
      <c r="I125"/>
    </row>
    <row r="126" ht="12.75">
      <c r="I126"/>
    </row>
    <row r="127" ht="12.75">
      <c r="I127"/>
    </row>
    <row r="128" ht="12.75">
      <c r="I128"/>
    </row>
    <row r="129" ht="12.75">
      <c r="I129"/>
    </row>
    <row r="130" ht="12.75">
      <c r="I130"/>
    </row>
    <row r="131" spans="1:18" ht="12.75">
      <c r="A131" s="32"/>
      <c r="B131" s="27"/>
      <c r="C131" s="35"/>
      <c r="D131" s="32"/>
      <c r="E131" s="32"/>
      <c r="F131" s="35"/>
      <c r="G131" s="32"/>
      <c r="H131" s="35"/>
      <c r="I131" s="52"/>
      <c r="J131" s="32"/>
      <c r="K131" s="32"/>
      <c r="L131" s="32"/>
      <c r="M131" s="32"/>
      <c r="N131" s="32"/>
      <c r="O131" s="32"/>
      <c r="P131" s="34"/>
      <c r="Q131" s="32"/>
      <c r="R131" s="34"/>
    </row>
    <row r="132" spans="1:18" ht="12.75">
      <c r="A132" s="27"/>
      <c r="B132" s="27"/>
      <c r="C132" s="35"/>
      <c r="D132" s="27"/>
      <c r="E132" s="34"/>
      <c r="F132" s="35"/>
      <c r="G132" s="34"/>
      <c r="H132" s="35"/>
      <c r="I132" s="38"/>
      <c r="J132" s="34"/>
      <c r="K132" s="34"/>
      <c r="L132" s="34"/>
      <c r="M132" s="34"/>
      <c r="N132" s="34"/>
      <c r="O132" s="34"/>
      <c r="P132" s="34"/>
      <c r="Q132" s="34"/>
      <c r="R132" s="34"/>
    </row>
  </sheetData>
  <printOptions headings="1" horizontalCentered="1"/>
  <pageMargins left="0.25" right="0.25" top="0.5" bottom="0.5" header="0.25" footer="0.25"/>
  <pageSetup horizontalDpi="600" verticalDpi="600" orientation="landscape" pageOrder="overThenDown" scale="80" r:id="rId1"/>
  <headerFooter alignWithMargins="0">
    <oddFooter>&amp;C&amp;P, &amp;A, &amp;F</oddFooter>
  </headerFooter>
</worksheet>
</file>

<file path=xl/worksheets/sheet11.xml><?xml version="1.0" encoding="utf-8"?>
<worksheet xmlns="http://schemas.openxmlformats.org/spreadsheetml/2006/main" xmlns:r="http://schemas.openxmlformats.org/officeDocument/2006/relationships">
  <dimension ref="A1:AR43"/>
  <sheetViews>
    <sheetView workbookViewId="0" topLeftCell="C14">
      <selection activeCell="R20" sqref="R20"/>
    </sheetView>
  </sheetViews>
  <sheetFormatPr defaultColWidth="9.140625" defaultRowHeight="12.75"/>
  <cols>
    <col min="1" max="2" width="9.140625" style="0" hidden="1" customWidth="1"/>
    <col min="3" max="3" width="14.421875" style="0" customWidth="1"/>
    <col min="4" max="4" width="7.00390625" style="83" customWidth="1"/>
    <col min="5" max="5" width="4.57421875" style="0" customWidth="1"/>
    <col min="7" max="7" width="8.7109375" style="67" customWidth="1"/>
    <col min="8" max="8" width="9.00390625" style="67" customWidth="1"/>
    <col min="9" max="9" width="7.00390625" style="0" customWidth="1"/>
    <col min="11" max="11" width="8.7109375" style="67" customWidth="1"/>
    <col min="12" max="12" width="9.00390625" style="67" customWidth="1"/>
    <col min="13" max="13" width="6.57421875" style="0" customWidth="1"/>
    <col min="15" max="15" width="8.7109375" style="67" customWidth="1"/>
    <col min="16" max="16" width="9.00390625" style="67" customWidth="1"/>
    <col min="17" max="17" width="6.00390625" style="0" customWidth="1"/>
    <col min="19" max="19" width="8.7109375" style="67" customWidth="1"/>
    <col min="20" max="20" width="9.00390625" style="67" customWidth="1"/>
  </cols>
  <sheetData>
    <row r="1" ht="12.75">
      <c r="C1" s="6" t="s">
        <v>164</v>
      </c>
    </row>
    <row r="2" spans="6:20" ht="12.75">
      <c r="F2" s="91" t="s">
        <v>181</v>
      </c>
      <c r="G2" s="91"/>
      <c r="H2" s="91"/>
      <c r="J2" s="91" t="s">
        <v>182</v>
      </c>
      <c r="K2" s="91"/>
      <c r="L2" s="91"/>
      <c r="N2" s="91" t="s">
        <v>52</v>
      </c>
      <c r="O2" s="91"/>
      <c r="P2" s="91"/>
      <c r="R2" s="93" t="s">
        <v>141</v>
      </c>
      <c r="S2" s="94"/>
      <c r="T2" s="94"/>
    </row>
    <row r="3" spans="3:20" ht="12.75">
      <c r="C3" t="s">
        <v>60</v>
      </c>
      <c r="D3" s="83" t="s">
        <v>23</v>
      </c>
      <c r="F3" s="51" t="s">
        <v>25</v>
      </c>
      <c r="G3" s="92" t="s">
        <v>25</v>
      </c>
      <c r="H3" s="92" t="s">
        <v>27</v>
      </c>
      <c r="I3" s="51"/>
      <c r="J3" s="51" t="s">
        <v>25</v>
      </c>
      <c r="K3" s="92" t="s">
        <v>25</v>
      </c>
      <c r="L3" s="92" t="s">
        <v>27</v>
      </c>
      <c r="M3" s="51"/>
      <c r="N3" s="51" t="s">
        <v>25</v>
      </c>
      <c r="O3" s="92" t="s">
        <v>25</v>
      </c>
      <c r="P3" s="92" t="s">
        <v>27</v>
      </c>
      <c r="Q3" s="51"/>
      <c r="R3" s="51" t="s">
        <v>25</v>
      </c>
      <c r="S3" s="92" t="s">
        <v>25</v>
      </c>
      <c r="T3" s="92" t="s">
        <v>27</v>
      </c>
    </row>
    <row r="4" spans="4:20" ht="12.75">
      <c r="D4" s="83" t="s">
        <v>183</v>
      </c>
      <c r="F4" s="51" t="s">
        <v>184</v>
      </c>
      <c r="G4" s="92" t="s">
        <v>64</v>
      </c>
      <c r="H4" s="92" t="s">
        <v>64</v>
      </c>
      <c r="I4" s="51"/>
      <c r="J4" s="51" t="s">
        <v>184</v>
      </c>
      <c r="K4" s="92" t="s">
        <v>64</v>
      </c>
      <c r="L4" s="92" t="s">
        <v>64</v>
      </c>
      <c r="M4" s="51"/>
      <c r="N4" s="51" t="s">
        <v>184</v>
      </c>
      <c r="O4" s="92" t="s">
        <v>64</v>
      </c>
      <c r="P4" s="92" t="s">
        <v>64</v>
      </c>
      <c r="Q4" s="51"/>
      <c r="R4" s="51" t="s">
        <v>184</v>
      </c>
      <c r="S4" s="92" t="s">
        <v>64</v>
      </c>
      <c r="T4" s="92" t="s">
        <v>64</v>
      </c>
    </row>
    <row r="5" spans="1:44" s="81" customFormat="1" ht="12.75">
      <c r="A5" s="81" t="s">
        <v>164</v>
      </c>
      <c r="B5" s="81">
        <v>1</v>
      </c>
      <c r="C5" s="81" t="s">
        <v>185</v>
      </c>
      <c r="D5" s="84">
        <v>1</v>
      </c>
      <c r="E5" s="82">
        <v>1</v>
      </c>
      <c r="F5" s="85">
        <v>0.012778710079459684</v>
      </c>
      <c r="G5" s="85">
        <f>IF(E5=1,F5/2,F5)</f>
        <v>0.006389355039729842</v>
      </c>
      <c r="H5" s="85">
        <f>G5*$D5</f>
        <v>0.006389355039729842</v>
      </c>
      <c r="I5" s="82">
        <v>1</v>
      </c>
      <c r="J5" s="85">
        <v>0.011339283665649449</v>
      </c>
      <c r="K5" s="85">
        <f>IF(I5=1,J5/2,J5)</f>
        <v>0.0056696418328247246</v>
      </c>
      <c r="L5" s="85">
        <f>K5*$D5</f>
        <v>0.0056696418328247246</v>
      </c>
      <c r="M5" s="82">
        <v>1</v>
      </c>
      <c r="N5" s="85">
        <v>0.012466165472328806</v>
      </c>
      <c r="O5" s="85">
        <f>IF(M5=1,N5/2,N5)</f>
        <v>0.006233082736164403</v>
      </c>
      <c r="P5" s="85">
        <f>O5*$D5</f>
        <v>0.006233082736164403</v>
      </c>
      <c r="Q5" s="82">
        <v>1</v>
      </c>
      <c r="R5" s="85">
        <v>0.011904444311824898</v>
      </c>
      <c r="S5" s="85">
        <f>IF(Q5=1,R5/2,R5)</f>
        <v>0.005952222155912449</v>
      </c>
      <c r="T5" s="85">
        <f>S5*$D5</f>
        <v>0.005952222155912449</v>
      </c>
      <c r="U5" s="82"/>
      <c r="V5" s="85"/>
      <c r="W5" s="82"/>
      <c r="X5" s="85"/>
      <c r="Y5" s="82"/>
      <c r="Z5" s="85"/>
      <c r="AA5" s="82"/>
      <c r="AB5" s="85"/>
      <c r="AC5" s="82"/>
      <c r="AD5" s="86"/>
      <c r="AE5" s="82"/>
      <c r="AF5" s="86"/>
      <c r="AG5" s="82"/>
      <c r="AH5" s="86"/>
      <c r="AI5" s="82"/>
      <c r="AJ5" s="86"/>
      <c r="AK5" s="82"/>
      <c r="AL5" s="86"/>
      <c r="AM5" s="82"/>
      <c r="AN5" s="86"/>
      <c r="AO5" s="82"/>
      <c r="AP5" s="86"/>
      <c r="AQ5" s="82"/>
      <c r="AR5" s="86"/>
    </row>
    <row r="6" spans="1:44" s="81" customFormat="1" ht="12.75">
      <c r="A6" s="81" t="s">
        <v>164</v>
      </c>
      <c r="B6" s="81">
        <v>2</v>
      </c>
      <c r="C6" s="81" t="s">
        <v>186</v>
      </c>
      <c r="D6" s="84">
        <v>0</v>
      </c>
      <c r="E6" s="82"/>
      <c r="F6" s="85">
        <v>-0.006389355039729842</v>
      </c>
      <c r="G6" s="85">
        <f aca="true" t="shared" si="0" ref="G6:G37">IF(E6=1,F6/2,F6)</f>
        <v>-0.006389355039729842</v>
      </c>
      <c r="H6" s="85">
        <f aca="true" t="shared" si="1" ref="H6:H37">G6*$D6</f>
        <v>0</v>
      </c>
      <c r="I6" s="82"/>
      <c r="J6" s="85">
        <v>0</v>
      </c>
      <c r="K6" s="85">
        <f aca="true" t="shared" si="2" ref="K6:K37">IF(I6=1,J6/2,J6)</f>
        <v>0</v>
      </c>
      <c r="L6" s="85">
        <f aca="true" t="shared" si="3" ref="L6:L37">K6*$D6</f>
        <v>0</v>
      </c>
      <c r="M6" s="82"/>
      <c r="N6" s="85">
        <v>0.0031165413680822</v>
      </c>
      <c r="O6" s="85">
        <f aca="true" t="shared" si="4" ref="O6:O37">IF(M6=1,N6/2,N6)</f>
        <v>0.0031165413680822</v>
      </c>
      <c r="P6" s="85">
        <f aca="true" t="shared" si="5" ref="P6:P37">O6*$D6</f>
        <v>0</v>
      </c>
      <c r="Q6" s="82"/>
      <c r="R6" s="85">
        <v>0.005952222155912448</v>
      </c>
      <c r="S6" s="85">
        <f aca="true" t="shared" si="6" ref="S6:S37">IF(Q6=1,R6/2,R6)</f>
        <v>0.005952222155912448</v>
      </c>
      <c r="T6" s="85">
        <f aca="true" t="shared" si="7" ref="T6:T37">S6*$D6</f>
        <v>0</v>
      </c>
      <c r="U6" s="82"/>
      <c r="V6" s="85"/>
      <c r="W6" s="82"/>
      <c r="X6" s="85"/>
      <c r="Y6" s="82"/>
      <c r="Z6" s="85"/>
      <c r="AA6" s="82"/>
      <c r="AB6" s="85"/>
      <c r="AC6" s="82"/>
      <c r="AD6" s="86"/>
      <c r="AE6" s="82"/>
      <c r="AF6" s="86"/>
      <c r="AG6" s="82"/>
      <c r="AH6" s="86"/>
      <c r="AI6" s="82"/>
      <c r="AJ6" s="86"/>
      <c r="AK6" s="82"/>
      <c r="AL6" s="86"/>
      <c r="AM6" s="82"/>
      <c r="AN6" s="86"/>
      <c r="AO6" s="82"/>
      <c r="AP6" s="86"/>
      <c r="AQ6" s="82"/>
      <c r="AR6" s="86"/>
    </row>
    <row r="7" spans="1:44" s="81" customFormat="1" ht="12.75">
      <c r="A7" s="81" t="s">
        <v>164</v>
      </c>
      <c r="B7" s="81">
        <v>3</v>
      </c>
      <c r="C7" s="81" t="s">
        <v>187</v>
      </c>
      <c r="D7" s="84">
        <v>0</v>
      </c>
      <c r="E7" s="82">
        <v>1</v>
      </c>
      <c r="F7" s="85">
        <v>0.006389355039729842</v>
      </c>
      <c r="G7" s="85">
        <f t="shared" si="0"/>
        <v>0.003194677519864921</v>
      </c>
      <c r="H7" s="85">
        <f t="shared" si="1"/>
        <v>0</v>
      </c>
      <c r="I7" s="82">
        <v>1</v>
      </c>
      <c r="J7" s="85">
        <v>0.011339283665649449</v>
      </c>
      <c r="K7" s="85">
        <f t="shared" si="2"/>
        <v>0.0056696418328247246</v>
      </c>
      <c r="L7" s="85">
        <f t="shared" si="3"/>
        <v>0</v>
      </c>
      <c r="M7" s="82">
        <v>2</v>
      </c>
      <c r="N7" s="85">
        <v>0.015582706840411</v>
      </c>
      <c r="O7" s="85">
        <f t="shared" si="4"/>
        <v>0.015582706840411</v>
      </c>
      <c r="P7" s="85">
        <f t="shared" si="5"/>
        <v>0</v>
      </c>
      <c r="Q7" s="82">
        <v>2</v>
      </c>
      <c r="R7" s="85">
        <v>0.017856666467737346</v>
      </c>
      <c r="S7" s="85">
        <f t="shared" si="6"/>
        <v>0.017856666467737346</v>
      </c>
      <c r="T7" s="85">
        <f t="shared" si="7"/>
        <v>0</v>
      </c>
      <c r="U7" s="82"/>
      <c r="V7" s="85"/>
      <c r="W7" s="82"/>
      <c r="X7" s="85"/>
      <c r="Y7" s="82"/>
      <c r="Z7" s="85"/>
      <c r="AA7" s="82"/>
      <c r="AB7" s="85"/>
      <c r="AC7" s="82"/>
      <c r="AD7" s="86"/>
      <c r="AE7" s="82"/>
      <c r="AF7" s="86"/>
      <c r="AG7" s="82"/>
      <c r="AH7" s="86"/>
      <c r="AI7" s="82"/>
      <c r="AJ7" s="86"/>
      <c r="AK7" s="82"/>
      <c r="AL7" s="86"/>
      <c r="AM7" s="82"/>
      <c r="AN7" s="86"/>
      <c r="AO7" s="82"/>
      <c r="AP7" s="86"/>
      <c r="AQ7" s="82"/>
      <c r="AR7" s="86"/>
    </row>
    <row r="8" spans="1:44" s="81" customFormat="1" ht="12.75">
      <c r="A8" s="81" t="s">
        <v>164</v>
      </c>
      <c r="B8" s="81">
        <v>4</v>
      </c>
      <c r="C8" s="81" t="s">
        <v>188</v>
      </c>
      <c r="D8" s="84">
        <v>0.5</v>
      </c>
      <c r="E8" s="82">
        <v>1</v>
      </c>
      <c r="F8" s="85">
        <v>0.06389355039729842</v>
      </c>
      <c r="G8" s="85">
        <f t="shared" si="0"/>
        <v>0.03194677519864921</v>
      </c>
      <c r="H8" s="85">
        <f t="shared" si="1"/>
        <v>0.015973387599324606</v>
      </c>
      <c r="I8" s="82">
        <v>1</v>
      </c>
      <c r="J8" s="85">
        <v>0.05669641832824726</v>
      </c>
      <c r="K8" s="85">
        <f t="shared" si="2"/>
        <v>0.02834820916412363</v>
      </c>
      <c r="L8" s="85">
        <f t="shared" si="3"/>
        <v>0.014174104582061815</v>
      </c>
      <c r="M8" s="82">
        <v>1</v>
      </c>
      <c r="N8" s="85">
        <v>0.062330827361644</v>
      </c>
      <c r="O8" s="85">
        <f t="shared" si="4"/>
        <v>0.031165413680822</v>
      </c>
      <c r="P8" s="85">
        <f t="shared" si="5"/>
        <v>0.015582706840411</v>
      </c>
      <c r="Q8" s="82">
        <v>1</v>
      </c>
      <c r="R8" s="85">
        <v>0.05952222155912449</v>
      </c>
      <c r="S8" s="85">
        <f t="shared" si="6"/>
        <v>0.029761110779562245</v>
      </c>
      <c r="T8" s="85">
        <f t="shared" si="7"/>
        <v>0.014880555389781122</v>
      </c>
      <c r="U8" s="82"/>
      <c r="V8" s="85"/>
      <c r="W8" s="82"/>
      <c r="X8" s="85"/>
      <c r="Y8" s="82"/>
      <c r="Z8" s="85"/>
      <c r="AA8" s="82"/>
      <c r="AB8" s="85"/>
      <c r="AC8" s="82"/>
      <c r="AD8" s="86"/>
      <c r="AE8" s="82"/>
      <c r="AF8" s="86"/>
      <c r="AG8" s="82"/>
      <c r="AH8" s="86"/>
      <c r="AI8" s="82"/>
      <c r="AJ8" s="86"/>
      <c r="AK8" s="82"/>
      <c r="AL8" s="86"/>
      <c r="AM8" s="82"/>
      <c r="AN8" s="86"/>
      <c r="AO8" s="82"/>
      <c r="AP8" s="86"/>
      <c r="AQ8" s="82"/>
      <c r="AR8" s="86"/>
    </row>
    <row r="9" spans="1:44" s="81" customFormat="1" ht="12.75">
      <c r="A9" s="81" t="s">
        <v>164</v>
      </c>
      <c r="B9" s="81">
        <v>5</v>
      </c>
      <c r="C9" s="81" t="s">
        <v>189</v>
      </c>
      <c r="D9" s="84">
        <v>0</v>
      </c>
      <c r="E9" s="82"/>
      <c r="F9" s="85">
        <v>0.022362742639054453</v>
      </c>
      <c r="G9" s="85">
        <f t="shared" si="0"/>
        <v>0.022362742639054453</v>
      </c>
      <c r="H9" s="85">
        <f t="shared" si="1"/>
        <v>0</v>
      </c>
      <c r="I9" s="82"/>
      <c r="J9" s="85">
        <v>0</v>
      </c>
      <c r="K9" s="85">
        <f t="shared" si="2"/>
        <v>0</v>
      </c>
      <c r="L9" s="85">
        <f t="shared" si="3"/>
        <v>0</v>
      </c>
      <c r="M9" s="82"/>
      <c r="N9" s="85">
        <v>0</v>
      </c>
      <c r="O9" s="85">
        <f t="shared" si="4"/>
        <v>0</v>
      </c>
      <c r="P9" s="85">
        <f t="shared" si="5"/>
        <v>0</v>
      </c>
      <c r="Q9" s="82"/>
      <c r="R9" s="85">
        <v>0</v>
      </c>
      <c r="S9" s="85">
        <f t="shared" si="6"/>
        <v>0</v>
      </c>
      <c r="T9" s="85">
        <f t="shared" si="7"/>
        <v>0</v>
      </c>
      <c r="U9" s="82"/>
      <c r="V9" s="85"/>
      <c r="W9" s="82"/>
      <c r="X9" s="85"/>
      <c r="Y9" s="82"/>
      <c r="Z9" s="85"/>
      <c r="AA9" s="82"/>
      <c r="AB9" s="85"/>
      <c r="AC9" s="82"/>
      <c r="AD9" s="86"/>
      <c r="AE9" s="82"/>
      <c r="AF9" s="86"/>
      <c r="AG9" s="82"/>
      <c r="AH9" s="86"/>
      <c r="AI9" s="82"/>
      <c r="AJ9" s="86"/>
      <c r="AK9" s="82"/>
      <c r="AL9" s="86"/>
      <c r="AM9" s="82"/>
      <c r="AN9" s="86"/>
      <c r="AO9" s="82"/>
      <c r="AP9" s="86"/>
      <c r="AQ9" s="82"/>
      <c r="AR9" s="86"/>
    </row>
    <row r="10" spans="1:44" s="81" customFormat="1" ht="12.75">
      <c r="A10" s="81" t="s">
        <v>164</v>
      </c>
      <c r="B10" s="81">
        <v>6</v>
      </c>
      <c r="C10" s="81" t="s">
        <v>190</v>
      </c>
      <c r="D10" s="84">
        <v>0</v>
      </c>
      <c r="E10" s="82">
        <v>2</v>
      </c>
      <c r="F10" s="85">
        <v>0.08625629303635288</v>
      </c>
      <c r="G10" s="85">
        <f t="shared" si="0"/>
        <v>0.08625629303635288</v>
      </c>
      <c r="H10" s="85">
        <f t="shared" si="1"/>
        <v>0</v>
      </c>
      <c r="I10" s="82">
        <v>1</v>
      </c>
      <c r="J10" s="85">
        <v>0.05669641832824726</v>
      </c>
      <c r="K10" s="85">
        <f t="shared" si="2"/>
        <v>0.02834820916412363</v>
      </c>
      <c r="L10" s="85">
        <f t="shared" si="3"/>
        <v>0</v>
      </c>
      <c r="M10" s="82">
        <v>1</v>
      </c>
      <c r="N10" s="85">
        <v>0.062330827361644</v>
      </c>
      <c r="O10" s="85">
        <f t="shared" si="4"/>
        <v>0.031165413680822</v>
      </c>
      <c r="P10" s="85">
        <f t="shared" si="5"/>
        <v>0</v>
      </c>
      <c r="Q10" s="82">
        <v>1</v>
      </c>
      <c r="R10" s="85">
        <v>0.05952222155912449</v>
      </c>
      <c r="S10" s="85">
        <f t="shared" si="6"/>
        <v>0.029761110779562245</v>
      </c>
      <c r="T10" s="85">
        <f t="shared" si="7"/>
        <v>0</v>
      </c>
      <c r="U10" s="82"/>
      <c r="V10" s="85"/>
      <c r="W10" s="82"/>
      <c r="X10" s="85"/>
      <c r="Y10" s="82"/>
      <c r="Z10" s="85"/>
      <c r="AA10" s="82"/>
      <c r="AB10" s="85"/>
      <c r="AC10" s="82"/>
      <c r="AD10" s="86"/>
      <c r="AE10" s="82"/>
      <c r="AF10" s="86"/>
      <c r="AG10" s="82"/>
      <c r="AH10" s="86"/>
      <c r="AI10" s="82"/>
      <c r="AJ10" s="86"/>
      <c r="AK10" s="82"/>
      <c r="AL10" s="86"/>
      <c r="AM10" s="82"/>
      <c r="AN10" s="86"/>
      <c r="AO10" s="82"/>
      <c r="AP10" s="86"/>
      <c r="AQ10" s="82"/>
      <c r="AR10" s="86"/>
    </row>
    <row r="11" spans="1:44" s="81" customFormat="1" ht="12.75">
      <c r="A11" s="81" t="s">
        <v>164</v>
      </c>
      <c r="B11" s="81">
        <v>7</v>
      </c>
      <c r="C11" s="81" t="s">
        <v>191</v>
      </c>
      <c r="D11" s="84">
        <v>0.1</v>
      </c>
      <c r="E11" s="82">
        <v>1</v>
      </c>
      <c r="F11" s="85">
        <v>0.06389355039729842</v>
      </c>
      <c r="G11" s="85">
        <f t="shared" si="0"/>
        <v>0.03194677519864921</v>
      </c>
      <c r="H11" s="85">
        <f t="shared" si="1"/>
        <v>0.0031946775198649214</v>
      </c>
      <c r="I11" s="82">
        <v>1</v>
      </c>
      <c r="J11" s="85">
        <v>0.05669641832824726</v>
      </c>
      <c r="K11" s="85">
        <f t="shared" si="2"/>
        <v>0.02834820916412363</v>
      </c>
      <c r="L11" s="85">
        <f t="shared" si="3"/>
        <v>0.002834820916412363</v>
      </c>
      <c r="M11" s="82">
        <v>1</v>
      </c>
      <c r="N11" s="85">
        <v>0.062330827361644</v>
      </c>
      <c r="O11" s="85">
        <f t="shared" si="4"/>
        <v>0.031165413680822</v>
      </c>
      <c r="P11" s="85">
        <f t="shared" si="5"/>
        <v>0.0031165413680822</v>
      </c>
      <c r="Q11" s="82">
        <v>1</v>
      </c>
      <c r="R11" s="85">
        <v>0.05952222155912449</v>
      </c>
      <c r="S11" s="85">
        <f t="shared" si="6"/>
        <v>0.029761110779562245</v>
      </c>
      <c r="T11" s="85">
        <f t="shared" si="7"/>
        <v>0.002976111077956225</v>
      </c>
      <c r="U11" s="82"/>
      <c r="V11" s="85"/>
      <c r="W11" s="82"/>
      <c r="X11" s="85"/>
      <c r="Y11" s="82"/>
      <c r="Z11" s="85"/>
      <c r="AA11" s="82"/>
      <c r="AB11" s="85"/>
      <c r="AC11" s="82"/>
      <c r="AD11" s="86"/>
      <c r="AE11" s="82"/>
      <c r="AF11" s="86"/>
      <c r="AG11" s="82"/>
      <c r="AH11" s="86"/>
      <c r="AI11" s="82"/>
      <c r="AJ11" s="86"/>
      <c r="AK11" s="82"/>
      <c r="AL11" s="86"/>
      <c r="AM11" s="82"/>
      <c r="AN11" s="86"/>
      <c r="AO11" s="82"/>
      <c r="AP11" s="86"/>
      <c r="AQ11" s="82"/>
      <c r="AR11" s="86"/>
    </row>
    <row r="12" spans="1:44" s="81" customFormat="1" ht="12.75">
      <c r="A12" s="81" t="s">
        <v>164</v>
      </c>
      <c r="B12" s="81">
        <v>8</v>
      </c>
      <c r="C12" s="81" t="s">
        <v>192</v>
      </c>
      <c r="D12" s="84">
        <v>0.1</v>
      </c>
      <c r="E12" s="82">
        <v>1</v>
      </c>
      <c r="F12" s="85">
        <v>0.06389355039729842</v>
      </c>
      <c r="G12" s="85">
        <f t="shared" si="0"/>
        <v>0.03194677519864921</v>
      </c>
      <c r="H12" s="85">
        <f t="shared" si="1"/>
        <v>0.0031946775198649214</v>
      </c>
      <c r="I12" s="82">
        <v>1</v>
      </c>
      <c r="J12" s="85">
        <v>0.05669641832824726</v>
      </c>
      <c r="K12" s="85">
        <f t="shared" si="2"/>
        <v>0.02834820916412363</v>
      </c>
      <c r="L12" s="85">
        <f t="shared" si="3"/>
        <v>0.002834820916412363</v>
      </c>
      <c r="M12" s="82">
        <v>1</v>
      </c>
      <c r="N12" s="85">
        <v>0.062330827361644</v>
      </c>
      <c r="O12" s="85">
        <f t="shared" si="4"/>
        <v>0.031165413680822</v>
      </c>
      <c r="P12" s="85">
        <f t="shared" si="5"/>
        <v>0.0031165413680822</v>
      </c>
      <c r="Q12" s="82">
        <v>1</v>
      </c>
      <c r="R12" s="85">
        <v>0.05952222155912449</v>
      </c>
      <c r="S12" s="85">
        <f t="shared" si="6"/>
        <v>0.029761110779562245</v>
      </c>
      <c r="T12" s="85">
        <f t="shared" si="7"/>
        <v>0.002976111077956225</v>
      </c>
      <c r="U12" s="82"/>
      <c r="V12" s="85"/>
      <c r="W12" s="82"/>
      <c r="X12" s="85"/>
      <c r="Y12" s="82"/>
      <c r="Z12" s="85"/>
      <c r="AA12" s="82"/>
      <c r="AB12" s="85"/>
      <c r="AC12" s="82"/>
      <c r="AD12" s="86"/>
      <c r="AE12" s="82"/>
      <c r="AF12" s="86"/>
      <c r="AG12" s="82"/>
      <c r="AH12" s="86"/>
      <c r="AI12" s="82"/>
      <c r="AJ12" s="86"/>
      <c r="AK12" s="82"/>
      <c r="AL12" s="86"/>
      <c r="AM12" s="82"/>
      <c r="AN12" s="86"/>
      <c r="AO12" s="82"/>
      <c r="AP12" s="86"/>
      <c r="AQ12" s="82"/>
      <c r="AR12" s="86"/>
    </row>
    <row r="13" spans="1:44" s="81" customFormat="1" ht="12.75">
      <c r="A13" s="81" t="s">
        <v>164</v>
      </c>
      <c r="B13" s="81">
        <v>9</v>
      </c>
      <c r="C13" s="81" t="s">
        <v>193</v>
      </c>
      <c r="D13" s="84">
        <v>0.1</v>
      </c>
      <c r="E13" s="82">
        <v>2</v>
      </c>
      <c r="F13" s="85">
        <v>0.06389355039729842</v>
      </c>
      <c r="G13" s="85">
        <f t="shared" si="0"/>
        <v>0.06389355039729842</v>
      </c>
      <c r="H13" s="85">
        <f t="shared" si="1"/>
        <v>0.006389355039729843</v>
      </c>
      <c r="I13" s="82">
        <v>1</v>
      </c>
      <c r="J13" s="85">
        <v>0.05669641832824726</v>
      </c>
      <c r="K13" s="85">
        <f t="shared" si="2"/>
        <v>0.02834820916412363</v>
      </c>
      <c r="L13" s="85">
        <f t="shared" si="3"/>
        <v>0.002834820916412363</v>
      </c>
      <c r="M13" s="82">
        <v>1</v>
      </c>
      <c r="N13" s="85">
        <v>0.062330827361644</v>
      </c>
      <c r="O13" s="85">
        <f t="shared" si="4"/>
        <v>0.031165413680822</v>
      </c>
      <c r="P13" s="85">
        <f t="shared" si="5"/>
        <v>0.0031165413680822</v>
      </c>
      <c r="Q13" s="82">
        <v>1</v>
      </c>
      <c r="R13" s="85">
        <v>0.05952222155912449</v>
      </c>
      <c r="S13" s="85">
        <f t="shared" si="6"/>
        <v>0.029761110779562245</v>
      </c>
      <c r="T13" s="85">
        <f t="shared" si="7"/>
        <v>0.002976111077956225</v>
      </c>
      <c r="U13" s="82"/>
      <c r="V13" s="85"/>
      <c r="W13" s="82"/>
      <c r="X13" s="85"/>
      <c r="Y13" s="82"/>
      <c r="Z13" s="85"/>
      <c r="AA13" s="82"/>
      <c r="AB13" s="85"/>
      <c r="AC13" s="82"/>
      <c r="AD13" s="86"/>
      <c r="AE13" s="82"/>
      <c r="AF13" s="86"/>
      <c r="AG13" s="82"/>
      <c r="AH13" s="86"/>
      <c r="AI13" s="82"/>
      <c r="AJ13" s="86"/>
      <c r="AK13" s="82"/>
      <c r="AL13" s="86"/>
      <c r="AM13" s="82"/>
      <c r="AN13" s="86"/>
      <c r="AO13" s="82"/>
      <c r="AP13" s="86"/>
      <c r="AQ13" s="82"/>
      <c r="AR13" s="86"/>
    </row>
    <row r="14" spans="1:44" s="81" customFormat="1" ht="12.75">
      <c r="A14" s="81" t="s">
        <v>164</v>
      </c>
      <c r="B14" s="81">
        <v>10</v>
      </c>
      <c r="C14" s="81" t="s">
        <v>194</v>
      </c>
      <c r="D14" s="84">
        <v>0</v>
      </c>
      <c r="E14" s="82"/>
      <c r="F14" s="85">
        <v>0.01916806511918953</v>
      </c>
      <c r="G14" s="85">
        <f t="shared" si="0"/>
        <v>0.01916806511918953</v>
      </c>
      <c r="H14" s="85">
        <f t="shared" si="1"/>
        <v>0</v>
      </c>
      <c r="I14" s="82"/>
      <c r="J14" s="85">
        <v>-0.0793749856595462</v>
      </c>
      <c r="K14" s="85">
        <f t="shared" si="2"/>
        <v>-0.0793749856595462</v>
      </c>
      <c r="L14" s="85">
        <f t="shared" si="3"/>
        <v>0</v>
      </c>
      <c r="M14" s="82"/>
      <c r="N14" s="85">
        <v>-0.124661654723288</v>
      </c>
      <c r="O14" s="85">
        <f t="shared" si="4"/>
        <v>-0.124661654723288</v>
      </c>
      <c r="P14" s="85">
        <f t="shared" si="5"/>
        <v>0</v>
      </c>
      <c r="Q14" s="82"/>
      <c r="R14" s="85">
        <v>-0.119044443118249</v>
      </c>
      <c r="S14" s="85">
        <f t="shared" si="6"/>
        <v>-0.119044443118249</v>
      </c>
      <c r="T14" s="85">
        <f t="shared" si="7"/>
        <v>0</v>
      </c>
      <c r="U14" s="82"/>
      <c r="V14" s="85"/>
      <c r="W14" s="82"/>
      <c r="X14" s="85"/>
      <c r="Y14" s="82"/>
      <c r="Z14" s="85"/>
      <c r="AA14" s="82"/>
      <c r="AB14" s="85"/>
      <c r="AC14" s="82"/>
      <c r="AD14" s="86"/>
      <c r="AE14" s="82"/>
      <c r="AF14" s="86"/>
      <c r="AG14" s="82"/>
      <c r="AH14" s="86"/>
      <c r="AI14" s="82"/>
      <c r="AJ14" s="86"/>
      <c r="AK14" s="82"/>
      <c r="AL14" s="86"/>
      <c r="AM14" s="82"/>
      <c r="AN14" s="86"/>
      <c r="AO14" s="82"/>
      <c r="AP14" s="86"/>
      <c r="AQ14" s="82"/>
      <c r="AR14" s="86"/>
    </row>
    <row r="15" spans="1:44" s="81" customFormat="1" ht="12.75">
      <c r="A15" s="81" t="s">
        <v>164</v>
      </c>
      <c r="B15" s="81">
        <v>11</v>
      </c>
      <c r="C15" s="81" t="s">
        <v>195</v>
      </c>
      <c r="D15" s="84">
        <v>0</v>
      </c>
      <c r="E15" s="82">
        <v>2</v>
      </c>
      <c r="F15" s="85">
        <v>0.21084871631108482</v>
      </c>
      <c r="G15" s="85">
        <f t="shared" si="0"/>
        <v>0.21084871631108482</v>
      </c>
      <c r="H15" s="85">
        <f t="shared" si="1"/>
        <v>0</v>
      </c>
      <c r="I15" s="82">
        <v>2</v>
      </c>
      <c r="J15" s="85">
        <v>0.09071426932519559</v>
      </c>
      <c r="K15" s="85">
        <f t="shared" si="2"/>
        <v>0.09071426932519559</v>
      </c>
      <c r="L15" s="85">
        <f t="shared" si="3"/>
        <v>0</v>
      </c>
      <c r="M15" s="82">
        <v>1</v>
      </c>
      <c r="N15" s="85">
        <v>0.062330827361644</v>
      </c>
      <c r="O15" s="85">
        <f t="shared" si="4"/>
        <v>0.031165413680822</v>
      </c>
      <c r="P15" s="85">
        <f t="shared" si="5"/>
        <v>0</v>
      </c>
      <c r="Q15" s="82">
        <v>1</v>
      </c>
      <c r="R15" s="85">
        <v>0.05952222155912449</v>
      </c>
      <c r="S15" s="85">
        <f t="shared" si="6"/>
        <v>0.029761110779562245</v>
      </c>
      <c r="T15" s="85">
        <f t="shared" si="7"/>
        <v>0</v>
      </c>
      <c r="U15" s="82"/>
      <c r="V15" s="85"/>
      <c r="W15" s="82"/>
      <c r="X15" s="85"/>
      <c r="Y15" s="82"/>
      <c r="Z15" s="85"/>
      <c r="AA15" s="82"/>
      <c r="AB15" s="85"/>
      <c r="AC15" s="82"/>
      <c r="AD15" s="86"/>
      <c r="AE15" s="82"/>
      <c r="AF15" s="86"/>
      <c r="AG15" s="82"/>
      <c r="AH15" s="86"/>
      <c r="AI15" s="82"/>
      <c r="AJ15" s="86"/>
      <c r="AK15" s="82"/>
      <c r="AL15" s="86"/>
      <c r="AM15" s="82"/>
      <c r="AN15" s="86"/>
      <c r="AO15" s="82"/>
      <c r="AP15" s="86"/>
      <c r="AQ15" s="82"/>
      <c r="AR15" s="86"/>
    </row>
    <row r="16" spans="1:44" s="81" customFormat="1" ht="12.75">
      <c r="A16" s="81" t="s">
        <v>164</v>
      </c>
      <c r="B16" s="81">
        <v>12</v>
      </c>
      <c r="C16" s="81" t="s">
        <v>196</v>
      </c>
      <c r="D16" s="84">
        <v>0.01</v>
      </c>
      <c r="E16" s="82">
        <v>2</v>
      </c>
      <c r="F16" s="85">
        <v>0.1501498434336513</v>
      </c>
      <c r="G16" s="85">
        <f t="shared" si="0"/>
        <v>0.1501498434336513</v>
      </c>
      <c r="H16" s="85">
        <f t="shared" si="1"/>
        <v>0.001501498434336513</v>
      </c>
      <c r="I16" s="82">
        <v>2</v>
      </c>
      <c r="J16" s="85">
        <v>0.08504462749237088</v>
      </c>
      <c r="K16" s="85">
        <f t="shared" si="2"/>
        <v>0.08504462749237088</v>
      </c>
      <c r="L16" s="85">
        <f t="shared" si="3"/>
        <v>0.0008504462749237088</v>
      </c>
      <c r="M16" s="82">
        <v>1</v>
      </c>
      <c r="N16" s="85">
        <v>0.062330827361644</v>
      </c>
      <c r="O16" s="85">
        <f t="shared" si="4"/>
        <v>0.031165413680822</v>
      </c>
      <c r="P16" s="85">
        <f t="shared" si="5"/>
        <v>0.00031165413680822</v>
      </c>
      <c r="Q16" s="82">
        <v>1</v>
      </c>
      <c r="R16" s="85">
        <v>0.05952222155912449</v>
      </c>
      <c r="S16" s="85">
        <f t="shared" si="6"/>
        <v>0.029761110779562245</v>
      </c>
      <c r="T16" s="85">
        <f t="shared" si="7"/>
        <v>0.00029761110779562245</v>
      </c>
      <c r="U16" s="82"/>
      <c r="V16" s="85"/>
      <c r="W16" s="82"/>
      <c r="X16" s="85"/>
      <c r="Y16" s="82"/>
      <c r="Z16" s="85"/>
      <c r="AA16" s="82"/>
      <c r="AB16" s="85"/>
      <c r="AC16" s="82"/>
      <c r="AD16" s="86"/>
      <c r="AE16" s="82"/>
      <c r="AF16" s="86"/>
      <c r="AG16" s="82"/>
      <c r="AH16" s="86"/>
      <c r="AI16" s="82"/>
      <c r="AJ16" s="86"/>
      <c r="AK16" s="82"/>
      <c r="AL16" s="86"/>
      <c r="AM16" s="82"/>
      <c r="AN16" s="86"/>
      <c r="AO16" s="82"/>
      <c r="AP16" s="86"/>
      <c r="AQ16" s="82"/>
      <c r="AR16" s="86"/>
    </row>
    <row r="17" spans="1:44" s="81" customFormat="1" ht="12.75">
      <c r="A17" s="81" t="s">
        <v>164</v>
      </c>
      <c r="B17" s="81">
        <v>13</v>
      </c>
      <c r="C17" s="81" t="s">
        <v>197</v>
      </c>
      <c r="D17" s="84">
        <v>0</v>
      </c>
      <c r="E17" s="82"/>
      <c r="F17" s="85">
        <v>0.10861903567540737</v>
      </c>
      <c r="G17" s="85">
        <f t="shared" si="0"/>
        <v>0.10861903567540737</v>
      </c>
      <c r="H17" s="85">
        <f t="shared" si="1"/>
        <v>0</v>
      </c>
      <c r="I17" s="82"/>
      <c r="J17" s="85">
        <v>0.0453571346625978</v>
      </c>
      <c r="K17" s="85">
        <f t="shared" si="2"/>
        <v>0.0453571346625978</v>
      </c>
      <c r="L17" s="85">
        <f t="shared" si="3"/>
        <v>0</v>
      </c>
      <c r="M17" s="82"/>
      <c r="N17" s="85">
        <v>0</v>
      </c>
      <c r="O17" s="85">
        <f t="shared" si="4"/>
        <v>0</v>
      </c>
      <c r="P17" s="85">
        <f t="shared" si="5"/>
        <v>0</v>
      </c>
      <c r="Q17" s="82"/>
      <c r="R17" s="85">
        <v>0</v>
      </c>
      <c r="S17" s="85">
        <f t="shared" si="6"/>
        <v>0</v>
      </c>
      <c r="T17" s="85">
        <f t="shared" si="7"/>
        <v>0</v>
      </c>
      <c r="U17" s="82"/>
      <c r="V17" s="85"/>
      <c r="W17" s="82"/>
      <c r="X17" s="85"/>
      <c r="Y17" s="82"/>
      <c r="Z17" s="85"/>
      <c r="AA17" s="82"/>
      <c r="AB17" s="85"/>
      <c r="AC17" s="82"/>
      <c r="AD17" s="86"/>
      <c r="AE17" s="82"/>
      <c r="AF17" s="86"/>
      <c r="AG17" s="82"/>
      <c r="AH17" s="86"/>
      <c r="AI17" s="82"/>
      <c r="AJ17" s="86"/>
      <c r="AK17" s="82"/>
      <c r="AL17" s="86"/>
      <c r="AM17" s="82"/>
      <c r="AN17" s="86"/>
      <c r="AO17" s="82"/>
      <c r="AP17" s="86"/>
      <c r="AQ17" s="82"/>
      <c r="AR17" s="86"/>
    </row>
    <row r="18" spans="1:44" s="81" customFormat="1" ht="12.75">
      <c r="A18" s="81" t="s">
        <v>164</v>
      </c>
      <c r="B18" s="81">
        <v>14</v>
      </c>
      <c r="C18" s="81" t="s">
        <v>198</v>
      </c>
      <c r="D18" s="84">
        <v>0</v>
      </c>
      <c r="E18" s="82">
        <v>2</v>
      </c>
      <c r="F18" s="85">
        <v>0.25876887910905866</v>
      </c>
      <c r="G18" s="85">
        <f t="shared" si="0"/>
        <v>0.25876887910905866</v>
      </c>
      <c r="H18" s="85">
        <f t="shared" si="1"/>
        <v>0</v>
      </c>
      <c r="I18" s="82">
        <v>2</v>
      </c>
      <c r="J18" s="85">
        <v>0.13040176215496868</v>
      </c>
      <c r="K18" s="85">
        <f t="shared" si="2"/>
        <v>0.13040176215496868</v>
      </c>
      <c r="L18" s="85">
        <f t="shared" si="3"/>
        <v>0</v>
      </c>
      <c r="M18" s="82">
        <v>1</v>
      </c>
      <c r="N18" s="85">
        <v>0.062330827361644</v>
      </c>
      <c r="O18" s="85">
        <f t="shared" si="4"/>
        <v>0.031165413680822</v>
      </c>
      <c r="P18" s="85">
        <f t="shared" si="5"/>
        <v>0</v>
      </c>
      <c r="Q18" s="82">
        <v>1</v>
      </c>
      <c r="R18" s="85">
        <v>0.05952222155912449</v>
      </c>
      <c r="S18" s="85">
        <f t="shared" si="6"/>
        <v>0.029761110779562245</v>
      </c>
      <c r="T18" s="85">
        <f t="shared" si="7"/>
        <v>0</v>
      </c>
      <c r="U18" s="82"/>
      <c r="V18" s="85"/>
      <c r="W18" s="82"/>
      <c r="X18" s="85"/>
      <c r="Y18" s="82"/>
      <c r="Z18" s="85"/>
      <c r="AA18" s="82"/>
      <c r="AB18" s="85"/>
      <c r="AC18" s="82"/>
      <c r="AD18" s="86"/>
      <c r="AE18" s="82"/>
      <c r="AF18" s="86"/>
      <c r="AG18" s="82"/>
      <c r="AH18" s="86"/>
      <c r="AI18" s="82"/>
      <c r="AJ18" s="86"/>
      <c r="AK18" s="82"/>
      <c r="AL18" s="86"/>
      <c r="AM18" s="82"/>
      <c r="AN18" s="86"/>
      <c r="AO18" s="82"/>
      <c r="AP18" s="86"/>
      <c r="AQ18" s="82"/>
      <c r="AR18" s="86"/>
    </row>
    <row r="19" spans="1:44" s="81" customFormat="1" ht="12.75">
      <c r="A19" s="81" t="s">
        <v>164</v>
      </c>
      <c r="B19" s="81">
        <v>15</v>
      </c>
      <c r="C19" s="81" t="s">
        <v>199</v>
      </c>
      <c r="D19" s="84">
        <v>0.001</v>
      </c>
      <c r="E19" s="82"/>
      <c r="F19" s="85">
        <v>0.3194677519864921</v>
      </c>
      <c r="G19" s="85">
        <f t="shared" si="0"/>
        <v>0.3194677519864921</v>
      </c>
      <c r="H19" s="85">
        <f t="shared" si="1"/>
        <v>0.0003194677519864921</v>
      </c>
      <c r="I19" s="82">
        <v>2</v>
      </c>
      <c r="J19" s="85">
        <v>0.18426335956680356</v>
      </c>
      <c r="K19" s="85">
        <f t="shared" si="2"/>
        <v>0.18426335956680356</v>
      </c>
      <c r="L19" s="85">
        <f t="shared" si="3"/>
        <v>0.00018426335956680357</v>
      </c>
      <c r="M19" s="82">
        <v>1</v>
      </c>
      <c r="N19" s="85">
        <v>0.18699248208493208</v>
      </c>
      <c r="O19" s="85">
        <f t="shared" si="4"/>
        <v>0.09349624104246604</v>
      </c>
      <c r="P19" s="85">
        <f t="shared" si="5"/>
        <v>9.349624104246604E-05</v>
      </c>
      <c r="Q19" s="82">
        <v>1</v>
      </c>
      <c r="R19" s="85">
        <v>0.11904444311824898</v>
      </c>
      <c r="S19" s="85">
        <f t="shared" si="6"/>
        <v>0.05952222155912449</v>
      </c>
      <c r="T19" s="85">
        <f t="shared" si="7"/>
        <v>5.952222155912449E-05</v>
      </c>
      <c r="U19" s="82"/>
      <c r="V19" s="85"/>
      <c r="W19" s="82"/>
      <c r="X19" s="85"/>
      <c r="Y19" s="82"/>
      <c r="Z19" s="85"/>
      <c r="AA19" s="82"/>
      <c r="AB19" s="85"/>
      <c r="AC19" s="82"/>
      <c r="AD19" s="86"/>
      <c r="AE19" s="82"/>
      <c r="AF19" s="86"/>
      <c r="AG19" s="82"/>
      <c r="AH19" s="86"/>
      <c r="AI19" s="82"/>
      <c r="AJ19" s="86"/>
      <c r="AK19" s="82"/>
      <c r="AL19" s="86"/>
      <c r="AM19" s="82"/>
      <c r="AN19" s="86"/>
      <c r="AO19" s="82"/>
      <c r="AP19" s="86"/>
      <c r="AQ19" s="82"/>
      <c r="AR19" s="86"/>
    </row>
    <row r="20" spans="1:44" s="81" customFormat="1" ht="12.75">
      <c r="A20" s="81" t="s">
        <v>164</v>
      </c>
      <c r="B20" s="81">
        <v>16</v>
      </c>
      <c r="C20" s="81" t="s">
        <v>200</v>
      </c>
      <c r="D20" s="84">
        <v>0.1</v>
      </c>
      <c r="E20" s="82">
        <v>1</v>
      </c>
      <c r="F20" s="85">
        <v>0.012778710079459684</v>
      </c>
      <c r="G20" s="85">
        <f t="shared" si="0"/>
        <v>0.006389355039729842</v>
      </c>
      <c r="H20" s="85">
        <f t="shared" si="1"/>
        <v>0.0006389355039729842</v>
      </c>
      <c r="I20" s="82">
        <v>1</v>
      </c>
      <c r="J20" s="85">
        <v>0.011339283665649449</v>
      </c>
      <c r="K20" s="85">
        <f t="shared" si="2"/>
        <v>0.0056696418328247246</v>
      </c>
      <c r="L20" s="85">
        <f t="shared" si="3"/>
        <v>0.0005669641832824725</v>
      </c>
      <c r="M20" s="82">
        <v>2</v>
      </c>
      <c r="N20" s="85">
        <v>0.012466165472328806</v>
      </c>
      <c r="O20" s="85">
        <f t="shared" si="4"/>
        <v>0.012466165472328806</v>
      </c>
      <c r="P20" s="85">
        <f t="shared" si="5"/>
        <v>0.0012466165472328806</v>
      </c>
      <c r="Q20" s="82">
        <v>1</v>
      </c>
      <c r="R20" s="85">
        <v>0.011904444311824898</v>
      </c>
      <c r="S20" s="85">
        <f t="shared" si="6"/>
        <v>0.005952222155912449</v>
      </c>
      <c r="T20" s="85">
        <f t="shared" si="7"/>
        <v>0.0005952222155912449</v>
      </c>
      <c r="U20" s="82"/>
      <c r="V20" s="85"/>
      <c r="W20" s="82"/>
      <c r="X20" s="85"/>
      <c r="Y20" s="82"/>
      <c r="Z20" s="85"/>
      <c r="AA20" s="82"/>
      <c r="AB20" s="85"/>
      <c r="AC20" s="82"/>
      <c r="AD20" s="86"/>
      <c r="AE20" s="82"/>
      <c r="AF20" s="86"/>
      <c r="AG20" s="82"/>
      <c r="AH20" s="86"/>
      <c r="AI20" s="82"/>
      <c r="AJ20" s="86"/>
      <c r="AK20" s="82"/>
      <c r="AL20" s="86"/>
      <c r="AM20" s="82"/>
      <c r="AN20" s="86"/>
      <c r="AO20" s="82"/>
      <c r="AP20" s="86"/>
      <c r="AQ20" s="82"/>
      <c r="AR20" s="86"/>
    </row>
    <row r="21" spans="1:44" s="81" customFormat="1" ht="12.75">
      <c r="A21" s="81" t="s">
        <v>164</v>
      </c>
      <c r="B21" s="81">
        <v>17</v>
      </c>
      <c r="C21" s="81" t="s">
        <v>201</v>
      </c>
      <c r="D21" s="84">
        <v>0</v>
      </c>
      <c r="E21" s="82"/>
      <c r="F21" s="85">
        <v>0.012778710079459684</v>
      </c>
      <c r="G21" s="85">
        <f t="shared" si="0"/>
        <v>0.012778710079459684</v>
      </c>
      <c r="H21" s="85">
        <f t="shared" si="1"/>
        <v>0</v>
      </c>
      <c r="I21" s="82"/>
      <c r="J21" s="85">
        <v>0</v>
      </c>
      <c r="K21" s="85">
        <f t="shared" si="2"/>
        <v>0</v>
      </c>
      <c r="L21" s="85">
        <f t="shared" si="3"/>
        <v>0</v>
      </c>
      <c r="M21" s="82"/>
      <c r="N21" s="85">
        <v>0</v>
      </c>
      <c r="O21" s="85">
        <f t="shared" si="4"/>
        <v>0</v>
      </c>
      <c r="P21" s="85">
        <f t="shared" si="5"/>
        <v>0</v>
      </c>
      <c r="Q21" s="82"/>
      <c r="R21" s="85">
        <v>0</v>
      </c>
      <c r="S21" s="85">
        <f t="shared" si="6"/>
        <v>0</v>
      </c>
      <c r="T21" s="85">
        <f t="shared" si="7"/>
        <v>0</v>
      </c>
      <c r="U21" s="82"/>
      <c r="V21" s="85"/>
      <c r="W21" s="82"/>
      <c r="X21" s="85"/>
      <c r="Y21" s="82"/>
      <c r="Z21" s="85"/>
      <c r="AA21" s="82"/>
      <c r="AB21" s="85"/>
      <c r="AC21" s="82"/>
      <c r="AD21" s="86"/>
      <c r="AE21" s="82"/>
      <c r="AF21" s="86"/>
      <c r="AG21" s="82"/>
      <c r="AH21" s="86"/>
      <c r="AI21" s="82"/>
      <c r="AJ21" s="86"/>
      <c r="AK21" s="82"/>
      <c r="AL21" s="86"/>
      <c r="AM21" s="82"/>
      <c r="AN21" s="86"/>
      <c r="AO21" s="82"/>
      <c r="AP21" s="86"/>
      <c r="AQ21" s="82"/>
      <c r="AR21" s="86"/>
    </row>
    <row r="22" spans="1:44" s="81" customFormat="1" ht="12.75">
      <c r="A22" s="81" t="s">
        <v>164</v>
      </c>
      <c r="B22" s="81">
        <v>18</v>
      </c>
      <c r="C22" s="81" t="s">
        <v>202</v>
      </c>
      <c r="D22" s="84">
        <v>0</v>
      </c>
      <c r="E22" s="82">
        <v>2</v>
      </c>
      <c r="F22" s="85">
        <v>0.025557420158919368</v>
      </c>
      <c r="G22" s="85">
        <f t="shared" si="0"/>
        <v>0.025557420158919368</v>
      </c>
      <c r="H22" s="85">
        <f t="shared" si="1"/>
        <v>0</v>
      </c>
      <c r="I22" s="82">
        <v>1</v>
      </c>
      <c r="J22" s="85">
        <v>0.011339283665649449</v>
      </c>
      <c r="K22" s="85">
        <f t="shared" si="2"/>
        <v>0.0056696418328247246</v>
      </c>
      <c r="L22" s="85">
        <f t="shared" si="3"/>
        <v>0</v>
      </c>
      <c r="M22" s="82">
        <v>2</v>
      </c>
      <c r="N22" s="85">
        <v>0.012466165472328806</v>
      </c>
      <c r="O22" s="85">
        <f t="shared" si="4"/>
        <v>0.012466165472328806</v>
      </c>
      <c r="P22" s="85">
        <f t="shared" si="5"/>
        <v>0</v>
      </c>
      <c r="Q22" s="82">
        <v>1</v>
      </c>
      <c r="R22" s="85">
        <v>0.011904444311824898</v>
      </c>
      <c r="S22" s="85">
        <f t="shared" si="6"/>
        <v>0.005952222155912449</v>
      </c>
      <c r="T22" s="85">
        <f t="shared" si="7"/>
        <v>0</v>
      </c>
      <c r="U22" s="82"/>
      <c r="V22" s="85"/>
      <c r="W22" s="82"/>
      <c r="X22" s="85"/>
      <c r="Y22" s="82"/>
      <c r="Z22" s="85"/>
      <c r="AA22" s="82"/>
      <c r="AB22" s="85"/>
      <c r="AC22" s="82"/>
      <c r="AD22" s="86"/>
      <c r="AE22" s="82"/>
      <c r="AF22" s="86"/>
      <c r="AG22" s="82"/>
      <c r="AH22" s="86"/>
      <c r="AI22" s="82"/>
      <c r="AJ22" s="86"/>
      <c r="AK22" s="82"/>
      <c r="AL22" s="86"/>
      <c r="AM22" s="82"/>
      <c r="AN22" s="86"/>
      <c r="AO22" s="82"/>
      <c r="AP22" s="86"/>
      <c r="AQ22" s="82"/>
      <c r="AR22" s="86"/>
    </row>
    <row r="23" spans="1:44" s="81" customFormat="1" ht="12.75">
      <c r="A23" s="81" t="s">
        <v>164</v>
      </c>
      <c r="B23" s="81">
        <v>19</v>
      </c>
      <c r="C23" s="81" t="s">
        <v>203</v>
      </c>
      <c r="D23" s="84">
        <v>0.05</v>
      </c>
      <c r="E23" s="82">
        <v>1</v>
      </c>
      <c r="F23" s="85">
        <v>0.06389355039729842</v>
      </c>
      <c r="G23" s="85">
        <f t="shared" si="0"/>
        <v>0.03194677519864921</v>
      </c>
      <c r="H23" s="85">
        <f t="shared" si="1"/>
        <v>0.0015973387599324607</v>
      </c>
      <c r="I23" s="82">
        <v>1</v>
      </c>
      <c r="J23" s="85">
        <v>0.05669641832824726</v>
      </c>
      <c r="K23" s="85">
        <f t="shared" si="2"/>
        <v>0.02834820916412363</v>
      </c>
      <c r="L23" s="85">
        <f t="shared" si="3"/>
        <v>0.0014174104582061816</v>
      </c>
      <c r="M23" s="82">
        <v>1</v>
      </c>
      <c r="N23" s="85">
        <v>0.062330827361644</v>
      </c>
      <c r="O23" s="85">
        <f t="shared" si="4"/>
        <v>0.031165413680822</v>
      </c>
      <c r="P23" s="85">
        <f t="shared" si="5"/>
        <v>0.0015582706840411</v>
      </c>
      <c r="Q23" s="82">
        <v>1</v>
      </c>
      <c r="R23" s="85">
        <v>0.05952222155912449</v>
      </c>
      <c r="S23" s="85">
        <f t="shared" si="6"/>
        <v>0.029761110779562245</v>
      </c>
      <c r="T23" s="85">
        <f t="shared" si="7"/>
        <v>0.0014880555389781124</v>
      </c>
      <c r="U23" s="82"/>
      <c r="V23" s="85"/>
      <c r="W23" s="82"/>
      <c r="X23" s="85"/>
      <c r="Y23" s="82"/>
      <c r="Z23" s="85"/>
      <c r="AA23" s="82"/>
      <c r="AB23" s="85"/>
      <c r="AC23" s="82"/>
      <c r="AD23" s="86"/>
      <c r="AE23" s="82"/>
      <c r="AF23" s="86"/>
      <c r="AG23" s="82"/>
      <c r="AH23" s="86"/>
      <c r="AI23" s="82"/>
      <c r="AJ23" s="86"/>
      <c r="AK23" s="82"/>
      <c r="AL23" s="86"/>
      <c r="AM23" s="82"/>
      <c r="AN23" s="86"/>
      <c r="AO23" s="82"/>
      <c r="AP23" s="86"/>
      <c r="AQ23" s="82"/>
      <c r="AR23" s="86"/>
    </row>
    <row r="24" spans="1:44" s="81" customFormat="1" ht="12.75">
      <c r="A24" s="81" t="s">
        <v>164</v>
      </c>
      <c r="B24" s="81">
        <v>20</v>
      </c>
      <c r="C24" s="81" t="s">
        <v>204</v>
      </c>
      <c r="D24" s="84">
        <v>0.5</v>
      </c>
      <c r="E24" s="82">
        <v>2</v>
      </c>
      <c r="F24" s="85">
        <v>0.079866937996623</v>
      </c>
      <c r="G24" s="85">
        <f t="shared" si="0"/>
        <v>0.079866937996623</v>
      </c>
      <c r="H24" s="85">
        <f t="shared" si="1"/>
        <v>0.0399334689983115</v>
      </c>
      <c r="I24" s="82">
        <v>1</v>
      </c>
      <c r="J24" s="85">
        <v>0.05669641832824726</v>
      </c>
      <c r="K24" s="85">
        <f t="shared" si="2"/>
        <v>0.02834820916412363</v>
      </c>
      <c r="L24" s="85">
        <f t="shared" si="3"/>
        <v>0.014174104582061815</v>
      </c>
      <c r="M24" s="82">
        <v>1</v>
      </c>
      <c r="N24" s="85">
        <v>0.062330827361644</v>
      </c>
      <c r="O24" s="85">
        <f t="shared" si="4"/>
        <v>0.031165413680822</v>
      </c>
      <c r="P24" s="85">
        <f t="shared" si="5"/>
        <v>0.015582706840411</v>
      </c>
      <c r="Q24" s="82">
        <v>1</v>
      </c>
      <c r="R24" s="85">
        <v>0.05952222155912449</v>
      </c>
      <c r="S24" s="85">
        <f t="shared" si="6"/>
        <v>0.029761110779562245</v>
      </c>
      <c r="T24" s="85">
        <f t="shared" si="7"/>
        <v>0.014880555389781122</v>
      </c>
      <c r="U24" s="82"/>
      <c r="V24" s="85"/>
      <c r="W24" s="82"/>
      <c r="X24" s="85"/>
      <c r="Y24" s="82"/>
      <c r="Z24" s="85"/>
      <c r="AA24" s="82"/>
      <c r="AB24" s="85"/>
      <c r="AC24" s="82"/>
      <c r="AD24" s="86"/>
      <c r="AE24" s="82"/>
      <c r="AF24" s="86"/>
      <c r="AG24" s="82"/>
      <c r="AH24" s="86"/>
      <c r="AI24" s="82"/>
      <c r="AJ24" s="86"/>
      <c r="AK24" s="82"/>
      <c r="AL24" s="86"/>
      <c r="AM24" s="82"/>
      <c r="AN24" s="86"/>
      <c r="AO24" s="82"/>
      <c r="AP24" s="86"/>
      <c r="AQ24" s="82"/>
      <c r="AR24" s="86"/>
    </row>
    <row r="25" spans="1:44" s="81" customFormat="1" ht="12.75">
      <c r="A25" s="81" t="s">
        <v>164</v>
      </c>
      <c r="B25" s="81">
        <v>21</v>
      </c>
      <c r="C25" s="81" t="s">
        <v>205</v>
      </c>
      <c r="D25" s="84">
        <v>0</v>
      </c>
      <c r="E25" s="82"/>
      <c r="F25" s="85">
        <v>0.1341764558343267</v>
      </c>
      <c r="G25" s="85">
        <f t="shared" si="0"/>
        <v>0.1341764558343267</v>
      </c>
      <c r="H25" s="85">
        <f t="shared" si="1"/>
        <v>0</v>
      </c>
      <c r="I25" s="82"/>
      <c r="J25" s="85">
        <v>-0.05669641832824726</v>
      </c>
      <c r="K25" s="85">
        <f t="shared" si="2"/>
        <v>-0.05669641832824726</v>
      </c>
      <c r="L25" s="85">
        <f t="shared" si="3"/>
        <v>0</v>
      </c>
      <c r="M25" s="82"/>
      <c r="N25" s="85">
        <v>-0.062330827361644</v>
      </c>
      <c r="O25" s="85">
        <f t="shared" si="4"/>
        <v>-0.062330827361644</v>
      </c>
      <c r="P25" s="85">
        <f t="shared" si="5"/>
        <v>0</v>
      </c>
      <c r="Q25" s="82"/>
      <c r="R25" s="85">
        <v>-0.05952222155912449</v>
      </c>
      <c r="S25" s="85">
        <f t="shared" si="6"/>
        <v>-0.05952222155912449</v>
      </c>
      <c r="T25" s="85">
        <f t="shared" si="7"/>
        <v>0</v>
      </c>
      <c r="U25" s="82"/>
      <c r="V25" s="85"/>
      <c r="W25" s="82"/>
      <c r="X25" s="85"/>
      <c r="Y25" s="82"/>
      <c r="Z25" s="85"/>
      <c r="AA25" s="82"/>
      <c r="AB25" s="85"/>
      <c r="AC25" s="82"/>
      <c r="AD25" s="86"/>
      <c r="AE25" s="82"/>
      <c r="AF25" s="86"/>
      <c r="AG25" s="82"/>
      <c r="AH25" s="86"/>
      <c r="AI25" s="82"/>
      <c r="AJ25" s="86"/>
      <c r="AK25" s="82"/>
      <c r="AL25" s="86"/>
      <c r="AM25" s="82"/>
      <c r="AN25" s="86"/>
      <c r="AO25" s="82"/>
      <c r="AP25" s="86"/>
      <c r="AQ25" s="82"/>
      <c r="AR25" s="86"/>
    </row>
    <row r="26" spans="1:44" s="81" customFormat="1" ht="12.75">
      <c r="A26" s="81" t="s">
        <v>164</v>
      </c>
      <c r="B26" s="81">
        <v>22</v>
      </c>
      <c r="C26" s="81" t="s">
        <v>206</v>
      </c>
      <c r="D26" s="84">
        <v>0</v>
      </c>
      <c r="E26" s="82">
        <v>2</v>
      </c>
      <c r="F26" s="85">
        <v>0.27793694422824816</v>
      </c>
      <c r="G26" s="85">
        <f t="shared" si="0"/>
        <v>0.27793694422824816</v>
      </c>
      <c r="H26" s="85">
        <f t="shared" si="1"/>
        <v>0</v>
      </c>
      <c r="I26" s="82">
        <v>2</v>
      </c>
      <c r="J26" s="85">
        <v>0.05669641832824726</v>
      </c>
      <c r="K26" s="85">
        <f t="shared" si="2"/>
        <v>0.05669641832824726</v>
      </c>
      <c r="L26" s="85">
        <f t="shared" si="3"/>
        <v>0</v>
      </c>
      <c r="M26" s="82">
        <v>1</v>
      </c>
      <c r="N26" s="85">
        <v>0.062330827361644</v>
      </c>
      <c r="O26" s="85">
        <f t="shared" si="4"/>
        <v>0.031165413680822</v>
      </c>
      <c r="P26" s="85">
        <f t="shared" si="5"/>
        <v>0</v>
      </c>
      <c r="Q26" s="82">
        <v>1</v>
      </c>
      <c r="R26" s="85">
        <v>0.05952222155912449</v>
      </c>
      <c r="S26" s="85">
        <f t="shared" si="6"/>
        <v>0.029761110779562245</v>
      </c>
      <c r="T26" s="85">
        <f t="shared" si="7"/>
        <v>0</v>
      </c>
      <c r="U26" s="82"/>
      <c r="V26" s="85"/>
      <c r="W26" s="82"/>
      <c r="X26" s="85"/>
      <c r="Y26" s="82"/>
      <c r="Z26" s="85"/>
      <c r="AA26" s="82"/>
      <c r="AB26" s="85"/>
      <c r="AC26" s="82"/>
      <c r="AD26" s="86"/>
      <c r="AE26" s="82"/>
      <c r="AF26" s="86"/>
      <c r="AG26" s="82"/>
      <c r="AH26" s="86"/>
      <c r="AI26" s="82"/>
      <c r="AJ26" s="86"/>
      <c r="AK26" s="82"/>
      <c r="AL26" s="86"/>
      <c r="AM26" s="82"/>
      <c r="AN26" s="86"/>
      <c r="AO26" s="82"/>
      <c r="AP26" s="86"/>
      <c r="AQ26" s="82"/>
      <c r="AR26" s="86"/>
    </row>
    <row r="27" spans="1:44" s="81" customFormat="1" ht="12.75">
      <c r="A27" s="81" t="s">
        <v>164</v>
      </c>
      <c r="B27" s="81">
        <v>23</v>
      </c>
      <c r="C27" s="81" t="s">
        <v>207</v>
      </c>
      <c r="D27" s="84">
        <v>0.1</v>
      </c>
      <c r="E27" s="82">
        <v>2</v>
      </c>
      <c r="F27" s="85">
        <v>0.07667226047675811</v>
      </c>
      <c r="G27" s="85">
        <f t="shared" si="0"/>
        <v>0.07667226047675811</v>
      </c>
      <c r="H27" s="85">
        <f t="shared" si="1"/>
        <v>0.007667226047675811</v>
      </c>
      <c r="I27" s="82">
        <v>1</v>
      </c>
      <c r="J27" s="85">
        <v>0.05669641832824726</v>
      </c>
      <c r="K27" s="85">
        <f t="shared" si="2"/>
        <v>0.02834820916412363</v>
      </c>
      <c r="L27" s="85">
        <f t="shared" si="3"/>
        <v>0.002834820916412363</v>
      </c>
      <c r="M27" s="82">
        <v>1</v>
      </c>
      <c r="N27" s="85">
        <v>0.062330827361644</v>
      </c>
      <c r="O27" s="85">
        <f t="shared" si="4"/>
        <v>0.031165413680822</v>
      </c>
      <c r="P27" s="85">
        <f t="shared" si="5"/>
        <v>0.0031165413680822</v>
      </c>
      <c r="Q27" s="82">
        <v>1</v>
      </c>
      <c r="R27" s="85">
        <v>0.05952222155912449</v>
      </c>
      <c r="S27" s="85">
        <f t="shared" si="6"/>
        <v>0.029761110779562245</v>
      </c>
      <c r="T27" s="85">
        <f t="shared" si="7"/>
        <v>0.002976111077956225</v>
      </c>
      <c r="U27" s="82"/>
      <c r="V27" s="85"/>
      <c r="W27" s="82"/>
      <c r="X27" s="85"/>
      <c r="Y27" s="82"/>
      <c r="Z27" s="85"/>
      <c r="AA27" s="82"/>
      <c r="AB27" s="85"/>
      <c r="AC27" s="82"/>
      <c r="AD27" s="86"/>
      <c r="AE27" s="82"/>
      <c r="AF27" s="86"/>
      <c r="AG27" s="82"/>
      <c r="AH27" s="86"/>
      <c r="AI27" s="82"/>
      <c r="AJ27" s="86"/>
      <c r="AK27" s="82"/>
      <c r="AL27" s="86"/>
      <c r="AM27" s="82"/>
      <c r="AN27" s="86"/>
      <c r="AO27" s="82"/>
      <c r="AP27" s="86"/>
      <c r="AQ27" s="82"/>
      <c r="AR27" s="86"/>
    </row>
    <row r="28" spans="1:44" s="81" customFormat="1" ht="12.75">
      <c r="A28" s="81" t="s">
        <v>164</v>
      </c>
      <c r="B28" s="81">
        <v>24</v>
      </c>
      <c r="C28" s="81" t="s">
        <v>208</v>
      </c>
      <c r="D28" s="84">
        <v>0.1</v>
      </c>
      <c r="E28" s="82">
        <v>1</v>
      </c>
      <c r="F28" s="85">
        <v>0.06389355039729842</v>
      </c>
      <c r="G28" s="85">
        <f t="shared" si="0"/>
        <v>0.03194677519864921</v>
      </c>
      <c r="H28" s="85">
        <f t="shared" si="1"/>
        <v>0.0031946775198649214</v>
      </c>
      <c r="I28" s="82">
        <v>1</v>
      </c>
      <c r="J28" s="85">
        <v>0.05669641832824726</v>
      </c>
      <c r="K28" s="85">
        <f t="shared" si="2"/>
        <v>0.02834820916412363</v>
      </c>
      <c r="L28" s="85">
        <f t="shared" si="3"/>
        <v>0.002834820916412363</v>
      </c>
      <c r="M28" s="82">
        <v>1</v>
      </c>
      <c r="N28" s="85">
        <v>0.062330827361644</v>
      </c>
      <c r="O28" s="85">
        <f t="shared" si="4"/>
        <v>0.031165413680822</v>
      </c>
      <c r="P28" s="85">
        <f t="shared" si="5"/>
        <v>0.0031165413680822</v>
      </c>
      <c r="Q28" s="82">
        <v>1</v>
      </c>
      <c r="R28" s="85">
        <v>0.05952222155912449</v>
      </c>
      <c r="S28" s="85">
        <f t="shared" si="6"/>
        <v>0.029761110779562245</v>
      </c>
      <c r="T28" s="85">
        <f t="shared" si="7"/>
        <v>0.002976111077956225</v>
      </c>
      <c r="U28" s="82"/>
      <c r="V28" s="85"/>
      <c r="W28" s="82"/>
      <c r="X28" s="85"/>
      <c r="Y28" s="82"/>
      <c r="Z28" s="85"/>
      <c r="AA28" s="82"/>
      <c r="AB28" s="85"/>
      <c r="AC28" s="82"/>
      <c r="AD28" s="86"/>
      <c r="AE28" s="82"/>
      <c r="AF28" s="86"/>
      <c r="AG28" s="82"/>
      <c r="AH28" s="86"/>
      <c r="AI28" s="82"/>
      <c r="AJ28" s="86"/>
      <c r="AK28" s="82"/>
      <c r="AL28" s="86"/>
      <c r="AM28" s="82"/>
      <c r="AN28" s="86"/>
      <c r="AO28" s="82"/>
      <c r="AP28" s="86"/>
      <c r="AQ28" s="82"/>
      <c r="AR28" s="86"/>
    </row>
    <row r="29" spans="1:44" s="81" customFormat="1" ht="12.75">
      <c r="A29" s="81" t="s">
        <v>164</v>
      </c>
      <c r="B29" s="81">
        <v>25</v>
      </c>
      <c r="C29" s="81" t="s">
        <v>209</v>
      </c>
      <c r="D29" s="84">
        <v>0.1</v>
      </c>
      <c r="E29" s="82">
        <v>1</v>
      </c>
      <c r="F29" s="85">
        <v>0.06389355039729842</v>
      </c>
      <c r="G29" s="85">
        <f t="shared" si="0"/>
        <v>0.03194677519864921</v>
      </c>
      <c r="H29" s="85">
        <f t="shared" si="1"/>
        <v>0.0031946775198649214</v>
      </c>
      <c r="I29" s="82">
        <v>1</v>
      </c>
      <c r="J29" s="85">
        <v>0.05669641832824726</v>
      </c>
      <c r="K29" s="85">
        <f t="shared" si="2"/>
        <v>0.02834820916412363</v>
      </c>
      <c r="L29" s="85">
        <f t="shared" si="3"/>
        <v>0.002834820916412363</v>
      </c>
      <c r="M29" s="82">
        <v>1</v>
      </c>
      <c r="N29" s="85">
        <v>0.062330827361644</v>
      </c>
      <c r="O29" s="85">
        <f t="shared" si="4"/>
        <v>0.031165413680822</v>
      </c>
      <c r="P29" s="85">
        <f t="shared" si="5"/>
        <v>0.0031165413680822</v>
      </c>
      <c r="Q29" s="82">
        <v>1</v>
      </c>
      <c r="R29" s="85">
        <v>0.05952222155912449</v>
      </c>
      <c r="S29" s="85">
        <f t="shared" si="6"/>
        <v>0.029761110779562245</v>
      </c>
      <c r="T29" s="85">
        <f t="shared" si="7"/>
        <v>0.002976111077956225</v>
      </c>
      <c r="U29" s="82"/>
      <c r="V29" s="85"/>
      <c r="W29" s="82"/>
      <c r="X29" s="85"/>
      <c r="Y29" s="82"/>
      <c r="Z29" s="85"/>
      <c r="AA29" s="82"/>
      <c r="AB29" s="85"/>
      <c r="AC29" s="82"/>
      <c r="AD29" s="86"/>
      <c r="AE29" s="82"/>
      <c r="AF29" s="86"/>
      <c r="AG29" s="82"/>
      <c r="AH29" s="86"/>
      <c r="AI29" s="82"/>
      <c r="AJ29" s="86"/>
      <c r="AK29" s="82"/>
      <c r="AL29" s="86"/>
      <c r="AM29" s="82"/>
      <c r="AN29" s="86"/>
      <c r="AO29" s="82"/>
      <c r="AP29" s="86"/>
      <c r="AQ29" s="82"/>
      <c r="AR29" s="86"/>
    </row>
    <row r="30" spans="1:44" s="81" customFormat="1" ht="12.75">
      <c r="A30" s="81" t="s">
        <v>164</v>
      </c>
      <c r="B30" s="81">
        <v>26</v>
      </c>
      <c r="C30" s="81" t="s">
        <v>210</v>
      </c>
      <c r="D30" s="84">
        <v>0.1</v>
      </c>
      <c r="E30" s="82">
        <v>2</v>
      </c>
      <c r="F30" s="85">
        <v>0.0894509705562178</v>
      </c>
      <c r="G30" s="85">
        <f t="shared" si="0"/>
        <v>0.0894509705562178</v>
      </c>
      <c r="H30" s="85">
        <f t="shared" si="1"/>
        <v>0.00894509705562178</v>
      </c>
      <c r="I30" s="82">
        <v>1</v>
      </c>
      <c r="J30" s="85">
        <v>0.05669641832824726</v>
      </c>
      <c r="K30" s="85">
        <f t="shared" si="2"/>
        <v>0.02834820916412363</v>
      </c>
      <c r="L30" s="85">
        <f t="shared" si="3"/>
        <v>0.002834820916412363</v>
      </c>
      <c r="M30" s="82">
        <v>1</v>
      </c>
      <c r="N30" s="85">
        <v>0.062330827361644</v>
      </c>
      <c r="O30" s="85">
        <f t="shared" si="4"/>
        <v>0.031165413680822</v>
      </c>
      <c r="P30" s="85">
        <f t="shared" si="5"/>
        <v>0.0031165413680822</v>
      </c>
      <c r="Q30" s="82">
        <v>1</v>
      </c>
      <c r="R30" s="85">
        <v>0.05952222155912449</v>
      </c>
      <c r="S30" s="85">
        <f t="shared" si="6"/>
        <v>0.029761110779562245</v>
      </c>
      <c r="T30" s="85">
        <f t="shared" si="7"/>
        <v>0.002976111077956225</v>
      </c>
      <c r="U30" s="82"/>
      <c r="V30" s="85"/>
      <c r="W30" s="82"/>
      <c r="X30" s="85"/>
      <c r="Y30" s="82"/>
      <c r="Z30" s="85"/>
      <c r="AA30" s="82"/>
      <c r="AB30" s="85"/>
      <c r="AC30" s="82"/>
      <c r="AD30" s="86"/>
      <c r="AE30" s="82"/>
      <c r="AF30" s="86"/>
      <c r="AG30" s="82"/>
      <c r="AH30" s="86"/>
      <c r="AI30" s="82"/>
      <c r="AJ30" s="86"/>
      <c r="AK30" s="82"/>
      <c r="AL30" s="86"/>
      <c r="AM30" s="82"/>
      <c r="AN30" s="86"/>
      <c r="AO30" s="82"/>
      <c r="AP30" s="86"/>
      <c r="AQ30" s="82"/>
      <c r="AR30" s="86"/>
    </row>
    <row r="31" spans="1:44" s="81" customFormat="1" ht="12.75">
      <c r="A31" s="81" t="s">
        <v>164</v>
      </c>
      <c r="B31" s="81">
        <v>27</v>
      </c>
      <c r="C31" s="81" t="s">
        <v>211</v>
      </c>
      <c r="D31" s="84">
        <v>0</v>
      </c>
      <c r="E31" s="82"/>
      <c r="F31" s="85">
        <v>0.05430951783770356</v>
      </c>
      <c r="G31" s="85">
        <f t="shared" si="0"/>
        <v>0.05430951783770356</v>
      </c>
      <c r="H31" s="85">
        <f t="shared" si="1"/>
        <v>0</v>
      </c>
      <c r="I31" s="82"/>
      <c r="J31" s="85">
        <v>-0.1530803294862676</v>
      </c>
      <c r="K31" s="85">
        <f t="shared" si="2"/>
        <v>-0.1530803294862676</v>
      </c>
      <c r="L31" s="85">
        <f t="shared" si="3"/>
        <v>0</v>
      </c>
      <c r="M31" s="82"/>
      <c r="N31" s="85">
        <v>-0.1869924820849321</v>
      </c>
      <c r="O31" s="85">
        <f t="shared" si="4"/>
        <v>-0.1869924820849321</v>
      </c>
      <c r="P31" s="85">
        <f t="shared" si="5"/>
        <v>0</v>
      </c>
      <c r="Q31" s="82"/>
      <c r="R31" s="85">
        <v>-0.17856666467737348</v>
      </c>
      <c r="S31" s="85">
        <f t="shared" si="6"/>
        <v>-0.17856666467737348</v>
      </c>
      <c r="T31" s="85">
        <f t="shared" si="7"/>
        <v>0</v>
      </c>
      <c r="U31" s="82"/>
      <c r="V31" s="85"/>
      <c r="W31" s="82"/>
      <c r="X31" s="85"/>
      <c r="Y31" s="82"/>
      <c r="Z31" s="85"/>
      <c r="AA31" s="82"/>
      <c r="AB31" s="85"/>
      <c r="AC31" s="82"/>
      <c r="AD31" s="86"/>
      <c r="AE31" s="82"/>
      <c r="AF31" s="86"/>
      <c r="AG31" s="82"/>
      <c r="AH31" s="86"/>
      <c r="AI31" s="82"/>
      <c r="AJ31" s="86"/>
      <c r="AK31" s="82"/>
      <c r="AL31" s="86"/>
      <c r="AM31" s="82"/>
      <c r="AN31" s="86"/>
      <c r="AO31" s="82"/>
      <c r="AP31" s="86"/>
      <c r="AQ31" s="82"/>
      <c r="AR31" s="86"/>
    </row>
    <row r="32" spans="1:44" s="81" customFormat="1" ht="12.75">
      <c r="A32" s="81" t="s">
        <v>164</v>
      </c>
      <c r="B32" s="81">
        <v>28</v>
      </c>
      <c r="C32" s="81" t="s">
        <v>212</v>
      </c>
      <c r="D32" s="84">
        <v>0</v>
      </c>
      <c r="E32" s="82">
        <v>2</v>
      </c>
      <c r="F32" s="85">
        <v>0.34821984966527636</v>
      </c>
      <c r="G32" s="85">
        <f t="shared" si="0"/>
        <v>0.34821984966527636</v>
      </c>
      <c r="H32" s="85">
        <f t="shared" si="1"/>
        <v>0</v>
      </c>
      <c r="I32" s="82">
        <v>2</v>
      </c>
      <c r="J32" s="85">
        <v>0.07370534382672143</v>
      </c>
      <c r="K32" s="85">
        <f t="shared" si="2"/>
        <v>0.07370534382672143</v>
      </c>
      <c r="L32" s="85">
        <f t="shared" si="3"/>
        <v>0</v>
      </c>
      <c r="M32" s="82">
        <v>1</v>
      </c>
      <c r="N32" s="85">
        <v>0.062330827361644</v>
      </c>
      <c r="O32" s="85">
        <f t="shared" si="4"/>
        <v>0.031165413680822</v>
      </c>
      <c r="P32" s="85">
        <f t="shared" si="5"/>
        <v>0</v>
      </c>
      <c r="Q32" s="82">
        <v>1</v>
      </c>
      <c r="R32" s="85">
        <v>0.05952222155912449</v>
      </c>
      <c r="S32" s="85">
        <f t="shared" si="6"/>
        <v>0.029761110779562245</v>
      </c>
      <c r="T32" s="85">
        <f t="shared" si="7"/>
        <v>0</v>
      </c>
      <c r="U32" s="82"/>
      <c r="V32" s="85"/>
      <c r="W32" s="82"/>
      <c r="X32" s="85"/>
      <c r="Y32" s="82"/>
      <c r="Z32" s="85"/>
      <c r="AA32" s="82"/>
      <c r="AB32" s="85"/>
      <c r="AC32" s="82"/>
      <c r="AD32" s="86"/>
      <c r="AE32" s="82"/>
      <c r="AF32" s="86"/>
      <c r="AG32" s="82"/>
      <c r="AH32" s="86"/>
      <c r="AI32" s="82"/>
      <c r="AJ32" s="86"/>
      <c r="AK32" s="82"/>
      <c r="AL32" s="86"/>
      <c r="AM32" s="82"/>
      <c r="AN32" s="86"/>
      <c r="AO32" s="82"/>
      <c r="AP32" s="86"/>
      <c r="AQ32" s="82"/>
      <c r="AR32" s="86"/>
    </row>
    <row r="33" spans="1:44" s="81" customFormat="1" ht="12.75">
      <c r="A33" s="81" t="s">
        <v>164</v>
      </c>
      <c r="B33" s="81">
        <v>29</v>
      </c>
      <c r="C33" s="81" t="s">
        <v>213</v>
      </c>
      <c r="D33" s="84">
        <v>0.01</v>
      </c>
      <c r="E33" s="82">
        <v>1</v>
      </c>
      <c r="F33" s="85">
        <v>0.06389355039729842</v>
      </c>
      <c r="G33" s="85">
        <f t="shared" si="0"/>
        <v>0.03194677519864921</v>
      </c>
      <c r="H33" s="85">
        <f t="shared" si="1"/>
        <v>0.0003194677519864921</v>
      </c>
      <c r="I33" s="82">
        <v>1</v>
      </c>
      <c r="J33" s="85">
        <v>0.05669641832824726</v>
      </c>
      <c r="K33" s="85">
        <f t="shared" si="2"/>
        <v>0.02834820916412363</v>
      </c>
      <c r="L33" s="85">
        <f t="shared" si="3"/>
        <v>0.0002834820916412363</v>
      </c>
      <c r="M33" s="82">
        <v>1</v>
      </c>
      <c r="N33" s="85">
        <v>0.062330827361644</v>
      </c>
      <c r="O33" s="85">
        <f t="shared" si="4"/>
        <v>0.031165413680822</v>
      </c>
      <c r="P33" s="85">
        <f t="shared" si="5"/>
        <v>0.00031165413680822</v>
      </c>
      <c r="Q33" s="82">
        <v>1</v>
      </c>
      <c r="R33" s="85">
        <v>0.05952222155912449</v>
      </c>
      <c r="S33" s="85">
        <f t="shared" si="6"/>
        <v>0.029761110779562245</v>
      </c>
      <c r="T33" s="85">
        <f t="shared" si="7"/>
        <v>0.00029761110779562245</v>
      </c>
      <c r="U33" s="82"/>
      <c r="V33" s="85"/>
      <c r="W33" s="82"/>
      <c r="X33" s="85"/>
      <c r="Y33" s="82"/>
      <c r="Z33" s="85"/>
      <c r="AA33" s="82"/>
      <c r="AB33" s="85"/>
      <c r="AC33" s="82"/>
      <c r="AD33" s="86"/>
      <c r="AE33" s="82"/>
      <c r="AF33" s="86"/>
      <c r="AG33" s="82"/>
      <c r="AH33" s="86"/>
      <c r="AI33" s="82"/>
      <c r="AJ33" s="86"/>
      <c r="AK33" s="82"/>
      <c r="AL33" s="86"/>
      <c r="AM33" s="82"/>
      <c r="AN33" s="86"/>
      <c r="AO33" s="82"/>
      <c r="AP33" s="86"/>
      <c r="AQ33" s="82"/>
      <c r="AR33" s="86"/>
    </row>
    <row r="34" spans="1:44" s="81" customFormat="1" ht="12.75">
      <c r="A34" s="81" t="s">
        <v>164</v>
      </c>
      <c r="B34" s="81">
        <v>30</v>
      </c>
      <c r="C34" s="81" t="s">
        <v>214</v>
      </c>
      <c r="D34" s="84">
        <v>0.01</v>
      </c>
      <c r="E34" s="82">
        <v>2</v>
      </c>
      <c r="F34" s="85">
        <v>0.10861903567540732</v>
      </c>
      <c r="G34" s="85">
        <f t="shared" si="0"/>
        <v>0.10861903567540732</v>
      </c>
      <c r="H34" s="85">
        <f t="shared" si="1"/>
        <v>0.0010861903567540732</v>
      </c>
      <c r="I34" s="82">
        <v>2</v>
      </c>
      <c r="J34" s="85">
        <v>0.09638391115802035</v>
      </c>
      <c r="K34" s="85">
        <f t="shared" si="2"/>
        <v>0.09638391115802035</v>
      </c>
      <c r="L34" s="85">
        <f t="shared" si="3"/>
        <v>0.0009638391115802035</v>
      </c>
      <c r="M34" s="82">
        <v>2</v>
      </c>
      <c r="N34" s="85">
        <v>0.07168045146589062</v>
      </c>
      <c r="O34" s="85">
        <f t="shared" si="4"/>
        <v>0.07168045146589062</v>
      </c>
      <c r="P34" s="85">
        <f t="shared" si="5"/>
        <v>0.0007168045146589062</v>
      </c>
      <c r="Q34" s="82">
        <v>1</v>
      </c>
      <c r="R34" s="85">
        <v>0.05952222155912449</v>
      </c>
      <c r="S34" s="85">
        <f t="shared" si="6"/>
        <v>0.029761110779562245</v>
      </c>
      <c r="T34" s="85">
        <f t="shared" si="7"/>
        <v>0.00029761110779562245</v>
      </c>
      <c r="U34" s="82"/>
      <c r="V34" s="85"/>
      <c r="W34" s="82"/>
      <c r="X34" s="85"/>
      <c r="Y34" s="82"/>
      <c r="Z34" s="85"/>
      <c r="AA34" s="82"/>
      <c r="AB34" s="85"/>
      <c r="AC34" s="82"/>
      <c r="AD34" s="86"/>
      <c r="AE34" s="82"/>
      <c r="AF34" s="86"/>
      <c r="AG34" s="82"/>
      <c r="AH34" s="86"/>
      <c r="AI34" s="82"/>
      <c r="AJ34" s="86"/>
      <c r="AK34" s="82"/>
      <c r="AL34" s="86"/>
      <c r="AM34" s="82"/>
      <c r="AN34" s="86"/>
      <c r="AO34" s="82"/>
      <c r="AP34" s="86"/>
      <c r="AQ34" s="82"/>
      <c r="AR34" s="86"/>
    </row>
    <row r="35" spans="1:44" s="81" customFormat="1" ht="12.75">
      <c r="A35" s="81" t="s">
        <v>164</v>
      </c>
      <c r="B35" s="81">
        <v>31</v>
      </c>
      <c r="C35" s="81" t="s">
        <v>215</v>
      </c>
      <c r="D35" s="84">
        <v>0</v>
      </c>
      <c r="E35" s="82"/>
      <c r="F35" s="85">
        <v>-0.003194677519864922</v>
      </c>
      <c r="G35" s="85">
        <f t="shared" si="0"/>
        <v>-0.003194677519864922</v>
      </c>
      <c r="H35" s="85">
        <f t="shared" si="1"/>
        <v>0</v>
      </c>
      <c r="I35" s="82"/>
      <c r="J35" s="85">
        <v>-0.039687492829773</v>
      </c>
      <c r="K35" s="85">
        <f t="shared" si="2"/>
        <v>-0.039687492829773</v>
      </c>
      <c r="L35" s="85">
        <f t="shared" si="3"/>
        <v>0</v>
      </c>
      <c r="M35" s="82"/>
      <c r="N35" s="85">
        <v>-0.07168045146589062</v>
      </c>
      <c r="O35" s="85">
        <f t="shared" si="4"/>
        <v>-0.07168045146589062</v>
      </c>
      <c r="P35" s="85">
        <f t="shared" si="5"/>
        <v>0</v>
      </c>
      <c r="Q35" s="82"/>
      <c r="R35" s="85">
        <v>-0.05952222155912449</v>
      </c>
      <c r="S35" s="85">
        <f t="shared" si="6"/>
        <v>-0.05952222155912449</v>
      </c>
      <c r="T35" s="85">
        <f t="shared" si="7"/>
        <v>0</v>
      </c>
      <c r="U35" s="82"/>
      <c r="V35" s="85"/>
      <c r="W35" s="82"/>
      <c r="X35" s="85"/>
      <c r="Y35" s="82"/>
      <c r="Z35" s="85"/>
      <c r="AA35" s="82"/>
      <c r="AB35" s="85"/>
      <c r="AC35" s="82"/>
      <c r="AD35" s="86"/>
      <c r="AE35" s="82"/>
      <c r="AF35" s="86"/>
      <c r="AG35" s="82"/>
      <c r="AH35" s="86"/>
      <c r="AI35" s="82"/>
      <c r="AJ35" s="86"/>
      <c r="AK35" s="82"/>
      <c r="AL35" s="86"/>
      <c r="AM35" s="82"/>
      <c r="AN35" s="86"/>
      <c r="AO35" s="82"/>
      <c r="AP35" s="86"/>
      <c r="AQ35" s="82"/>
      <c r="AR35" s="86"/>
    </row>
    <row r="36" spans="1:44" s="81" customFormat="1" ht="12.75">
      <c r="A36" s="81" t="s">
        <v>164</v>
      </c>
      <c r="B36" s="81">
        <v>32</v>
      </c>
      <c r="C36" s="81" t="s">
        <v>216</v>
      </c>
      <c r="D36" s="84">
        <v>0</v>
      </c>
      <c r="E36" s="82">
        <v>2</v>
      </c>
      <c r="F36" s="85">
        <v>0.16931790855284</v>
      </c>
      <c r="G36" s="85">
        <f t="shared" si="0"/>
        <v>0.16931790855284</v>
      </c>
      <c r="H36" s="85">
        <f t="shared" si="1"/>
        <v>0</v>
      </c>
      <c r="I36" s="82">
        <v>2</v>
      </c>
      <c r="J36" s="85">
        <v>0.11339283665649452</v>
      </c>
      <c r="K36" s="85">
        <f t="shared" si="2"/>
        <v>0.11339283665649452</v>
      </c>
      <c r="L36" s="85">
        <f t="shared" si="3"/>
        <v>0</v>
      </c>
      <c r="M36" s="82">
        <v>1</v>
      </c>
      <c r="N36" s="85">
        <v>0.062330827361644</v>
      </c>
      <c r="O36" s="85">
        <f t="shared" si="4"/>
        <v>0.031165413680822</v>
      </c>
      <c r="P36" s="85">
        <f t="shared" si="5"/>
        <v>0</v>
      </c>
      <c r="Q36" s="82">
        <v>1</v>
      </c>
      <c r="R36" s="85">
        <v>0.05952222155912449</v>
      </c>
      <c r="S36" s="85">
        <f t="shared" si="6"/>
        <v>0.029761110779562245</v>
      </c>
      <c r="T36" s="85">
        <f t="shared" si="7"/>
        <v>0</v>
      </c>
      <c r="U36" s="82"/>
      <c r="V36" s="85"/>
      <c r="W36" s="82"/>
      <c r="X36" s="85"/>
      <c r="Y36" s="82"/>
      <c r="Z36" s="85"/>
      <c r="AA36" s="82"/>
      <c r="AB36" s="85"/>
      <c r="AC36" s="82"/>
      <c r="AD36" s="86"/>
      <c r="AE36" s="82"/>
      <c r="AF36" s="86"/>
      <c r="AG36" s="82"/>
      <c r="AH36" s="86"/>
      <c r="AI36" s="82"/>
      <c r="AJ36" s="86"/>
      <c r="AK36" s="82"/>
      <c r="AL36" s="86"/>
      <c r="AM36" s="82"/>
      <c r="AN36" s="86"/>
      <c r="AO36" s="82"/>
      <c r="AP36" s="86"/>
      <c r="AQ36" s="82"/>
      <c r="AR36" s="86"/>
    </row>
    <row r="37" spans="1:44" s="81" customFormat="1" ht="12.75">
      <c r="A37" s="81" t="s">
        <v>164</v>
      </c>
      <c r="B37" s="81">
        <v>33</v>
      </c>
      <c r="C37" s="81" t="s">
        <v>217</v>
      </c>
      <c r="D37" s="84">
        <v>0.001</v>
      </c>
      <c r="E37" s="82">
        <v>1</v>
      </c>
      <c r="F37" s="85">
        <v>0.12778710079459685</v>
      </c>
      <c r="G37" s="85">
        <f t="shared" si="0"/>
        <v>0.06389355039729842</v>
      </c>
      <c r="H37" s="85">
        <f t="shared" si="1"/>
        <v>6.389355039729842E-05</v>
      </c>
      <c r="I37" s="82">
        <v>1</v>
      </c>
      <c r="J37" s="85">
        <v>0.11339283665649452</v>
      </c>
      <c r="K37" s="85">
        <f t="shared" si="2"/>
        <v>0.05669641832824726</v>
      </c>
      <c r="L37" s="85">
        <f t="shared" si="3"/>
        <v>5.669641832824726E-05</v>
      </c>
      <c r="M37" s="82">
        <v>1</v>
      </c>
      <c r="N37" s="85">
        <v>0.12466165472328807</v>
      </c>
      <c r="O37" s="85">
        <f t="shared" si="4"/>
        <v>0.06233082736164403</v>
      </c>
      <c r="P37" s="85">
        <f t="shared" si="5"/>
        <v>6.233082736164403E-05</v>
      </c>
      <c r="Q37" s="82">
        <v>1</v>
      </c>
      <c r="R37" s="85">
        <v>0.11904444311824898</v>
      </c>
      <c r="S37" s="85">
        <f t="shared" si="6"/>
        <v>0.05952222155912449</v>
      </c>
      <c r="T37" s="85">
        <f t="shared" si="7"/>
        <v>5.952222155912449E-05</v>
      </c>
      <c r="U37" s="82"/>
      <c r="V37" s="85"/>
      <c r="W37" s="82"/>
      <c r="X37" s="85"/>
      <c r="Y37" s="82"/>
      <c r="Z37" s="85"/>
      <c r="AA37" s="82"/>
      <c r="AB37" s="85"/>
      <c r="AC37" s="82"/>
      <c r="AD37" s="86"/>
      <c r="AE37" s="82"/>
      <c r="AF37" s="86"/>
      <c r="AG37" s="82"/>
      <c r="AH37" s="86"/>
      <c r="AI37" s="82"/>
      <c r="AJ37" s="86"/>
      <c r="AK37" s="82"/>
      <c r="AL37" s="86"/>
      <c r="AM37" s="82"/>
      <c r="AN37" s="86"/>
      <c r="AO37" s="82"/>
      <c r="AP37" s="86"/>
      <c r="AQ37" s="82"/>
      <c r="AR37" s="86"/>
    </row>
    <row r="38" spans="1:44" s="81" customFormat="1" ht="12.75">
      <c r="A38" s="81" t="s">
        <v>164</v>
      </c>
      <c r="B38" s="81">
        <v>34</v>
      </c>
      <c r="C38" s="81" t="s">
        <v>218</v>
      </c>
      <c r="D38" s="84"/>
      <c r="E38" s="82"/>
      <c r="F38" s="85">
        <v>1.8305502188826</v>
      </c>
      <c r="G38" s="85">
        <f>SUM(G37,G36,G32,G26,G22,G19,G18,G15,G10,G7)</f>
        <v>1.7634619909654357</v>
      </c>
      <c r="H38" s="85"/>
      <c r="I38" s="82"/>
      <c r="J38" s="85">
        <v>0.8419418121744716</v>
      </c>
      <c r="K38" s="85">
        <f>SUM(K37,K36,K32,K26,K22,K19,K18,K15,K10,K7)</f>
        <v>0.7455579010164513</v>
      </c>
      <c r="L38" s="85"/>
      <c r="M38" s="82"/>
      <c r="N38" s="85">
        <v>0.7136879732908241</v>
      </c>
      <c r="O38" s="85">
        <f>SUM(O37,O36,O32,O26,O22,O19,O18,O15,O10,O7)</f>
        <v>0.3708684228017819</v>
      </c>
      <c r="P38" s="85"/>
      <c r="Q38" s="82"/>
      <c r="R38" s="85">
        <v>0.6249833263708072</v>
      </c>
      <c r="S38" s="85">
        <f>SUM(S37,S36,S32,S26,S22,S19,S18,S15,S10,S7)</f>
        <v>0.32141999641927227</v>
      </c>
      <c r="T38" s="85"/>
      <c r="U38" s="82"/>
      <c r="V38" s="85"/>
      <c r="W38" s="82"/>
      <c r="X38" s="85"/>
      <c r="Y38" s="82"/>
      <c r="Z38" s="85"/>
      <c r="AA38" s="82"/>
      <c r="AB38" s="85"/>
      <c r="AC38" s="82"/>
      <c r="AD38" s="86"/>
      <c r="AE38" s="82"/>
      <c r="AF38" s="86"/>
      <c r="AG38" s="82"/>
      <c r="AH38" s="86"/>
      <c r="AI38" s="82"/>
      <c r="AJ38" s="86"/>
      <c r="AK38" s="82"/>
      <c r="AL38" s="86"/>
      <c r="AM38" s="82"/>
      <c r="AN38" s="86"/>
      <c r="AO38" s="82"/>
      <c r="AP38" s="86"/>
      <c r="AQ38" s="82"/>
      <c r="AR38" s="86"/>
    </row>
    <row r="39" spans="1:44" s="81" customFormat="1" ht="12.75">
      <c r="A39" s="81" t="s">
        <v>164</v>
      </c>
      <c r="B39" s="81">
        <v>35</v>
      </c>
      <c r="C39" s="81" t="s">
        <v>27</v>
      </c>
      <c r="D39" s="84"/>
      <c r="E39" s="90">
        <f>(F39-H39)*2/F39*100</f>
        <v>53.42372881355934</v>
      </c>
      <c r="F39" s="85">
        <v>0.14136448025402276</v>
      </c>
      <c r="G39" s="85"/>
      <c r="H39" s="85">
        <f>SUM(H5:H37)</f>
        <v>0.10360339196921937</v>
      </c>
      <c r="I39" s="90">
        <f>(J39-L39)*2/J39*100</f>
        <v>98.25257157020695</v>
      </c>
      <c r="J39" s="85">
        <v>0.1143708498726568</v>
      </c>
      <c r="K39" s="85"/>
      <c r="L39" s="85">
        <f>SUM(L5:L37)</f>
        <v>0.05818469930936376</v>
      </c>
      <c r="M39" s="90">
        <f>(N39-P39)*2/N39*100</f>
        <v>98.43010216795422</v>
      </c>
      <c r="N39" s="85">
        <v>0.12506680510113877</v>
      </c>
      <c r="O39" s="85"/>
      <c r="P39" s="85">
        <f>SUM(P5:P37)</f>
        <v>0.06351511308151524</v>
      </c>
      <c r="Q39" s="90">
        <f>(R39-T39)*2/R39*100</f>
        <v>100.00000000000003</v>
      </c>
      <c r="R39" s="85">
        <v>0.11928253200448552</v>
      </c>
      <c r="S39" s="85"/>
      <c r="T39" s="85">
        <f>SUM(T5:T37)</f>
        <v>0.059641266002242746</v>
      </c>
      <c r="U39" s="82"/>
      <c r="V39" s="85"/>
      <c r="W39" s="82"/>
      <c r="X39" s="85"/>
      <c r="Y39" s="82"/>
      <c r="Z39" s="85"/>
      <c r="AA39" s="82"/>
      <c r="AB39" s="85"/>
      <c r="AC39" s="82"/>
      <c r="AD39" s="86"/>
      <c r="AE39" s="82"/>
      <c r="AF39" s="86"/>
      <c r="AG39" s="82"/>
      <c r="AH39" s="86"/>
      <c r="AI39" s="82"/>
      <c r="AJ39" s="86"/>
      <c r="AK39" s="82"/>
      <c r="AL39" s="86"/>
      <c r="AM39" s="82"/>
      <c r="AN39" s="86"/>
      <c r="AO39" s="82"/>
      <c r="AP39" s="86"/>
      <c r="AQ39" s="82"/>
      <c r="AR39" s="86"/>
    </row>
    <row r="43" spans="3:6" ht="12.75">
      <c r="C43" t="s">
        <v>219</v>
      </c>
      <c r="F43" s="67">
        <f>AVERAGE(H39,L39,P39,T39)</f>
        <v>0.07123611759058528</v>
      </c>
    </row>
  </sheetData>
  <mergeCells count="3">
    <mergeCell ref="F2:H2"/>
    <mergeCell ref="J2:L2"/>
    <mergeCell ref="N2:P2"/>
  </mergeCells>
  <printOptions headings="1" horizontalCentered="1"/>
  <pageMargins left="0.25" right="0.25" top="0.5" bottom="0.5" header="0.25" footer="0.25"/>
  <pageSetup horizontalDpi="600" verticalDpi="600" orientation="landscape" pageOrder="overThenDown" scale="80" r:id="rId1"/>
  <headerFooter alignWithMargins="0">
    <oddFooter>&amp;C&amp;P, &amp;A, &amp;F</oddFooter>
  </headerFooter>
</worksheet>
</file>

<file path=xl/worksheets/sheet2.xml><?xml version="1.0" encoding="utf-8"?>
<worksheet xmlns="http://schemas.openxmlformats.org/spreadsheetml/2006/main" xmlns:r="http://schemas.openxmlformats.org/officeDocument/2006/relationships">
  <dimension ref="B1:L453"/>
  <sheetViews>
    <sheetView tabSelected="1" workbookViewId="0" topLeftCell="B1">
      <selection activeCell="G22" sqref="G22"/>
    </sheetView>
  </sheetViews>
  <sheetFormatPr defaultColWidth="9.140625" defaultRowHeight="12.75"/>
  <cols>
    <col min="1" max="1" width="3.7109375" style="1" hidden="1" customWidth="1"/>
    <col min="2" max="2" width="23.8515625" style="1" customWidth="1"/>
    <col min="3" max="3" width="58.421875" style="1" customWidth="1"/>
    <col min="4" max="16384" width="8.8515625" style="1" customWidth="1"/>
  </cols>
  <sheetData>
    <row r="1" spans="2:12" ht="12.75">
      <c r="B1" s="6" t="s">
        <v>71</v>
      </c>
      <c r="C1" s="12"/>
      <c r="D1" s="12"/>
      <c r="E1" s="12"/>
      <c r="F1" s="12"/>
      <c r="G1" s="12"/>
      <c r="H1" s="12"/>
      <c r="I1" s="12"/>
      <c r="J1" s="12"/>
      <c r="K1" s="12"/>
      <c r="L1" s="12"/>
    </row>
    <row r="2" spans="2:12" ht="12.75">
      <c r="B2" s="12"/>
      <c r="C2" s="12"/>
      <c r="D2" s="12"/>
      <c r="E2" s="12"/>
      <c r="F2" s="12"/>
      <c r="G2" s="12"/>
      <c r="H2" s="12"/>
      <c r="I2" s="12"/>
      <c r="J2" s="12"/>
      <c r="K2" s="12"/>
      <c r="L2" s="12"/>
    </row>
    <row r="3" spans="2:12" ht="12.75">
      <c r="B3" s="12" t="s">
        <v>103</v>
      </c>
      <c r="C3" s="13">
        <v>346</v>
      </c>
      <c r="D3" s="12"/>
      <c r="E3" s="12"/>
      <c r="F3" s="12"/>
      <c r="G3" s="12"/>
      <c r="H3" s="12"/>
      <c r="I3" s="12"/>
      <c r="J3" s="12"/>
      <c r="K3" s="12"/>
      <c r="L3" s="12"/>
    </row>
    <row r="4" spans="2:12" ht="12.75">
      <c r="B4" s="12" t="s">
        <v>0</v>
      </c>
      <c r="C4" s="12" t="s">
        <v>137</v>
      </c>
      <c r="D4" s="12"/>
      <c r="E4" s="12"/>
      <c r="F4" s="12"/>
      <c r="G4" s="12"/>
      <c r="H4" s="12"/>
      <c r="I4" s="12"/>
      <c r="J4" s="12"/>
      <c r="K4" s="12"/>
      <c r="L4" s="12"/>
    </row>
    <row r="5" spans="2:12" ht="12.75">
      <c r="B5" s="12" t="s">
        <v>1</v>
      </c>
      <c r="C5" s="42" t="s">
        <v>223</v>
      </c>
      <c r="D5" s="12"/>
      <c r="E5" s="12"/>
      <c r="F5" s="12"/>
      <c r="G5" s="12"/>
      <c r="H5" s="12"/>
      <c r="I5" s="12"/>
      <c r="J5" s="12"/>
      <c r="K5" s="12"/>
      <c r="L5" s="12"/>
    </row>
    <row r="6" spans="2:12" ht="12.75">
      <c r="B6" s="12" t="s">
        <v>2</v>
      </c>
      <c r="C6" s="12"/>
      <c r="D6" s="12"/>
      <c r="E6" s="12"/>
      <c r="F6" s="12"/>
      <c r="G6" s="12"/>
      <c r="H6" s="12"/>
      <c r="I6" s="12"/>
      <c r="J6" s="12"/>
      <c r="K6" s="12"/>
      <c r="L6" s="12"/>
    </row>
    <row r="7" spans="2:12" ht="12.75">
      <c r="B7" s="12" t="s">
        <v>3</v>
      </c>
      <c r="C7" s="12" t="s">
        <v>135</v>
      </c>
      <c r="D7" s="12"/>
      <c r="E7" s="12"/>
      <c r="F7" s="12"/>
      <c r="G7" s="12"/>
      <c r="H7" s="12"/>
      <c r="I7" s="12"/>
      <c r="J7" s="12"/>
      <c r="K7" s="12"/>
      <c r="L7" s="12"/>
    </row>
    <row r="8" spans="2:12" ht="12.75">
      <c r="B8" s="12" t="s">
        <v>4</v>
      </c>
      <c r="C8" s="12" t="s">
        <v>136</v>
      </c>
      <c r="D8" s="12"/>
      <c r="E8" s="12"/>
      <c r="F8" s="12"/>
      <c r="G8" s="12"/>
      <c r="H8" s="12"/>
      <c r="I8" s="12"/>
      <c r="J8" s="12"/>
      <c r="K8" s="12"/>
      <c r="L8" s="12"/>
    </row>
    <row r="9" spans="2:12" ht="12.75">
      <c r="B9" s="12" t="s">
        <v>5</v>
      </c>
      <c r="C9" s="12" t="s">
        <v>156</v>
      </c>
      <c r="D9" s="12"/>
      <c r="E9" s="12"/>
      <c r="F9" s="12"/>
      <c r="G9" s="12"/>
      <c r="H9" s="12"/>
      <c r="I9" s="12"/>
      <c r="J9" s="12"/>
      <c r="K9" s="12"/>
      <c r="L9" s="12"/>
    </row>
    <row r="10" spans="2:12" ht="12.75">
      <c r="B10" s="12" t="s">
        <v>6</v>
      </c>
      <c r="C10" s="12"/>
      <c r="D10" s="12"/>
      <c r="E10" s="12"/>
      <c r="F10" s="12"/>
      <c r="G10" s="12"/>
      <c r="H10" s="12"/>
      <c r="I10" s="12"/>
      <c r="J10" s="12"/>
      <c r="K10" s="12"/>
      <c r="L10" s="12"/>
    </row>
    <row r="11" spans="2:12" ht="12.75">
      <c r="B11" s="12" t="s">
        <v>251</v>
      </c>
      <c r="C11" s="13">
        <v>0</v>
      </c>
      <c r="D11" s="12"/>
      <c r="E11" s="12"/>
      <c r="F11" s="12"/>
      <c r="G11" s="12"/>
      <c r="H11" s="12"/>
      <c r="I11" s="12"/>
      <c r="J11" s="12"/>
      <c r="K11" s="12"/>
      <c r="L11" s="12"/>
    </row>
    <row r="12" spans="2:12" ht="12.75">
      <c r="B12" s="12" t="s">
        <v>221</v>
      </c>
      <c r="C12" s="12" t="s">
        <v>265</v>
      </c>
      <c r="D12" s="12"/>
      <c r="E12" s="12"/>
      <c r="F12" s="12"/>
      <c r="G12" s="12"/>
      <c r="H12" s="12"/>
      <c r="I12" s="12"/>
      <c r="J12" s="12"/>
      <c r="K12" s="12"/>
      <c r="L12" s="12"/>
    </row>
    <row r="13" spans="2:12" ht="12.75">
      <c r="B13" s="12" t="s">
        <v>222</v>
      </c>
      <c r="C13" s="12" t="s">
        <v>250</v>
      </c>
      <c r="D13" s="12"/>
      <c r="E13" s="12"/>
      <c r="F13" s="12"/>
      <c r="G13" s="12"/>
      <c r="H13" s="12"/>
      <c r="I13" s="12"/>
      <c r="J13" s="12"/>
      <c r="K13" s="12"/>
      <c r="L13" s="12"/>
    </row>
    <row r="14" spans="2:12" s="43" customFormat="1" ht="25.5">
      <c r="B14" s="42" t="s">
        <v>61</v>
      </c>
      <c r="C14" s="42" t="s">
        <v>224</v>
      </c>
      <c r="D14" s="42"/>
      <c r="E14" s="42"/>
      <c r="F14" s="42"/>
      <c r="G14" s="42"/>
      <c r="H14" s="42"/>
      <c r="I14" s="42"/>
      <c r="J14" s="42"/>
      <c r="K14" s="42"/>
      <c r="L14" s="42"/>
    </row>
    <row r="15" spans="2:12" s="43" customFormat="1" ht="12.75">
      <c r="B15" s="42"/>
      <c r="C15" s="42"/>
      <c r="D15" s="42"/>
      <c r="E15" s="42"/>
      <c r="F15" s="42"/>
      <c r="G15" s="42"/>
      <c r="H15" s="42"/>
      <c r="I15" s="42"/>
      <c r="J15" s="42"/>
      <c r="K15" s="42"/>
      <c r="L15" s="42"/>
    </row>
    <row r="16" spans="2:12" s="43" customFormat="1" ht="12.75">
      <c r="B16" s="42" t="s">
        <v>68</v>
      </c>
      <c r="C16" s="44"/>
      <c r="D16" s="42"/>
      <c r="E16" s="42"/>
      <c r="F16" s="42"/>
      <c r="G16" s="42"/>
      <c r="H16" s="42"/>
      <c r="I16" s="42"/>
      <c r="J16" s="42"/>
      <c r="K16" s="42"/>
      <c r="L16" s="42"/>
    </row>
    <row r="17" spans="2:12" s="43" customFormat="1" ht="12.75">
      <c r="B17" s="12" t="s">
        <v>72</v>
      </c>
      <c r="C17" s="42"/>
      <c r="F17" s="42"/>
      <c r="G17" s="42"/>
      <c r="H17" s="42"/>
      <c r="I17" s="42"/>
      <c r="J17" s="42"/>
      <c r="K17" s="42"/>
      <c r="L17" s="42"/>
    </row>
    <row r="18" spans="2:12" s="43" customFormat="1" ht="12.75">
      <c r="B18" s="12" t="s">
        <v>252</v>
      </c>
      <c r="C18" s="42" t="s">
        <v>98</v>
      </c>
      <c r="D18" s="42"/>
      <c r="E18" s="42"/>
      <c r="F18" s="42"/>
      <c r="G18" s="42"/>
      <c r="H18" s="42"/>
      <c r="I18" s="42"/>
      <c r="J18" s="42"/>
      <c r="K18" s="42"/>
      <c r="L18" s="42"/>
    </row>
    <row r="19" spans="2:12" s="43" customFormat="1" ht="12.75">
      <c r="B19" s="12" t="s">
        <v>253</v>
      </c>
      <c r="C19" s="42" t="s">
        <v>266</v>
      </c>
      <c r="D19" s="42"/>
      <c r="E19" s="42"/>
      <c r="F19" s="42"/>
      <c r="G19" s="42"/>
      <c r="H19" s="42"/>
      <c r="I19" s="42"/>
      <c r="J19" s="42"/>
      <c r="K19" s="42"/>
      <c r="L19" s="42"/>
    </row>
    <row r="20" spans="2:12" ht="25.5">
      <c r="B20" s="42" t="s">
        <v>7</v>
      </c>
      <c r="C20" s="42" t="s">
        <v>243</v>
      </c>
      <c r="D20" s="12"/>
      <c r="E20" s="12"/>
      <c r="F20" s="12"/>
      <c r="G20" s="12"/>
      <c r="H20" s="12"/>
      <c r="I20" s="12"/>
      <c r="J20" s="12"/>
      <c r="K20" s="12"/>
      <c r="L20" s="12"/>
    </row>
    <row r="21" spans="2:12" ht="12.75">
      <c r="B21" s="12" t="s">
        <v>66</v>
      </c>
      <c r="C21" s="12" t="s">
        <v>255</v>
      </c>
      <c r="D21" s="12"/>
      <c r="E21" s="12"/>
      <c r="F21" s="12"/>
      <c r="G21" s="12"/>
      <c r="H21" s="12"/>
      <c r="I21" s="12"/>
      <c r="J21" s="12"/>
      <c r="K21" s="12"/>
      <c r="L21" s="12"/>
    </row>
    <row r="22" spans="2:12" ht="25.5">
      <c r="B22" s="12" t="s">
        <v>73</v>
      </c>
      <c r="C22" s="48" t="s">
        <v>149</v>
      </c>
      <c r="D22" s="12"/>
      <c r="E22" s="12"/>
      <c r="F22" s="12"/>
      <c r="G22" s="12"/>
      <c r="H22" s="12"/>
      <c r="I22" s="12"/>
      <c r="J22" s="12"/>
      <c r="K22" s="12"/>
      <c r="L22" s="12"/>
    </row>
    <row r="23" spans="2:12" ht="12.75">
      <c r="B23" s="12" t="s">
        <v>67</v>
      </c>
      <c r="C23" s="1" t="s">
        <v>254</v>
      </c>
      <c r="D23" s="12"/>
      <c r="E23" s="12"/>
      <c r="F23" s="12"/>
      <c r="G23" s="12"/>
      <c r="H23" s="12"/>
      <c r="I23" s="12"/>
      <c r="J23" s="12"/>
      <c r="K23" s="12"/>
      <c r="L23" s="12"/>
    </row>
    <row r="24" spans="2:12" ht="12.75" customHeight="1">
      <c r="B24" s="12"/>
      <c r="C24" s="12" t="s">
        <v>147</v>
      </c>
      <c r="D24" s="12"/>
      <c r="E24" s="12"/>
      <c r="F24" s="12"/>
      <c r="G24" s="12"/>
      <c r="H24" s="12"/>
      <c r="I24" s="12"/>
      <c r="J24" s="12"/>
      <c r="K24" s="12"/>
      <c r="L24" s="12"/>
    </row>
    <row r="25" spans="2:12" ht="12.75" customHeight="1">
      <c r="B25" s="12"/>
      <c r="C25" s="12"/>
      <c r="D25" s="12"/>
      <c r="E25" s="12"/>
      <c r="F25" s="12"/>
      <c r="G25" s="12"/>
      <c r="H25" s="12"/>
      <c r="I25" s="12"/>
      <c r="J25" s="12"/>
      <c r="K25" s="12"/>
      <c r="L25" s="12"/>
    </row>
    <row r="26" spans="2:12" ht="25.5">
      <c r="B26" s="12" t="s">
        <v>8</v>
      </c>
      <c r="C26" s="44" t="s">
        <v>144</v>
      </c>
      <c r="D26" s="12"/>
      <c r="E26" s="12"/>
      <c r="F26" s="12"/>
      <c r="G26" s="12"/>
      <c r="H26" s="12"/>
      <c r="I26" s="12"/>
      <c r="J26" s="12"/>
      <c r="K26" s="12"/>
      <c r="L26" s="12"/>
    </row>
    <row r="27" spans="2:12" ht="12.75">
      <c r="B27" s="12" t="s">
        <v>9</v>
      </c>
      <c r="C27" s="47">
        <v>4.5</v>
      </c>
      <c r="D27" s="12"/>
      <c r="E27" s="12"/>
      <c r="F27" s="12"/>
      <c r="G27" s="12"/>
      <c r="H27" s="12"/>
      <c r="I27" s="12"/>
      <c r="J27" s="12"/>
      <c r="K27" s="12"/>
      <c r="L27" s="12"/>
    </row>
    <row r="28" spans="2:12" ht="12.75">
      <c r="B28" s="12" t="s">
        <v>10</v>
      </c>
      <c r="C28" s="13">
        <v>100</v>
      </c>
      <c r="D28" s="12"/>
      <c r="E28" s="12"/>
      <c r="F28" s="12"/>
      <c r="G28" s="12"/>
      <c r="H28" s="12"/>
      <c r="I28" s="12"/>
      <c r="J28" s="12"/>
      <c r="K28" s="12"/>
      <c r="L28" s="12"/>
    </row>
    <row r="29" spans="2:12" ht="12.75">
      <c r="B29" s="12" t="s">
        <v>69</v>
      </c>
      <c r="C29" s="14" t="e">
        <f>#REF!/4.12/60</f>
        <v>#REF!</v>
      </c>
      <c r="D29" s="12"/>
      <c r="E29" s="12"/>
      <c r="F29" s="12"/>
      <c r="G29" s="12"/>
      <c r="H29" s="12"/>
      <c r="I29" s="12"/>
      <c r="J29" s="12"/>
      <c r="K29" s="12"/>
      <c r="L29" s="12"/>
    </row>
    <row r="30" spans="2:12" ht="14.25" customHeight="1">
      <c r="B30" s="12" t="s">
        <v>70</v>
      </c>
      <c r="C30" s="72" t="e">
        <f>#REF!</f>
        <v>#REF!</v>
      </c>
      <c r="D30" s="12"/>
      <c r="E30" s="12"/>
      <c r="F30" s="12"/>
      <c r="G30" s="12"/>
      <c r="H30" s="12"/>
      <c r="I30" s="12"/>
      <c r="J30" s="12"/>
      <c r="K30" s="12"/>
      <c r="L30" s="12"/>
    </row>
    <row r="31" spans="2:12" ht="12" customHeight="1">
      <c r="B31" s="12"/>
      <c r="C31" s="12"/>
      <c r="D31" s="12"/>
      <c r="E31" s="12"/>
      <c r="F31" s="12"/>
      <c r="G31" s="12"/>
      <c r="H31" s="12"/>
      <c r="I31" s="12"/>
      <c r="J31" s="12"/>
      <c r="K31" s="12"/>
      <c r="L31" s="12"/>
    </row>
    <row r="32" spans="2:12" ht="12.75">
      <c r="B32" s="12" t="s">
        <v>11</v>
      </c>
      <c r="C32" s="12" t="s">
        <v>155</v>
      </c>
      <c r="D32" s="12"/>
      <c r="E32" s="12"/>
      <c r="F32" s="12"/>
      <c r="G32" s="12"/>
      <c r="H32" s="12"/>
      <c r="I32" s="12"/>
      <c r="J32" s="12"/>
      <c r="K32" s="12"/>
      <c r="L32" s="12"/>
    </row>
    <row r="33" spans="2:12" ht="25.5">
      <c r="B33" s="55" t="s">
        <v>85</v>
      </c>
      <c r="C33" s="42" t="s">
        <v>270</v>
      </c>
      <c r="D33" s="12"/>
      <c r="E33" s="12"/>
      <c r="F33" s="12"/>
      <c r="G33" s="12"/>
      <c r="H33" s="12"/>
      <c r="I33" s="12"/>
      <c r="J33" s="12"/>
      <c r="K33" s="12"/>
      <c r="L33" s="12"/>
    </row>
    <row r="34" spans="2:12" ht="12.75">
      <c r="B34" s="12"/>
      <c r="C34" s="12"/>
      <c r="D34" s="12"/>
      <c r="E34" s="12"/>
      <c r="F34" s="12"/>
      <c r="G34" s="12"/>
      <c r="H34" s="12"/>
      <c r="I34" s="12"/>
      <c r="J34" s="12"/>
      <c r="K34" s="12"/>
      <c r="L34" s="12"/>
    </row>
    <row r="35" spans="2:12" ht="12.75">
      <c r="B35" s="12"/>
      <c r="C35" s="12"/>
      <c r="D35" s="12"/>
      <c r="E35" s="12"/>
      <c r="F35" s="12"/>
      <c r="G35" s="12"/>
      <c r="H35" s="12"/>
      <c r="I35" s="12"/>
      <c r="J35" s="12"/>
      <c r="K35" s="12"/>
      <c r="L35" s="12"/>
    </row>
    <row r="36" spans="3:12" ht="12.75">
      <c r="C36" s="12"/>
      <c r="D36" s="12"/>
      <c r="E36" s="12"/>
      <c r="F36" s="12"/>
      <c r="G36" s="12"/>
      <c r="H36" s="12"/>
      <c r="I36" s="12"/>
      <c r="J36" s="12"/>
      <c r="K36" s="12"/>
      <c r="L36" s="12"/>
    </row>
    <row r="45" spans="2:12" ht="12.75">
      <c r="B45" s="12"/>
      <c r="C45" s="12"/>
      <c r="D45" s="12"/>
      <c r="E45" s="12"/>
      <c r="F45" s="12"/>
      <c r="G45" s="12"/>
      <c r="H45" s="12"/>
      <c r="I45" s="12"/>
      <c r="J45" s="12"/>
      <c r="K45" s="12"/>
      <c r="L45" s="12"/>
    </row>
    <row r="46" spans="2:12" ht="12.75">
      <c r="B46" s="12"/>
      <c r="C46" s="15"/>
      <c r="D46" s="12"/>
      <c r="E46" s="12"/>
      <c r="F46" s="12"/>
      <c r="G46" s="12"/>
      <c r="H46" s="12"/>
      <c r="I46" s="12"/>
      <c r="J46" s="12"/>
      <c r="K46" s="12"/>
      <c r="L46" s="12"/>
    </row>
    <row r="47" spans="2:12" ht="12.75">
      <c r="B47" s="12"/>
      <c r="C47" s="12"/>
      <c r="D47" s="12"/>
      <c r="E47" s="12"/>
      <c r="F47" s="12"/>
      <c r="G47" s="12"/>
      <c r="H47" s="12"/>
      <c r="I47" s="12"/>
      <c r="J47" s="12"/>
      <c r="K47" s="12"/>
      <c r="L47" s="12"/>
    </row>
    <row r="48" spans="2:12" ht="12.75">
      <c r="B48" s="55"/>
      <c r="C48" s="49"/>
      <c r="D48" s="12"/>
      <c r="E48" s="12"/>
      <c r="F48" s="12"/>
      <c r="G48" s="12"/>
      <c r="H48" s="12"/>
      <c r="I48" s="12"/>
      <c r="J48" s="12"/>
      <c r="K48" s="12"/>
      <c r="L48" s="12"/>
    </row>
    <row r="49" spans="2:12" ht="12.75">
      <c r="B49" s="12"/>
      <c r="C49" s="12"/>
      <c r="D49" s="12"/>
      <c r="E49" s="12"/>
      <c r="F49" s="12"/>
      <c r="G49" s="12"/>
      <c r="H49" s="12"/>
      <c r="I49" s="12"/>
      <c r="J49" s="12"/>
      <c r="K49" s="12"/>
      <c r="L49" s="12"/>
    </row>
    <row r="50" spans="2:12" ht="12.75">
      <c r="B50" s="6"/>
      <c r="C50" s="12"/>
      <c r="D50" s="12"/>
      <c r="E50" s="12"/>
      <c r="F50" s="12"/>
      <c r="G50" s="12"/>
      <c r="H50" s="12"/>
      <c r="I50" s="12"/>
      <c r="J50" s="12"/>
      <c r="K50" s="12"/>
      <c r="L50" s="12"/>
    </row>
    <row r="51" spans="2:12" ht="12.75">
      <c r="B51" s="55"/>
      <c r="C51" s="48"/>
      <c r="D51" s="12"/>
      <c r="E51" s="12"/>
      <c r="F51" s="12"/>
      <c r="G51" s="12"/>
      <c r="H51" s="12"/>
      <c r="I51" s="12"/>
      <c r="J51" s="12"/>
      <c r="K51" s="12"/>
      <c r="L51" s="12"/>
    </row>
    <row r="52" spans="2:12" ht="12.75">
      <c r="B52" s="12"/>
      <c r="C52" s="12"/>
      <c r="D52" s="12"/>
      <c r="E52" s="12"/>
      <c r="F52" s="12"/>
      <c r="G52" s="12"/>
      <c r="H52" s="12"/>
      <c r="I52" s="12"/>
      <c r="J52" s="12"/>
      <c r="K52" s="12"/>
      <c r="L52" s="12"/>
    </row>
    <row r="53" spans="2:12" ht="12.75">
      <c r="B53" s="12"/>
      <c r="C53" s="12"/>
      <c r="D53" s="12"/>
      <c r="E53" s="12"/>
      <c r="F53" s="12"/>
      <c r="G53" s="12"/>
      <c r="H53" s="12"/>
      <c r="I53" s="12"/>
      <c r="J53" s="12"/>
      <c r="K53" s="12"/>
      <c r="L53" s="12"/>
    </row>
    <row r="54" spans="2:12" ht="12.75">
      <c r="B54" s="12"/>
      <c r="C54" s="12"/>
      <c r="D54" s="12"/>
      <c r="E54" s="12"/>
      <c r="F54" s="12"/>
      <c r="G54" s="12"/>
      <c r="H54" s="12"/>
      <c r="I54" s="12"/>
      <c r="J54" s="12"/>
      <c r="K54" s="12"/>
      <c r="L54" s="12"/>
    </row>
    <row r="55" spans="2:12" ht="12.75">
      <c r="B55" s="12"/>
      <c r="C55" s="15"/>
      <c r="D55" s="12"/>
      <c r="E55" s="12"/>
      <c r="F55" s="12"/>
      <c r="G55" s="12"/>
      <c r="H55" s="12"/>
      <c r="I55" s="12"/>
      <c r="J55" s="12"/>
      <c r="K55" s="12"/>
      <c r="L55" s="12"/>
    </row>
    <row r="56" spans="2:12" ht="12.75">
      <c r="B56" s="12"/>
      <c r="C56" s="12"/>
      <c r="D56" s="12"/>
      <c r="E56" s="12"/>
      <c r="F56" s="12"/>
      <c r="G56" s="12"/>
      <c r="H56" s="12"/>
      <c r="I56" s="12"/>
      <c r="J56" s="12"/>
      <c r="K56" s="12"/>
      <c r="L56" s="12"/>
    </row>
    <row r="57" spans="2:12" ht="12.75">
      <c r="B57" s="55"/>
      <c r="C57" s="49"/>
      <c r="D57" s="12"/>
      <c r="E57" s="12"/>
      <c r="F57" s="12"/>
      <c r="G57" s="12"/>
      <c r="H57" s="12"/>
      <c r="I57" s="12"/>
      <c r="J57" s="12"/>
      <c r="K57" s="12"/>
      <c r="L57" s="12"/>
    </row>
    <row r="58" spans="2:12" ht="12.75">
      <c r="B58" s="12"/>
      <c r="C58" s="12"/>
      <c r="D58" s="12"/>
      <c r="E58" s="12"/>
      <c r="F58" s="12"/>
      <c r="G58" s="12"/>
      <c r="H58" s="12"/>
      <c r="I58" s="12"/>
      <c r="J58" s="12"/>
      <c r="K58" s="12"/>
      <c r="L58" s="12"/>
    </row>
    <row r="59" spans="2:12" ht="12.75">
      <c r="B59" s="12"/>
      <c r="D59" s="12"/>
      <c r="E59" s="12"/>
      <c r="F59" s="12"/>
      <c r="G59" s="12"/>
      <c r="H59" s="12"/>
      <c r="I59" s="12"/>
      <c r="J59" s="12"/>
      <c r="K59" s="12"/>
      <c r="L59" s="12"/>
    </row>
    <row r="60" spans="2:12" ht="12.75">
      <c r="B60" s="12"/>
      <c r="C60" s="12"/>
      <c r="D60" s="12"/>
      <c r="E60" s="12"/>
      <c r="F60" s="12"/>
      <c r="G60" s="12"/>
      <c r="H60" s="12"/>
      <c r="I60" s="12"/>
      <c r="J60" s="12"/>
      <c r="K60" s="12"/>
      <c r="L60" s="12"/>
    </row>
    <row r="61" spans="2:12" ht="12.75">
      <c r="B61" s="55"/>
      <c r="C61" s="49"/>
      <c r="D61" s="12"/>
      <c r="E61" s="12"/>
      <c r="F61" s="12"/>
      <c r="G61" s="12"/>
      <c r="H61" s="12"/>
      <c r="I61" s="12"/>
      <c r="J61" s="12"/>
      <c r="K61" s="12"/>
      <c r="L61" s="12"/>
    </row>
    <row r="62" spans="2:12" ht="12.75">
      <c r="B62" s="12"/>
      <c r="C62" s="12"/>
      <c r="D62" s="12"/>
      <c r="E62" s="12"/>
      <c r="F62" s="12"/>
      <c r="G62" s="12"/>
      <c r="H62" s="12"/>
      <c r="I62" s="12"/>
      <c r="J62" s="12"/>
      <c r="K62" s="12"/>
      <c r="L62" s="12"/>
    </row>
    <row r="63" spans="2:12" ht="12.75">
      <c r="B63" s="12"/>
      <c r="C63" s="12"/>
      <c r="D63" s="12"/>
      <c r="E63" s="12"/>
      <c r="F63" s="12"/>
      <c r="G63" s="12"/>
      <c r="H63" s="12"/>
      <c r="I63" s="12"/>
      <c r="J63" s="12"/>
      <c r="K63" s="12"/>
      <c r="L63" s="12"/>
    </row>
    <row r="64" spans="2:12" ht="12.75">
      <c r="B64" s="12"/>
      <c r="C64" s="12"/>
      <c r="D64" s="12"/>
      <c r="E64" s="12"/>
      <c r="F64" s="12"/>
      <c r="G64" s="12"/>
      <c r="H64" s="12"/>
      <c r="I64" s="12"/>
      <c r="J64" s="12"/>
      <c r="K64" s="12"/>
      <c r="L64" s="12"/>
    </row>
    <row r="65" spans="2:12" ht="12.75">
      <c r="B65" s="12"/>
      <c r="C65" s="12"/>
      <c r="D65" s="12"/>
      <c r="E65" s="12"/>
      <c r="F65" s="12"/>
      <c r="G65" s="12"/>
      <c r="H65" s="12"/>
      <c r="I65" s="12"/>
      <c r="J65" s="12"/>
      <c r="K65" s="12"/>
      <c r="L65" s="12"/>
    </row>
    <row r="66" spans="2:12" ht="12.75">
      <c r="B66" s="12"/>
      <c r="C66" s="12"/>
      <c r="D66" s="12"/>
      <c r="E66" s="12"/>
      <c r="F66" s="12"/>
      <c r="G66" s="12"/>
      <c r="H66" s="12"/>
      <c r="I66" s="12"/>
      <c r="J66" s="12"/>
      <c r="K66" s="12"/>
      <c r="L66" s="12"/>
    </row>
    <row r="67" spans="2:12" ht="12.75">
      <c r="B67" s="12"/>
      <c r="C67" s="12"/>
      <c r="D67" s="12"/>
      <c r="E67" s="12"/>
      <c r="F67" s="12"/>
      <c r="G67" s="12"/>
      <c r="H67" s="12"/>
      <c r="I67" s="12"/>
      <c r="J67" s="12"/>
      <c r="K67" s="12"/>
      <c r="L67" s="12"/>
    </row>
    <row r="68" spans="2:12" ht="12.75">
      <c r="B68" s="12"/>
      <c r="C68" s="12"/>
      <c r="D68" s="12"/>
      <c r="E68" s="12"/>
      <c r="F68" s="12"/>
      <c r="G68" s="12"/>
      <c r="H68" s="12"/>
      <c r="I68" s="12"/>
      <c r="J68" s="12"/>
      <c r="K68" s="12"/>
      <c r="L68" s="12"/>
    </row>
    <row r="69" spans="2:12" ht="12.75">
      <c r="B69" s="12"/>
      <c r="C69" s="12"/>
      <c r="D69" s="12"/>
      <c r="E69" s="12"/>
      <c r="F69" s="12"/>
      <c r="G69" s="12"/>
      <c r="H69" s="12"/>
      <c r="I69" s="12"/>
      <c r="J69" s="12"/>
      <c r="K69" s="12"/>
      <c r="L69" s="12"/>
    </row>
    <row r="70" spans="2:12" ht="12.75">
      <c r="B70" s="12"/>
      <c r="C70" s="12"/>
      <c r="D70" s="12"/>
      <c r="E70" s="12"/>
      <c r="F70" s="12"/>
      <c r="G70" s="12"/>
      <c r="H70" s="12"/>
      <c r="I70" s="12"/>
      <c r="J70" s="12"/>
      <c r="K70" s="12"/>
      <c r="L70" s="12"/>
    </row>
    <row r="71" spans="2:12" ht="12.75">
      <c r="B71" s="12"/>
      <c r="C71" s="12"/>
      <c r="D71" s="12"/>
      <c r="E71" s="12"/>
      <c r="F71" s="12"/>
      <c r="G71" s="12"/>
      <c r="H71" s="12"/>
      <c r="I71" s="12"/>
      <c r="J71" s="12"/>
      <c r="K71" s="12"/>
      <c r="L71" s="12"/>
    </row>
    <row r="72" spans="2:12" ht="12.75">
      <c r="B72" s="12"/>
      <c r="C72" s="12"/>
      <c r="D72" s="12"/>
      <c r="E72" s="12"/>
      <c r="F72" s="12"/>
      <c r="G72" s="12"/>
      <c r="H72" s="12"/>
      <c r="I72" s="12"/>
      <c r="J72" s="12"/>
      <c r="K72" s="12"/>
      <c r="L72" s="12"/>
    </row>
    <row r="73" spans="2:12" ht="12.75">
      <c r="B73" s="12"/>
      <c r="C73" s="12"/>
      <c r="D73" s="12"/>
      <c r="E73" s="12"/>
      <c r="F73" s="12"/>
      <c r="G73" s="12"/>
      <c r="H73" s="12"/>
      <c r="I73" s="12"/>
      <c r="J73" s="12"/>
      <c r="K73" s="12"/>
      <c r="L73" s="12"/>
    </row>
    <row r="74" spans="2:12" ht="12.75">
      <c r="B74" s="12"/>
      <c r="C74" s="12"/>
      <c r="D74" s="12"/>
      <c r="E74" s="12"/>
      <c r="F74" s="12"/>
      <c r="G74" s="12"/>
      <c r="H74" s="12"/>
      <c r="I74" s="12"/>
      <c r="J74" s="12"/>
      <c r="K74" s="12"/>
      <c r="L74" s="12"/>
    </row>
    <row r="75" spans="2:12" ht="12.75">
      <c r="B75" s="12"/>
      <c r="C75" s="12"/>
      <c r="D75" s="12"/>
      <c r="E75" s="12"/>
      <c r="F75" s="12"/>
      <c r="G75" s="12"/>
      <c r="H75" s="12"/>
      <c r="I75" s="12"/>
      <c r="J75" s="12"/>
      <c r="K75" s="12"/>
      <c r="L75" s="12"/>
    </row>
    <row r="76" spans="2:12" ht="12.75">
      <c r="B76" s="12"/>
      <c r="C76" s="12"/>
      <c r="D76" s="12"/>
      <c r="E76" s="12"/>
      <c r="F76" s="12"/>
      <c r="G76" s="12"/>
      <c r="H76" s="12"/>
      <c r="I76" s="12"/>
      <c r="J76" s="12"/>
      <c r="K76" s="12"/>
      <c r="L76" s="12"/>
    </row>
    <row r="77" spans="2:12" ht="12.75">
      <c r="B77" s="12"/>
      <c r="C77" s="12"/>
      <c r="D77" s="12"/>
      <c r="E77" s="12"/>
      <c r="F77" s="12"/>
      <c r="G77" s="12"/>
      <c r="H77" s="12"/>
      <c r="I77" s="12"/>
      <c r="J77" s="12"/>
      <c r="K77" s="12"/>
      <c r="L77" s="12"/>
    </row>
    <row r="78" spans="2:12" ht="12.75">
      <c r="B78" s="12"/>
      <c r="C78" s="12"/>
      <c r="D78" s="12"/>
      <c r="E78" s="12"/>
      <c r="F78" s="12"/>
      <c r="G78" s="12"/>
      <c r="H78" s="12"/>
      <c r="I78" s="12"/>
      <c r="J78" s="12"/>
      <c r="K78" s="12"/>
      <c r="L78" s="12"/>
    </row>
    <row r="79" spans="2:12" ht="12.75">
      <c r="B79" s="12"/>
      <c r="C79" s="12"/>
      <c r="D79" s="12"/>
      <c r="E79" s="12"/>
      <c r="F79" s="12"/>
      <c r="G79" s="12"/>
      <c r="H79" s="12"/>
      <c r="I79" s="12"/>
      <c r="J79" s="12"/>
      <c r="K79" s="12"/>
      <c r="L79" s="12"/>
    </row>
    <row r="80" spans="2:12" ht="12.75">
      <c r="B80" s="12"/>
      <c r="C80" s="12"/>
      <c r="D80" s="12"/>
      <c r="E80" s="12"/>
      <c r="F80" s="12"/>
      <c r="G80" s="12"/>
      <c r="H80" s="12"/>
      <c r="I80" s="12"/>
      <c r="J80" s="12"/>
      <c r="K80" s="12"/>
      <c r="L80" s="12"/>
    </row>
    <row r="81" spans="2:12" ht="12.75">
      <c r="B81" s="12"/>
      <c r="C81" s="12"/>
      <c r="D81" s="12"/>
      <c r="E81" s="12"/>
      <c r="F81" s="12"/>
      <c r="G81" s="12"/>
      <c r="H81" s="12"/>
      <c r="I81" s="12"/>
      <c r="J81" s="12"/>
      <c r="K81" s="12"/>
      <c r="L81" s="12"/>
    </row>
    <row r="82" spans="2:12" ht="12.75">
      <c r="B82" s="12"/>
      <c r="C82" s="12"/>
      <c r="D82" s="12"/>
      <c r="E82" s="12"/>
      <c r="F82" s="12"/>
      <c r="G82" s="12"/>
      <c r="H82" s="12"/>
      <c r="I82" s="12"/>
      <c r="J82" s="12"/>
      <c r="K82" s="12"/>
      <c r="L82" s="12"/>
    </row>
    <row r="83" spans="2:12" ht="12.75">
      <c r="B83" s="12"/>
      <c r="C83" s="12"/>
      <c r="D83" s="12"/>
      <c r="E83" s="12"/>
      <c r="F83" s="12"/>
      <c r="G83" s="12"/>
      <c r="H83" s="12"/>
      <c r="I83" s="12"/>
      <c r="J83" s="12"/>
      <c r="K83" s="12"/>
      <c r="L83" s="12"/>
    </row>
    <row r="84" spans="2:12" ht="12.75">
      <c r="B84" s="12"/>
      <c r="C84" s="12"/>
      <c r="D84" s="12"/>
      <c r="E84" s="12"/>
      <c r="F84" s="12"/>
      <c r="G84" s="12"/>
      <c r="H84" s="12"/>
      <c r="I84" s="12"/>
      <c r="J84" s="12"/>
      <c r="K84" s="12"/>
      <c r="L84" s="12"/>
    </row>
    <row r="85" spans="2:12" ht="12.75">
      <c r="B85" s="12"/>
      <c r="C85" s="12"/>
      <c r="D85" s="12"/>
      <c r="E85" s="12"/>
      <c r="F85" s="12"/>
      <c r="G85" s="12"/>
      <c r="H85" s="12"/>
      <c r="I85" s="12"/>
      <c r="J85" s="12"/>
      <c r="K85" s="12"/>
      <c r="L85" s="12"/>
    </row>
    <row r="86" spans="2:12" ht="12.75">
      <c r="B86" s="12"/>
      <c r="C86" s="12"/>
      <c r="D86" s="12"/>
      <c r="E86" s="12"/>
      <c r="F86" s="12"/>
      <c r="G86" s="12"/>
      <c r="H86" s="12"/>
      <c r="I86" s="12"/>
      <c r="J86" s="12"/>
      <c r="K86" s="12"/>
      <c r="L86" s="12"/>
    </row>
    <row r="87" spans="2:12" ht="12.75">
      <c r="B87" s="12"/>
      <c r="C87" s="12"/>
      <c r="D87" s="12"/>
      <c r="E87" s="12"/>
      <c r="F87" s="12"/>
      <c r="G87" s="12"/>
      <c r="H87" s="12"/>
      <c r="I87" s="12"/>
      <c r="J87" s="12"/>
      <c r="K87" s="12"/>
      <c r="L87" s="12"/>
    </row>
    <row r="88" spans="2:12" ht="12.75">
      <c r="B88" s="12"/>
      <c r="C88" s="12"/>
      <c r="D88" s="12"/>
      <c r="E88" s="12"/>
      <c r="F88" s="12"/>
      <c r="G88" s="12"/>
      <c r="H88" s="12"/>
      <c r="I88" s="12"/>
      <c r="J88" s="12"/>
      <c r="K88" s="12"/>
      <c r="L88" s="12"/>
    </row>
    <row r="89" spans="2:12" ht="12.75">
      <c r="B89" s="12"/>
      <c r="C89" s="12"/>
      <c r="D89" s="12"/>
      <c r="E89" s="12"/>
      <c r="F89" s="12"/>
      <c r="G89" s="12"/>
      <c r="H89" s="12"/>
      <c r="I89" s="12"/>
      <c r="J89" s="12"/>
      <c r="K89" s="12"/>
      <c r="L89" s="12"/>
    </row>
    <row r="90" spans="2:12" ht="12.75">
      <c r="B90" s="12"/>
      <c r="C90" s="12"/>
      <c r="D90" s="12"/>
      <c r="E90" s="12"/>
      <c r="F90" s="12"/>
      <c r="G90" s="12"/>
      <c r="H90" s="12"/>
      <c r="I90" s="12"/>
      <c r="J90" s="12"/>
      <c r="K90" s="12"/>
      <c r="L90" s="12"/>
    </row>
    <row r="91" spans="2:12" ht="12.75">
      <c r="B91" s="12"/>
      <c r="C91" s="12"/>
      <c r="D91" s="12"/>
      <c r="E91" s="12"/>
      <c r="F91" s="12"/>
      <c r="G91" s="12"/>
      <c r="H91" s="12"/>
      <c r="I91" s="12"/>
      <c r="J91" s="12"/>
      <c r="K91" s="12"/>
      <c r="L91" s="12"/>
    </row>
    <row r="92" spans="2:12" ht="12.75">
      <c r="B92" s="12"/>
      <c r="C92" s="12"/>
      <c r="D92" s="12"/>
      <c r="E92" s="12"/>
      <c r="F92" s="12"/>
      <c r="G92" s="12"/>
      <c r="H92" s="12"/>
      <c r="I92" s="12"/>
      <c r="J92" s="12"/>
      <c r="K92" s="12"/>
      <c r="L92" s="12"/>
    </row>
    <row r="93" spans="2:12" ht="12.75">
      <c r="B93" s="12"/>
      <c r="C93" s="12"/>
      <c r="D93" s="12"/>
      <c r="E93" s="12"/>
      <c r="F93" s="12"/>
      <c r="G93" s="12"/>
      <c r="H93" s="12"/>
      <c r="I93" s="12"/>
      <c r="J93" s="12"/>
      <c r="K93" s="12"/>
      <c r="L93" s="12"/>
    </row>
    <row r="94" spans="2:12" ht="12.75">
      <c r="B94" s="12"/>
      <c r="C94" s="12"/>
      <c r="D94" s="12"/>
      <c r="E94" s="12"/>
      <c r="F94" s="12"/>
      <c r="G94" s="12"/>
      <c r="H94" s="12"/>
      <c r="I94" s="12"/>
      <c r="J94" s="12"/>
      <c r="K94" s="12"/>
      <c r="L94" s="12"/>
    </row>
    <row r="95" spans="2:12" ht="12.75">
      <c r="B95" s="12"/>
      <c r="C95" s="12"/>
      <c r="D95" s="12"/>
      <c r="E95" s="12"/>
      <c r="F95" s="12"/>
      <c r="G95" s="12"/>
      <c r="H95" s="12"/>
      <c r="I95" s="12"/>
      <c r="J95" s="12"/>
      <c r="K95" s="12"/>
      <c r="L95" s="12"/>
    </row>
    <row r="96" spans="2:12" ht="12.75">
      <c r="B96" s="12"/>
      <c r="C96" s="12"/>
      <c r="D96" s="12"/>
      <c r="E96" s="12"/>
      <c r="F96" s="12"/>
      <c r="G96" s="12"/>
      <c r="H96" s="12"/>
      <c r="I96" s="12"/>
      <c r="J96" s="12"/>
      <c r="K96" s="12"/>
      <c r="L96" s="12"/>
    </row>
    <row r="97" spans="2:12" ht="12.75">
      <c r="B97" s="12"/>
      <c r="C97" s="12"/>
      <c r="D97" s="12"/>
      <c r="E97" s="12"/>
      <c r="F97" s="12"/>
      <c r="G97" s="12"/>
      <c r="H97" s="12"/>
      <c r="I97" s="12"/>
      <c r="J97" s="12"/>
      <c r="K97" s="12"/>
      <c r="L97" s="12"/>
    </row>
    <row r="98" spans="2:12" ht="12.75">
      <c r="B98" s="12"/>
      <c r="C98" s="12"/>
      <c r="D98" s="12"/>
      <c r="E98" s="12"/>
      <c r="F98" s="12"/>
      <c r="G98" s="12"/>
      <c r="H98" s="12"/>
      <c r="I98" s="12"/>
      <c r="J98" s="12"/>
      <c r="K98" s="12"/>
      <c r="L98" s="12"/>
    </row>
    <row r="99" spans="2:12" ht="12.75">
      <c r="B99" s="12"/>
      <c r="C99" s="12"/>
      <c r="D99" s="12"/>
      <c r="E99" s="12"/>
      <c r="F99" s="12"/>
      <c r="G99" s="12"/>
      <c r="H99" s="12"/>
      <c r="I99" s="12"/>
      <c r="J99" s="12"/>
      <c r="K99" s="12"/>
      <c r="L99" s="12"/>
    </row>
    <row r="100" spans="2:12" ht="12.75">
      <c r="B100" s="12"/>
      <c r="C100" s="12"/>
      <c r="D100" s="12"/>
      <c r="E100" s="12"/>
      <c r="F100" s="12"/>
      <c r="G100" s="12"/>
      <c r="H100" s="12"/>
      <c r="I100" s="12"/>
      <c r="J100" s="12"/>
      <c r="K100" s="12"/>
      <c r="L100" s="12"/>
    </row>
    <row r="101" spans="2:12" ht="12.75">
      <c r="B101" s="12"/>
      <c r="C101" s="12"/>
      <c r="D101" s="12"/>
      <c r="E101" s="12"/>
      <c r="F101" s="12"/>
      <c r="G101" s="12"/>
      <c r="H101" s="12"/>
      <c r="I101" s="12"/>
      <c r="J101" s="12"/>
      <c r="K101" s="12"/>
      <c r="L101" s="12"/>
    </row>
    <row r="102" spans="2:12" ht="12.75">
      <c r="B102" s="12"/>
      <c r="C102" s="12"/>
      <c r="D102" s="12"/>
      <c r="E102" s="12"/>
      <c r="F102" s="12"/>
      <c r="G102" s="12"/>
      <c r="H102" s="12"/>
      <c r="I102" s="12"/>
      <c r="J102" s="12"/>
      <c r="K102" s="12"/>
      <c r="L102" s="12"/>
    </row>
    <row r="103" spans="2:12" ht="12.75">
      <c r="B103" s="12"/>
      <c r="C103" s="12"/>
      <c r="D103" s="12"/>
      <c r="E103" s="12"/>
      <c r="F103" s="12"/>
      <c r="G103" s="12"/>
      <c r="H103" s="12"/>
      <c r="I103" s="12"/>
      <c r="J103" s="12"/>
      <c r="K103" s="12"/>
      <c r="L103" s="12"/>
    </row>
    <row r="104" spans="2:12" ht="12.75">
      <c r="B104" s="12"/>
      <c r="C104" s="12"/>
      <c r="D104" s="12"/>
      <c r="E104" s="12"/>
      <c r="F104" s="12"/>
      <c r="G104" s="12"/>
      <c r="H104" s="12"/>
      <c r="I104" s="12"/>
      <c r="J104" s="12"/>
      <c r="K104" s="12"/>
      <c r="L104" s="12"/>
    </row>
    <row r="105" spans="2:12" ht="12.75">
      <c r="B105" s="12"/>
      <c r="C105" s="12"/>
      <c r="D105" s="12"/>
      <c r="E105" s="12"/>
      <c r="F105" s="12"/>
      <c r="G105" s="12"/>
      <c r="H105" s="12"/>
      <c r="I105" s="12"/>
      <c r="J105" s="12"/>
      <c r="K105" s="12"/>
      <c r="L105" s="12"/>
    </row>
    <row r="106" spans="2:12" ht="12.75">
      <c r="B106" s="12"/>
      <c r="C106" s="12"/>
      <c r="D106" s="12"/>
      <c r="E106" s="12"/>
      <c r="F106" s="12"/>
      <c r="G106" s="12"/>
      <c r="H106" s="12"/>
      <c r="I106" s="12"/>
      <c r="J106" s="12"/>
      <c r="K106" s="12"/>
      <c r="L106" s="12"/>
    </row>
    <row r="107" spans="2:12" ht="12.75">
      <c r="B107" s="12"/>
      <c r="C107" s="12"/>
      <c r="D107" s="12"/>
      <c r="E107" s="12"/>
      <c r="F107" s="12"/>
      <c r="G107" s="12"/>
      <c r="H107" s="12"/>
      <c r="I107" s="12"/>
      <c r="J107" s="12"/>
      <c r="K107" s="12"/>
      <c r="L107" s="12"/>
    </row>
    <row r="108" spans="2:12" ht="12.75">
      <c r="B108" s="12"/>
      <c r="C108" s="12"/>
      <c r="D108" s="12"/>
      <c r="E108" s="12"/>
      <c r="F108" s="12"/>
      <c r="G108" s="12"/>
      <c r="H108" s="12"/>
      <c r="I108" s="12"/>
      <c r="J108" s="12"/>
      <c r="K108" s="12"/>
      <c r="L108" s="12"/>
    </row>
    <row r="109" spans="2:12" ht="12.75">
      <c r="B109" s="12"/>
      <c r="C109" s="12"/>
      <c r="D109" s="12"/>
      <c r="E109" s="12"/>
      <c r="F109" s="12"/>
      <c r="G109" s="12"/>
      <c r="H109" s="12"/>
      <c r="I109" s="12"/>
      <c r="J109" s="12"/>
      <c r="K109" s="12"/>
      <c r="L109" s="12"/>
    </row>
    <row r="110" spans="2:12" ht="12.75">
      <c r="B110" s="12"/>
      <c r="C110" s="12"/>
      <c r="D110" s="12"/>
      <c r="E110" s="12"/>
      <c r="F110" s="12"/>
      <c r="G110" s="12"/>
      <c r="H110" s="12"/>
      <c r="I110" s="12"/>
      <c r="J110" s="12"/>
      <c r="K110" s="12"/>
      <c r="L110" s="12"/>
    </row>
    <row r="111" spans="2:12" ht="12.75">
      <c r="B111" s="12"/>
      <c r="C111" s="12"/>
      <c r="D111" s="12"/>
      <c r="E111" s="12"/>
      <c r="F111" s="12"/>
      <c r="G111" s="12"/>
      <c r="H111" s="12"/>
      <c r="I111" s="12"/>
      <c r="J111" s="12"/>
      <c r="K111" s="12"/>
      <c r="L111" s="12"/>
    </row>
    <row r="112" spans="2:12" ht="12.75">
      <c r="B112" s="12"/>
      <c r="C112" s="12"/>
      <c r="D112" s="12"/>
      <c r="E112" s="12"/>
      <c r="F112" s="12"/>
      <c r="G112" s="12"/>
      <c r="H112" s="12"/>
      <c r="I112" s="12"/>
      <c r="J112" s="12"/>
      <c r="K112" s="12"/>
      <c r="L112" s="12"/>
    </row>
    <row r="113" spans="2:12" ht="12.75">
      <c r="B113" s="12"/>
      <c r="C113" s="12"/>
      <c r="D113" s="12"/>
      <c r="E113" s="12"/>
      <c r="F113" s="12"/>
      <c r="G113" s="12"/>
      <c r="H113" s="12"/>
      <c r="I113" s="12"/>
      <c r="J113" s="12"/>
      <c r="K113" s="12"/>
      <c r="L113" s="12"/>
    </row>
    <row r="114" spans="2:12" ht="12.75">
      <c r="B114" s="12"/>
      <c r="C114" s="12"/>
      <c r="D114" s="12"/>
      <c r="E114" s="12"/>
      <c r="F114" s="12"/>
      <c r="G114" s="12"/>
      <c r="H114" s="12"/>
      <c r="I114" s="12"/>
      <c r="J114" s="12"/>
      <c r="K114" s="12"/>
      <c r="L114" s="12"/>
    </row>
    <row r="115" spans="2:12" ht="12.75">
      <c r="B115" s="12"/>
      <c r="C115" s="12"/>
      <c r="D115" s="12"/>
      <c r="E115" s="12"/>
      <c r="F115" s="12"/>
      <c r="G115" s="12"/>
      <c r="H115" s="12"/>
      <c r="I115" s="12"/>
      <c r="J115" s="12"/>
      <c r="K115" s="12"/>
      <c r="L115" s="12"/>
    </row>
    <row r="116" spans="2:12" ht="12.75">
      <c r="B116" s="12"/>
      <c r="C116" s="12"/>
      <c r="D116" s="12"/>
      <c r="E116" s="12"/>
      <c r="F116" s="12"/>
      <c r="G116" s="12"/>
      <c r="H116" s="12"/>
      <c r="I116" s="12"/>
      <c r="J116" s="12"/>
      <c r="K116" s="12"/>
      <c r="L116" s="12"/>
    </row>
    <row r="117" spans="2:12" ht="12.75">
      <c r="B117" s="12"/>
      <c r="C117" s="12"/>
      <c r="D117" s="12"/>
      <c r="E117" s="12"/>
      <c r="F117" s="12"/>
      <c r="G117" s="12"/>
      <c r="H117" s="12"/>
      <c r="I117" s="12"/>
      <c r="J117" s="12"/>
      <c r="K117" s="12"/>
      <c r="L117" s="12"/>
    </row>
    <row r="118" spans="2:12" ht="12.75">
      <c r="B118" s="12"/>
      <c r="C118" s="12"/>
      <c r="D118" s="12"/>
      <c r="E118" s="12"/>
      <c r="F118" s="12"/>
      <c r="G118" s="12"/>
      <c r="H118" s="12"/>
      <c r="I118" s="12"/>
      <c r="J118" s="12"/>
      <c r="K118" s="12"/>
      <c r="L118" s="12"/>
    </row>
    <row r="119" spans="2:12" ht="12.75">
      <c r="B119" s="12"/>
      <c r="C119" s="12"/>
      <c r="D119" s="12"/>
      <c r="E119" s="12"/>
      <c r="F119" s="12"/>
      <c r="G119" s="12"/>
      <c r="H119" s="12"/>
      <c r="I119" s="12"/>
      <c r="J119" s="12"/>
      <c r="K119" s="12"/>
      <c r="L119" s="12"/>
    </row>
    <row r="120" spans="2:12" ht="12.75">
      <c r="B120" s="12"/>
      <c r="C120" s="12"/>
      <c r="D120" s="12"/>
      <c r="E120" s="12"/>
      <c r="F120" s="12"/>
      <c r="G120" s="12"/>
      <c r="H120" s="12"/>
      <c r="I120" s="12"/>
      <c r="J120" s="12"/>
      <c r="K120" s="12"/>
      <c r="L120" s="12"/>
    </row>
    <row r="121" spans="2:12" ht="12.75">
      <c r="B121" s="12"/>
      <c r="C121" s="12"/>
      <c r="D121" s="12"/>
      <c r="E121" s="12"/>
      <c r="F121" s="12"/>
      <c r="G121" s="12"/>
      <c r="H121" s="12"/>
      <c r="I121" s="12"/>
      <c r="J121" s="12"/>
      <c r="K121" s="12"/>
      <c r="L121" s="12"/>
    </row>
    <row r="122" spans="2:12" ht="12.75">
      <c r="B122" s="12"/>
      <c r="C122" s="12"/>
      <c r="D122" s="12"/>
      <c r="E122" s="12"/>
      <c r="F122" s="12"/>
      <c r="G122" s="12"/>
      <c r="H122" s="12"/>
      <c r="I122" s="12"/>
      <c r="J122" s="12"/>
      <c r="K122" s="12"/>
      <c r="L122" s="12"/>
    </row>
    <row r="123" spans="2:12" ht="12.75">
      <c r="B123" s="12"/>
      <c r="C123" s="12"/>
      <c r="D123" s="12"/>
      <c r="E123" s="12"/>
      <c r="F123" s="12"/>
      <c r="G123" s="12"/>
      <c r="H123" s="12"/>
      <c r="I123" s="12"/>
      <c r="J123" s="12"/>
      <c r="K123" s="12"/>
      <c r="L123" s="12"/>
    </row>
    <row r="124" spans="2:12" ht="12.75">
      <c r="B124" s="12"/>
      <c r="C124" s="12"/>
      <c r="D124" s="12"/>
      <c r="E124" s="12"/>
      <c r="F124" s="12"/>
      <c r="G124" s="12"/>
      <c r="H124" s="12"/>
      <c r="I124" s="12"/>
      <c r="J124" s="12"/>
      <c r="K124" s="12"/>
      <c r="L124" s="12"/>
    </row>
    <row r="125" spans="2:12" ht="12.75">
      <c r="B125" s="12"/>
      <c r="C125" s="12"/>
      <c r="D125" s="12"/>
      <c r="E125" s="12"/>
      <c r="F125" s="12"/>
      <c r="G125" s="12"/>
      <c r="H125" s="12"/>
      <c r="I125" s="12"/>
      <c r="J125" s="12"/>
      <c r="K125" s="12"/>
      <c r="L125" s="12"/>
    </row>
    <row r="126" spans="2:12" ht="12.75">
      <c r="B126" s="12"/>
      <c r="C126" s="12"/>
      <c r="D126" s="12"/>
      <c r="E126" s="12"/>
      <c r="F126" s="12"/>
      <c r="G126" s="12"/>
      <c r="H126" s="12"/>
      <c r="I126" s="12"/>
      <c r="J126" s="12"/>
      <c r="K126" s="12"/>
      <c r="L126" s="12"/>
    </row>
    <row r="127" spans="2:12" ht="12.75">
      <c r="B127" s="12"/>
      <c r="C127" s="12"/>
      <c r="D127" s="12"/>
      <c r="E127" s="12"/>
      <c r="F127" s="12"/>
      <c r="G127" s="12"/>
      <c r="H127" s="12"/>
      <c r="I127" s="12"/>
      <c r="J127" s="12"/>
      <c r="K127" s="12"/>
      <c r="L127" s="12"/>
    </row>
    <row r="128" spans="2:12" ht="12.75">
      <c r="B128" s="12"/>
      <c r="C128" s="12"/>
      <c r="D128" s="12"/>
      <c r="E128" s="12"/>
      <c r="F128" s="12"/>
      <c r="G128" s="12"/>
      <c r="H128" s="12"/>
      <c r="I128" s="12"/>
      <c r="J128" s="12"/>
      <c r="K128" s="12"/>
      <c r="L128" s="12"/>
    </row>
    <row r="129" spans="2:12" ht="12.75">
      <c r="B129" s="12"/>
      <c r="C129" s="12"/>
      <c r="D129" s="12"/>
      <c r="E129" s="12"/>
      <c r="F129" s="12"/>
      <c r="G129" s="12"/>
      <c r="H129" s="12"/>
      <c r="I129" s="12"/>
      <c r="J129" s="12"/>
      <c r="K129" s="12"/>
      <c r="L129" s="12"/>
    </row>
    <row r="130" spans="2:12" ht="12.75">
      <c r="B130" s="12"/>
      <c r="C130" s="12"/>
      <c r="D130" s="12"/>
      <c r="E130" s="12"/>
      <c r="F130" s="12"/>
      <c r="G130" s="12"/>
      <c r="H130" s="12"/>
      <c r="I130" s="12"/>
      <c r="J130" s="12"/>
      <c r="K130" s="12"/>
      <c r="L130" s="12"/>
    </row>
    <row r="131" spans="2:12" ht="12.75">
      <c r="B131" s="12"/>
      <c r="C131" s="12"/>
      <c r="D131" s="12"/>
      <c r="E131" s="12"/>
      <c r="F131" s="12"/>
      <c r="G131" s="12"/>
      <c r="H131" s="12"/>
      <c r="I131" s="12"/>
      <c r="J131" s="12"/>
      <c r="K131" s="12"/>
      <c r="L131" s="12"/>
    </row>
    <row r="132" spans="2:12" ht="12.75">
      <c r="B132" s="12"/>
      <c r="C132" s="12"/>
      <c r="D132" s="12"/>
      <c r="E132" s="12"/>
      <c r="F132" s="12"/>
      <c r="G132" s="12"/>
      <c r="H132" s="12"/>
      <c r="I132" s="12"/>
      <c r="J132" s="12"/>
      <c r="K132" s="12"/>
      <c r="L132" s="12"/>
    </row>
    <row r="133" spans="2:12" ht="12.75">
      <c r="B133" s="12"/>
      <c r="C133" s="12"/>
      <c r="D133" s="12"/>
      <c r="E133" s="12"/>
      <c r="F133" s="12"/>
      <c r="G133" s="12"/>
      <c r="H133" s="12"/>
      <c r="I133" s="12"/>
      <c r="J133" s="12"/>
      <c r="K133" s="12"/>
      <c r="L133" s="12"/>
    </row>
    <row r="134" spans="2:12" ht="12.75">
      <c r="B134" s="12"/>
      <c r="C134" s="12"/>
      <c r="D134" s="12"/>
      <c r="E134" s="12"/>
      <c r="F134" s="12"/>
      <c r="G134" s="12"/>
      <c r="H134" s="12"/>
      <c r="I134" s="12"/>
      <c r="J134" s="12"/>
      <c r="K134" s="12"/>
      <c r="L134" s="12"/>
    </row>
    <row r="135" spans="2:12" ht="12.75">
      <c r="B135" s="12"/>
      <c r="C135" s="12"/>
      <c r="D135" s="12"/>
      <c r="E135" s="12"/>
      <c r="F135" s="12"/>
      <c r="G135" s="12"/>
      <c r="H135" s="12"/>
      <c r="I135" s="12"/>
      <c r="J135" s="12"/>
      <c r="K135" s="12"/>
      <c r="L135" s="12"/>
    </row>
    <row r="136" spans="2:12" ht="12.75">
      <c r="B136" s="12"/>
      <c r="C136" s="12"/>
      <c r="D136" s="12"/>
      <c r="E136" s="12"/>
      <c r="F136" s="12"/>
      <c r="G136" s="12"/>
      <c r="H136" s="12"/>
      <c r="I136" s="12"/>
      <c r="J136" s="12"/>
      <c r="K136" s="12"/>
      <c r="L136" s="12"/>
    </row>
    <row r="137" spans="2:12" ht="12.75">
      <c r="B137" s="12"/>
      <c r="C137" s="12"/>
      <c r="D137" s="12"/>
      <c r="E137" s="12"/>
      <c r="F137" s="12"/>
      <c r="G137" s="12"/>
      <c r="H137" s="12"/>
      <c r="I137" s="12"/>
      <c r="J137" s="12"/>
      <c r="K137" s="12"/>
      <c r="L137" s="12"/>
    </row>
    <row r="138" spans="2:12" ht="12.75">
      <c r="B138" s="12"/>
      <c r="C138" s="12"/>
      <c r="D138" s="12"/>
      <c r="E138" s="12"/>
      <c r="F138" s="12"/>
      <c r="G138" s="12"/>
      <c r="H138" s="12"/>
      <c r="I138" s="12"/>
      <c r="J138" s="12"/>
      <c r="K138" s="12"/>
      <c r="L138" s="12"/>
    </row>
    <row r="139" spans="2:12" ht="12.75">
      <c r="B139" s="12"/>
      <c r="C139" s="12"/>
      <c r="D139" s="12"/>
      <c r="E139" s="12"/>
      <c r="F139" s="12"/>
      <c r="G139" s="12"/>
      <c r="H139" s="12"/>
      <c r="I139" s="12"/>
      <c r="J139" s="12"/>
      <c r="K139" s="12"/>
      <c r="L139" s="12"/>
    </row>
    <row r="140" spans="2:12" ht="12.75">
      <c r="B140" s="12"/>
      <c r="C140" s="12"/>
      <c r="D140" s="12"/>
      <c r="E140" s="12"/>
      <c r="F140" s="12"/>
      <c r="G140" s="12"/>
      <c r="H140" s="12"/>
      <c r="I140" s="12"/>
      <c r="J140" s="12"/>
      <c r="K140" s="12"/>
      <c r="L140" s="12"/>
    </row>
    <row r="141" spans="2:12" ht="12.75">
      <c r="B141" s="12"/>
      <c r="C141" s="12"/>
      <c r="D141" s="12"/>
      <c r="E141" s="12"/>
      <c r="F141" s="12"/>
      <c r="G141" s="12"/>
      <c r="H141" s="12"/>
      <c r="I141" s="12"/>
      <c r="J141" s="12"/>
      <c r="K141" s="12"/>
      <c r="L141" s="12"/>
    </row>
    <row r="142" spans="2:12" ht="12.75">
      <c r="B142" s="12"/>
      <c r="C142" s="12"/>
      <c r="D142" s="12"/>
      <c r="E142" s="12"/>
      <c r="F142" s="12"/>
      <c r="G142" s="12"/>
      <c r="H142" s="12"/>
      <c r="I142" s="12"/>
      <c r="J142" s="12"/>
      <c r="K142" s="12"/>
      <c r="L142" s="12"/>
    </row>
    <row r="143" spans="2:12" ht="12.75">
      <c r="B143" s="12"/>
      <c r="C143" s="12"/>
      <c r="D143" s="12"/>
      <c r="E143" s="12"/>
      <c r="F143" s="12"/>
      <c r="G143" s="12"/>
      <c r="H143" s="12"/>
      <c r="I143" s="12"/>
      <c r="J143" s="12"/>
      <c r="K143" s="12"/>
      <c r="L143" s="12"/>
    </row>
    <row r="144" spans="2:12" ht="12.75">
      <c r="B144" s="12"/>
      <c r="C144" s="12"/>
      <c r="D144" s="12"/>
      <c r="E144" s="12"/>
      <c r="F144" s="12"/>
      <c r="G144" s="12"/>
      <c r="H144" s="12"/>
      <c r="I144" s="12"/>
      <c r="J144" s="12"/>
      <c r="K144" s="12"/>
      <c r="L144" s="12"/>
    </row>
    <row r="145" spans="2:12" ht="12.75">
      <c r="B145" s="12"/>
      <c r="C145" s="12"/>
      <c r="D145" s="12"/>
      <c r="E145" s="12"/>
      <c r="F145" s="12"/>
      <c r="G145" s="12"/>
      <c r="H145" s="12"/>
      <c r="I145" s="12"/>
      <c r="J145" s="12"/>
      <c r="K145" s="12"/>
      <c r="L145" s="12"/>
    </row>
    <row r="146" spans="2:12" ht="12.75">
      <c r="B146" s="12"/>
      <c r="C146" s="12"/>
      <c r="D146" s="12"/>
      <c r="E146" s="12"/>
      <c r="F146" s="12"/>
      <c r="G146" s="12"/>
      <c r="H146" s="12"/>
      <c r="I146" s="12"/>
      <c r="J146" s="12"/>
      <c r="K146" s="12"/>
      <c r="L146" s="12"/>
    </row>
    <row r="147" spans="2:12" ht="12.75">
      <c r="B147" s="12"/>
      <c r="C147" s="12"/>
      <c r="D147" s="12"/>
      <c r="E147" s="12"/>
      <c r="F147" s="12"/>
      <c r="G147" s="12"/>
      <c r="H147" s="12"/>
      <c r="I147" s="12"/>
      <c r="J147" s="12"/>
      <c r="K147" s="12"/>
      <c r="L147" s="12"/>
    </row>
    <row r="148" spans="2:12" ht="12.75">
      <c r="B148" s="12"/>
      <c r="C148" s="12"/>
      <c r="D148" s="12"/>
      <c r="E148" s="12"/>
      <c r="F148" s="12"/>
      <c r="G148" s="12"/>
      <c r="H148" s="12"/>
      <c r="I148" s="12"/>
      <c r="J148" s="12"/>
      <c r="K148" s="12"/>
      <c r="L148" s="12"/>
    </row>
    <row r="149" spans="2:12" ht="12.75">
      <c r="B149" s="12"/>
      <c r="C149" s="12"/>
      <c r="D149" s="12"/>
      <c r="E149" s="12"/>
      <c r="F149" s="12"/>
      <c r="G149" s="12"/>
      <c r="H149" s="12"/>
      <c r="I149" s="12"/>
      <c r="J149" s="12"/>
      <c r="K149" s="12"/>
      <c r="L149" s="12"/>
    </row>
    <row r="150" spans="2:12" ht="12.75">
      <c r="B150" s="12"/>
      <c r="C150" s="12"/>
      <c r="D150" s="12"/>
      <c r="E150" s="12"/>
      <c r="F150" s="12"/>
      <c r="G150" s="12"/>
      <c r="H150" s="12"/>
      <c r="I150" s="12"/>
      <c r="J150" s="12"/>
      <c r="K150" s="12"/>
      <c r="L150" s="12"/>
    </row>
    <row r="151" spans="2:12" ht="12.75">
      <c r="B151" s="12"/>
      <c r="C151" s="12"/>
      <c r="D151" s="12"/>
      <c r="E151" s="12"/>
      <c r="F151" s="12"/>
      <c r="G151" s="12"/>
      <c r="H151" s="12"/>
      <c r="I151" s="12"/>
      <c r="J151" s="12"/>
      <c r="K151" s="12"/>
      <c r="L151" s="12"/>
    </row>
    <row r="152" spans="2:12" ht="12.75">
      <c r="B152" s="12"/>
      <c r="C152" s="12"/>
      <c r="D152" s="12"/>
      <c r="E152" s="12"/>
      <c r="F152" s="12"/>
      <c r="G152" s="12"/>
      <c r="H152" s="12"/>
      <c r="I152" s="12"/>
      <c r="J152" s="12"/>
      <c r="K152" s="12"/>
      <c r="L152" s="12"/>
    </row>
    <row r="153" spans="2:12" ht="12.75">
      <c r="B153" s="12"/>
      <c r="C153" s="12"/>
      <c r="D153" s="12"/>
      <c r="E153" s="12"/>
      <c r="F153" s="12"/>
      <c r="G153" s="12"/>
      <c r="H153" s="12"/>
      <c r="I153" s="12"/>
      <c r="J153" s="12"/>
      <c r="K153" s="12"/>
      <c r="L153" s="12"/>
    </row>
    <row r="154" spans="2:12" ht="12.75">
      <c r="B154" s="12"/>
      <c r="C154" s="12"/>
      <c r="D154" s="12"/>
      <c r="E154" s="12"/>
      <c r="F154" s="12"/>
      <c r="G154" s="12"/>
      <c r="H154" s="12"/>
      <c r="I154" s="12"/>
      <c r="J154" s="12"/>
      <c r="K154" s="12"/>
      <c r="L154" s="12"/>
    </row>
    <row r="155" spans="2:12" ht="12.75">
      <c r="B155" s="12"/>
      <c r="C155" s="12"/>
      <c r="D155" s="12"/>
      <c r="E155" s="12"/>
      <c r="F155" s="12"/>
      <c r="G155" s="12"/>
      <c r="H155" s="12"/>
      <c r="I155" s="12"/>
      <c r="J155" s="12"/>
      <c r="K155" s="12"/>
      <c r="L155" s="12"/>
    </row>
    <row r="156" spans="2:12" ht="12.75">
      <c r="B156" s="12"/>
      <c r="C156" s="12"/>
      <c r="D156" s="12"/>
      <c r="E156" s="12"/>
      <c r="F156" s="12"/>
      <c r="G156" s="12"/>
      <c r="H156" s="12"/>
      <c r="I156" s="12"/>
      <c r="J156" s="12"/>
      <c r="K156" s="12"/>
      <c r="L156" s="12"/>
    </row>
    <row r="157" spans="2:12" ht="12.75">
      <c r="B157" s="12"/>
      <c r="C157" s="12"/>
      <c r="D157" s="12"/>
      <c r="E157" s="12"/>
      <c r="F157" s="12"/>
      <c r="G157" s="12"/>
      <c r="H157" s="12"/>
      <c r="I157" s="12"/>
      <c r="J157" s="12"/>
      <c r="K157" s="12"/>
      <c r="L157" s="12"/>
    </row>
    <row r="158" spans="2:12" ht="12.75">
      <c r="B158" s="12"/>
      <c r="C158" s="12"/>
      <c r="D158" s="12"/>
      <c r="E158" s="12"/>
      <c r="F158" s="12"/>
      <c r="G158" s="12"/>
      <c r="H158" s="12"/>
      <c r="I158" s="12"/>
      <c r="J158" s="12"/>
      <c r="K158" s="12"/>
      <c r="L158" s="12"/>
    </row>
    <row r="159" spans="2:12" ht="12.75">
      <c r="B159" s="12"/>
      <c r="C159" s="12"/>
      <c r="D159" s="12"/>
      <c r="E159" s="12"/>
      <c r="F159" s="12"/>
      <c r="G159" s="12"/>
      <c r="H159" s="12"/>
      <c r="I159" s="12"/>
      <c r="J159" s="12"/>
      <c r="K159" s="12"/>
      <c r="L159" s="12"/>
    </row>
    <row r="160" spans="2:12" ht="12.75">
      <c r="B160" s="12"/>
      <c r="C160" s="12"/>
      <c r="D160" s="12"/>
      <c r="E160" s="12"/>
      <c r="F160" s="12"/>
      <c r="G160" s="12"/>
      <c r="H160" s="12"/>
      <c r="I160" s="12"/>
      <c r="J160" s="12"/>
      <c r="K160" s="12"/>
      <c r="L160" s="12"/>
    </row>
    <row r="161" spans="2:12" ht="12.75">
      <c r="B161" s="12"/>
      <c r="C161" s="12"/>
      <c r="D161" s="12"/>
      <c r="E161" s="12"/>
      <c r="F161" s="12"/>
      <c r="G161" s="12"/>
      <c r="H161" s="12"/>
      <c r="I161" s="12"/>
      <c r="J161" s="12"/>
      <c r="K161" s="12"/>
      <c r="L161" s="12"/>
    </row>
    <row r="162" spans="2:12" ht="12.75">
      <c r="B162" s="12"/>
      <c r="C162" s="12"/>
      <c r="D162" s="12"/>
      <c r="E162" s="12"/>
      <c r="F162" s="12"/>
      <c r="G162" s="12"/>
      <c r="H162" s="12"/>
      <c r="I162" s="12"/>
      <c r="J162" s="12"/>
      <c r="K162" s="12"/>
      <c r="L162" s="12"/>
    </row>
    <row r="163" spans="2:12" ht="12.75">
      <c r="B163" s="12"/>
      <c r="C163" s="12"/>
      <c r="D163" s="12"/>
      <c r="E163" s="12"/>
      <c r="F163" s="12"/>
      <c r="G163" s="12"/>
      <c r="H163" s="12"/>
      <c r="I163" s="12"/>
      <c r="J163" s="12"/>
      <c r="K163" s="12"/>
      <c r="L163" s="12"/>
    </row>
    <row r="164" spans="2:12" ht="12.75">
      <c r="B164" s="12"/>
      <c r="C164" s="12"/>
      <c r="D164" s="12"/>
      <c r="E164" s="12"/>
      <c r="F164" s="12"/>
      <c r="G164" s="12"/>
      <c r="H164" s="12"/>
      <c r="I164" s="12"/>
      <c r="J164" s="12"/>
      <c r="K164" s="12"/>
      <c r="L164" s="12"/>
    </row>
    <row r="165" spans="2:12" ht="12.75">
      <c r="B165" s="12"/>
      <c r="C165" s="12"/>
      <c r="D165" s="12"/>
      <c r="E165" s="12"/>
      <c r="F165" s="12"/>
      <c r="G165" s="12"/>
      <c r="H165" s="12"/>
      <c r="I165" s="12"/>
      <c r="J165" s="12"/>
      <c r="K165" s="12"/>
      <c r="L165" s="12"/>
    </row>
    <row r="166" spans="2:12" ht="12.75">
      <c r="B166" s="12"/>
      <c r="C166" s="12"/>
      <c r="D166" s="12"/>
      <c r="E166" s="12"/>
      <c r="F166" s="12"/>
      <c r="G166" s="12"/>
      <c r="H166" s="12"/>
      <c r="I166" s="12"/>
      <c r="J166" s="12"/>
      <c r="K166" s="12"/>
      <c r="L166" s="12"/>
    </row>
    <row r="167" spans="2:12" ht="12.75">
      <c r="B167" s="12"/>
      <c r="C167" s="12"/>
      <c r="D167" s="12"/>
      <c r="E167" s="12"/>
      <c r="F167" s="12"/>
      <c r="G167" s="12"/>
      <c r="H167" s="12"/>
      <c r="I167" s="12"/>
      <c r="J167" s="12"/>
      <c r="K167" s="12"/>
      <c r="L167" s="12"/>
    </row>
    <row r="168" spans="2:12" ht="12.75">
      <c r="B168" s="12"/>
      <c r="C168" s="12"/>
      <c r="D168" s="12"/>
      <c r="E168" s="12"/>
      <c r="F168" s="12"/>
      <c r="G168" s="12"/>
      <c r="H168" s="12"/>
      <c r="I168" s="12"/>
      <c r="J168" s="12"/>
      <c r="K168" s="12"/>
      <c r="L168" s="12"/>
    </row>
    <row r="169" spans="2:12" ht="12.75">
      <c r="B169" s="12"/>
      <c r="C169" s="12"/>
      <c r="D169" s="12"/>
      <c r="E169" s="12"/>
      <c r="F169" s="12"/>
      <c r="G169" s="12"/>
      <c r="H169" s="12"/>
      <c r="I169" s="12"/>
      <c r="J169" s="12"/>
      <c r="K169" s="12"/>
      <c r="L169" s="12"/>
    </row>
    <row r="170" spans="2:12" ht="12.75">
      <c r="B170" s="12"/>
      <c r="C170" s="12"/>
      <c r="D170" s="12"/>
      <c r="E170" s="12"/>
      <c r="F170" s="12"/>
      <c r="G170" s="12"/>
      <c r="H170" s="12"/>
      <c r="I170" s="12"/>
      <c r="J170" s="12"/>
      <c r="K170" s="12"/>
      <c r="L170" s="12"/>
    </row>
    <row r="171" spans="2:12" ht="12.75">
      <c r="B171" s="12"/>
      <c r="C171" s="12"/>
      <c r="D171" s="12"/>
      <c r="E171" s="12"/>
      <c r="F171" s="12"/>
      <c r="G171" s="12"/>
      <c r="H171" s="12"/>
      <c r="I171" s="12"/>
      <c r="J171" s="12"/>
      <c r="K171" s="12"/>
      <c r="L171" s="12"/>
    </row>
    <row r="172" spans="2:12" ht="12.75">
      <c r="B172" s="12"/>
      <c r="C172" s="12"/>
      <c r="D172" s="12"/>
      <c r="E172" s="12"/>
      <c r="F172" s="12"/>
      <c r="G172" s="12"/>
      <c r="H172" s="12"/>
      <c r="I172" s="12"/>
      <c r="J172" s="12"/>
      <c r="K172" s="12"/>
      <c r="L172" s="12"/>
    </row>
    <row r="173" spans="2:12" ht="12.75">
      <c r="B173" s="12"/>
      <c r="C173" s="12"/>
      <c r="D173" s="12"/>
      <c r="E173" s="12"/>
      <c r="F173" s="12"/>
      <c r="G173" s="12"/>
      <c r="H173" s="12"/>
      <c r="I173" s="12"/>
      <c r="J173" s="12"/>
      <c r="K173" s="12"/>
      <c r="L173" s="12"/>
    </row>
    <row r="174" spans="2:12" ht="12.75">
      <c r="B174" s="12"/>
      <c r="C174" s="12"/>
      <c r="D174" s="12"/>
      <c r="E174" s="12"/>
      <c r="F174" s="12"/>
      <c r="G174" s="12"/>
      <c r="H174" s="12"/>
      <c r="I174" s="12"/>
      <c r="J174" s="12"/>
      <c r="K174" s="12"/>
      <c r="L174" s="12"/>
    </row>
    <row r="175" spans="2:12" ht="12.75">
      <c r="B175" s="12"/>
      <c r="C175" s="12"/>
      <c r="D175" s="12"/>
      <c r="E175" s="12"/>
      <c r="F175" s="12"/>
      <c r="G175" s="12"/>
      <c r="H175" s="12"/>
      <c r="I175" s="12"/>
      <c r="J175" s="12"/>
      <c r="K175" s="12"/>
      <c r="L175" s="12"/>
    </row>
    <row r="176" spans="2:12" ht="12.75">
      <c r="B176" s="12"/>
      <c r="C176" s="12"/>
      <c r="D176" s="12"/>
      <c r="E176" s="12"/>
      <c r="F176" s="12"/>
      <c r="G176" s="12"/>
      <c r="H176" s="12"/>
      <c r="I176" s="12"/>
      <c r="J176" s="12"/>
      <c r="K176" s="12"/>
      <c r="L176" s="12"/>
    </row>
    <row r="177" spans="2:12" ht="12.75">
      <c r="B177" s="12"/>
      <c r="C177" s="12"/>
      <c r="D177" s="12"/>
      <c r="E177" s="12"/>
      <c r="F177" s="12"/>
      <c r="G177" s="12"/>
      <c r="H177" s="12"/>
      <c r="I177" s="12"/>
      <c r="J177" s="12"/>
      <c r="K177" s="12"/>
      <c r="L177" s="12"/>
    </row>
    <row r="178" spans="2:12" ht="12.75">
      <c r="B178" s="12"/>
      <c r="C178" s="12"/>
      <c r="D178" s="12"/>
      <c r="E178" s="12"/>
      <c r="F178" s="12"/>
      <c r="G178" s="12"/>
      <c r="H178" s="12"/>
      <c r="I178" s="12"/>
      <c r="J178" s="12"/>
      <c r="K178" s="12"/>
      <c r="L178" s="12"/>
    </row>
    <row r="179" spans="2:12" ht="12.75">
      <c r="B179" s="12"/>
      <c r="C179" s="12"/>
      <c r="D179" s="12"/>
      <c r="E179" s="12"/>
      <c r="F179" s="12"/>
      <c r="G179" s="12"/>
      <c r="H179" s="12"/>
      <c r="I179" s="12"/>
      <c r="J179" s="12"/>
      <c r="K179" s="12"/>
      <c r="L179" s="12"/>
    </row>
    <row r="180" spans="2:12" ht="12.75">
      <c r="B180" s="12"/>
      <c r="C180" s="12"/>
      <c r="D180" s="12"/>
      <c r="E180" s="12"/>
      <c r="F180" s="12"/>
      <c r="G180" s="12"/>
      <c r="H180" s="12"/>
      <c r="I180" s="12"/>
      <c r="J180" s="12"/>
      <c r="K180" s="12"/>
      <c r="L180" s="12"/>
    </row>
    <row r="181" spans="2:12" ht="12.75">
      <c r="B181" s="12"/>
      <c r="C181" s="12"/>
      <c r="D181" s="12"/>
      <c r="E181" s="12"/>
      <c r="F181" s="12"/>
      <c r="G181" s="12"/>
      <c r="H181" s="12"/>
      <c r="I181" s="12"/>
      <c r="J181" s="12"/>
      <c r="K181" s="12"/>
      <c r="L181" s="12"/>
    </row>
    <row r="182" spans="2:12" ht="12.75">
      <c r="B182" s="12"/>
      <c r="C182" s="12"/>
      <c r="D182" s="12"/>
      <c r="E182" s="12"/>
      <c r="F182" s="12"/>
      <c r="G182" s="12"/>
      <c r="H182" s="12"/>
      <c r="I182" s="12"/>
      <c r="J182" s="12"/>
      <c r="K182" s="12"/>
      <c r="L182" s="12"/>
    </row>
    <row r="183" spans="2:12" ht="12.75">
      <c r="B183" s="12"/>
      <c r="C183" s="12"/>
      <c r="D183" s="12"/>
      <c r="E183" s="12"/>
      <c r="F183" s="12"/>
      <c r="G183" s="12"/>
      <c r="H183" s="12"/>
      <c r="I183" s="12"/>
      <c r="J183" s="12"/>
      <c r="K183" s="12"/>
      <c r="L183" s="12"/>
    </row>
    <row r="184" spans="2:12" ht="12.75">
      <c r="B184" s="12"/>
      <c r="C184" s="12"/>
      <c r="D184" s="12"/>
      <c r="E184" s="12"/>
      <c r="F184" s="12"/>
      <c r="G184" s="12"/>
      <c r="H184" s="12"/>
      <c r="I184" s="12"/>
      <c r="J184" s="12"/>
      <c r="K184" s="12"/>
      <c r="L184" s="12"/>
    </row>
    <row r="185" spans="2:12" ht="12.75">
      <c r="B185" s="12"/>
      <c r="C185" s="12"/>
      <c r="D185" s="12"/>
      <c r="E185" s="12"/>
      <c r="F185" s="12"/>
      <c r="G185" s="12"/>
      <c r="H185" s="12"/>
      <c r="I185" s="12"/>
      <c r="J185" s="12"/>
      <c r="K185" s="12"/>
      <c r="L185" s="12"/>
    </row>
    <row r="186" spans="2:12" ht="12.75">
      <c r="B186" s="12"/>
      <c r="C186" s="12"/>
      <c r="D186" s="12"/>
      <c r="E186" s="12"/>
      <c r="F186" s="12"/>
      <c r="G186" s="12"/>
      <c r="H186" s="12"/>
      <c r="I186" s="12"/>
      <c r="J186" s="12"/>
      <c r="K186" s="12"/>
      <c r="L186" s="12"/>
    </row>
    <row r="187" spans="2:12" ht="12.75">
      <c r="B187" s="12"/>
      <c r="C187" s="12"/>
      <c r="D187" s="12"/>
      <c r="E187" s="12"/>
      <c r="F187" s="12"/>
      <c r="G187" s="12"/>
      <c r="H187" s="12"/>
      <c r="I187" s="12"/>
      <c r="J187" s="12"/>
      <c r="K187" s="12"/>
      <c r="L187" s="12"/>
    </row>
    <row r="188" spans="2:12" ht="12.75">
      <c r="B188" s="12"/>
      <c r="C188" s="12"/>
      <c r="D188" s="12"/>
      <c r="E188" s="12"/>
      <c r="F188" s="12"/>
      <c r="G188" s="12"/>
      <c r="H188" s="12"/>
      <c r="I188" s="12"/>
      <c r="J188" s="12"/>
      <c r="K188" s="12"/>
      <c r="L188" s="12"/>
    </row>
    <row r="189" spans="2:12" ht="12.75">
      <c r="B189" s="12"/>
      <c r="C189" s="12"/>
      <c r="D189" s="12"/>
      <c r="E189" s="12"/>
      <c r="F189" s="12"/>
      <c r="G189" s="12"/>
      <c r="H189" s="12"/>
      <c r="I189" s="12"/>
      <c r="J189" s="12"/>
      <c r="K189" s="12"/>
      <c r="L189" s="12"/>
    </row>
    <row r="190" spans="2:12" ht="12.75">
      <c r="B190" s="12"/>
      <c r="C190" s="12"/>
      <c r="D190" s="12"/>
      <c r="E190" s="12"/>
      <c r="F190" s="12"/>
      <c r="G190" s="12"/>
      <c r="H190" s="12"/>
      <c r="I190" s="12"/>
      <c r="J190" s="12"/>
      <c r="K190" s="12"/>
      <c r="L190" s="12"/>
    </row>
    <row r="191" spans="2:12" ht="12.75">
      <c r="B191" s="12"/>
      <c r="C191" s="12"/>
      <c r="D191" s="12"/>
      <c r="E191" s="12"/>
      <c r="F191" s="12"/>
      <c r="G191" s="12"/>
      <c r="H191" s="12"/>
      <c r="I191" s="12"/>
      <c r="J191" s="12"/>
      <c r="K191" s="12"/>
      <c r="L191" s="12"/>
    </row>
    <row r="192" spans="2:12" ht="12.75">
      <c r="B192" s="12"/>
      <c r="C192" s="12"/>
      <c r="D192" s="12"/>
      <c r="E192" s="12"/>
      <c r="F192" s="12"/>
      <c r="G192" s="12"/>
      <c r="H192" s="12"/>
      <c r="I192" s="12"/>
      <c r="J192" s="12"/>
      <c r="K192" s="12"/>
      <c r="L192" s="12"/>
    </row>
    <row r="193" spans="2:12" ht="12.75">
      <c r="B193" s="12"/>
      <c r="C193" s="12"/>
      <c r="D193" s="12"/>
      <c r="E193" s="12"/>
      <c r="F193" s="12"/>
      <c r="G193" s="12"/>
      <c r="H193" s="12"/>
      <c r="I193" s="12"/>
      <c r="J193" s="12"/>
      <c r="K193" s="12"/>
      <c r="L193" s="12"/>
    </row>
    <row r="194" spans="2:12" ht="12.75">
      <c r="B194" s="12"/>
      <c r="C194" s="12"/>
      <c r="D194" s="12"/>
      <c r="E194" s="12"/>
      <c r="F194" s="12"/>
      <c r="G194" s="12"/>
      <c r="H194" s="12"/>
      <c r="I194" s="12"/>
      <c r="J194" s="12"/>
      <c r="K194" s="12"/>
      <c r="L194" s="12"/>
    </row>
    <row r="195" spans="2:12" ht="12.75">
      <c r="B195" s="12"/>
      <c r="C195" s="12"/>
      <c r="D195" s="12"/>
      <c r="E195" s="12"/>
      <c r="F195" s="12"/>
      <c r="G195" s="12"/>
      <c r="H195" s="12"/>
      <c r="I195" s="12"/>
      <c r="J195" s="12"/>
      <c r="K195" s="12"/>
      <c r="L195" s="12"/>
    </row>
    <row r="196" spans="2:12" ht="12.75">
      <c r="B196" s="12"/>
      <c r="C196" s="12"/>
      <c r="D196" s="12"/>
      <c r="E196" s="12"/>
      <c r="F196" s="12"/>
      <c r="G196" s="12"/>
      <c r="H196" s="12"/>
      <c r="I196" s="12"/>
      <c r="J196" s="12"/>
      <c r="K196" s="12"/>
      <c r="L196" s="12"/>
    </row>
    <row r="197" spans="2:12" ht="12.75">
      <c r="B197" s="12"/>
      <c r="C197" s="12"/>
      <c r="D197" s="12"/>
      <c r="E197" s="12"/>
      <c r="F197" s="12"/>
      <c r="G197" s="12"/>
      <c r="H197" s="12"/>
      <c r="I197" s="12"/>
      <c r="J197" s="12"/>
      <c r="K197" s="12"/>
      <c r="L197" s="12"/>
    </row>
    <row r="198" spans="2:12" ht="12.75">
      <c r="B198" s="12"/>
      <c r="C198" s="12"/>
      <c r="D198" s="12"/>
      <c r="E198" s="12"/>
      <c r="F198" s="12"/>
      <c r="G198" s="12"/>
      <c r="H198" s="12"/>
      <c r="I198" s="12"/>
      <c r="J198" s="12"/>
      <c r="K198" s="12"/>
      <c r="L198" s="12"/>
    </row>
    <row r="199" spans="2:12" ht="12.75">
      <c r="B199" s="12"/>
      <c r="C199" s="12"/>
      <c r="D199" s="12"/>
      <c r="E199" s="12"/>
      <c r="F199" s="12"/>
      <c r="G199" s="12"/>
      <c r="H199" s="12"/>
      <c r="I199" s="12"/>
      <c r="J199" s="12"/>
      <c r="K199" s="12"/>
      <c r="L199" s="12"/>
    </row>
    <row r="200" spans="2:12" ht="12.75">
      <c r="B200" s="12"/>
      <c r="C200" s="12"/>
      <c r="D200" s="12"/>
      <c r="E200" s="12"/>
      <c r="F200" s="12"/>
      <c r="G200" s="12"/>
      <c r="H200" s="12"/>
      <c r="I200" s="12"/>
      <c r="J200" s="12"/>
      <c r="K200" s="12"/>
      <c r="L200" s="12"/>
    </row>
    <row r="201" spans="2:12" ht="12.75">
      <c r="B201" s="12"/>
      <c r="C201" s="12"/>
      <c r="D201" s="12"/>
      <c r="E201" s="12"/>
      <c r="F201" s="12"/>
      <c r="G201" s="12"/>
      <c r="H201" s="12"/>
      <c r="I201" s="12"/>
      <c r="J201" s="12"/>
      <c r="K201" s="12"/>
      <c r="L201" s="12"/>
    </row>
    <row r="202" spans="2:12" ht="12.75">
      <c r="B202" s="12"/>
      <c r="C202" s="12"/>
      <c r="D202" s="12"/>
      <c r="E202" s="12"/>
      <c r="F202" s="12"/>
      <c r="G202" s="12"/>
      <c r="H202" s="12"/>
      <c r="I202" s="12"/>
      <c r="J202" s="12"/>
      <c r="K202" s="12"/>
      <c r="L202" s="12"/>
    </row>
    <row r="203" spans="2:12" ht="12.75">
      <c r="B203" s="12"/>
      <c r="C203" s="12"/>
      <c r="D203" s="12"/>
      <c r="E203" s="12"/>
      <c r="F203" s="12"/>
      <c r="G203" s="12"/>
      <c r="H203" s="12"/>
      <c r="I203" s="12"/>
      <c r="J203" s="12"/>
      <c r="K203" s="12"/>
      <c r="L203" s="12"/>
    </row>
    <row r="204" spans="2:12" ht="12.75">
      <c r="B204" s="12"/>
      <c r="C204" s="12"/>
      <c r="D204" s="12"/>
      <c r="E204" s="12"/>
      <c r="F204" s="12"/>
      <c r="G204" s="12"/>
      <c r="H204" s="12"/>
      <c r="I204" s="12"/>
      <c r="J204" s="12"/>
      <c r="K204" s="12"/>
      <c r="L204" s="12"/>
    </row>
    <row r="205" spans="2:12" ht="12.75">
      <c r="B205" s="12"/>
      <c r="C205" s="12"/>
      <c r="D205" s="12"/>
      <c r="E205" s="12"/>
      <c r="F205" s="12"/>
      <c r="G205" s="12"/>
      <c r="H205" s="12"/>
      <c r="I205" s="12"/>
      <c r="J205" s="12"/>
      <c r="K205" s="12"/>
      <c r="L205" s="12"/>
    </row>
    <row r="206" spans="2:12" ht="12.75">
      <c r="B206" s="12"/>
      <c r="C206" s="12"/>
      <c r="D206" s="12"/>
      <c r="E206" s="12"/>
      <c r="F206" s="12"/>
      <c r="G206" s="12"/>
      <c r="H206" s="12"/>
      <c r="I206" s="12"/>
      <c r="J206" s="12"/>
      <c r="K206" s="12"/>
      <c r="L206" s="12"/>
    </row>
    <row r="207" spans="2:12" ht="12.75">
      <c r="B207" s="12"/>
      <c r="C207" s="12"/>
      <c r="D207" s="12"/>
      <c r="E207" s="12"/>
      <c r="F207" s="12"/>
      <c r="G207" s="12"/>
      <c r="H207" s="12"/>
      <c r="I207" s="12"/>
      <c r="J207" s="12"/>
      <c r="K207" s="12"/>
      <c r="L207" s="12"/>
    </row>
    <row r="208" spans="2:12" ht="12.75">
      <c r="B208" s="12"/>
      <c r="C208" s="12"/>
      <c r="D208" s="12"/>
      <c r="E208" s="12"/>
      <c r="F208" s="12"/>
      <c r="G208" s="12"/>
      <c r="H208" s="12"/>
      <c r="I208" s="12"/>
      <c r="J208" s="12"/>
      <c r="K208" s="12"/>
      <c r="L208" s="12"/>
    </row>
    <row r="209" spans="2:12" ht="12.75">
      <c r="B209" s="12"/>
      <c r="C209" s="12"/>
      <c r="D209" s="12"/>
      <c r="E209" s="12"/>
      <c r="F209" s="12"/>
      <c r="G209" s="12"/>
      <c r="H209" s="12"/>
      <c r="I209" s="12"/>
      <c r="J209" s="12"/>
      <c r="K209" s="12"/>
      <c r="L209" s="12"/>
    </row>
    <row r="210" spans="2:12" ht="12.75">
      <c r="B210" s="12"/>
      <c r="C210" s="12"/>
      <c r="D210" s="12"/>
      <c r="E210" s="12"/>
      <c r="F210" s="12"/>
      <c r="G210" s="12"/>
      <c r="H210" s="12"/>
      <c r="I210" s="12"/>
      <c r="J210" s="12"/>
      <c r="K210" s="12"/>
      <c r="L210" s="12"/>
    </row>
    <row r="211" spans="2:12" ht="12.75">
      <c r="B211" s="12"/>
      <c r="C211" s="12"/>
      <c r="D211" s="12"/>
      <c r="E211" s="12"/>
      <c r="F211" s="12"/>
      <c r="G211" s="12"/>
      <c r="H211" s="12"/>
      <c r="I211" s="12"/>
      <c r="J211" s="12"/>
      <c r="K211" s="12"/>
      <c r="L211" s="12"/>
    </row>
    <row r="212" spans="2:12" ht="12.75">
      <c r="B212" s="12"/>
      <c r="C212" s="12"/>
      <c r="D212" s="12"/>
      <c r="E212" s="12"/>
      <c r="F212" s="12"/>
      <c r="G212" s="12"/>
      <c r="H212" s="12"/>
      <c r="I212" s="12"/>
      <c r="J212" s="12"/>
      <c r="K212" s="12"/>
      <c r="L212" s="12"/>
    </row>
    <row r="213" spans="2:12" ht="12.75">
      <c r="B213" s="12"/>
      <c r="C213" s="12"/>
      <c r="D213" s="12"/>
      <c r="E213" s="12"/>
      <c r="F213" s="12"/>
      <c r="G213" s="12"/>
      <c r="H213" s="12"/>
      <c r="I213" s="12"/>
      <c r="J213" s="12"/>
      <c r="K213" s="12"/>
      <c r="L213" s="12"/>
    </row>
    <row r="214" spans="2:12" ht="12.75">
      <c r="B214" s="12"/>
      <c r="C214" s="12"/>
      <c r="D214" s="12"/>
      <c r="E214" s="12"/>
      <c r="F214" s="12"/>
      <c r="G214" s="12"/>
      <c r="H214" s="12"/>
      <c r="I214" s="12"/>
      <c r="J214" s="12"/>
      <c r="K214" s="12"/>
      <c r="L214" s="12"/>
    </row>
    <row r="215" spans="2:12" ht="12.75">
      <c r="B215" s="12"/>
      <c r="C215" s="12"/>
      <c r="D215" s="12"/>
      <c r="E215" s="12"/>
      <c r="F215" s="12"/>
      <c r="G215" s="12"/>
      <c r="H215" s="12"/>
      <c r="I215" s="12"/>
      <c r="J215" s="12"/>
      <c r="K215" s="12"/>
      <c r="L215" s="12"/>
    </row>
    <row r="216" spans="2:12" ht="12.75">
      <c r="B216" s="12"/>
      <c r="C216" s="12"/>
      <c r="D216" s="12"/>
      <c r="E216" s="12"/>
      <c r="F216" s="12"/>
      <c r="G216" s="12"/>
      <c r="H216" s="12"/>
      <c r="I216" s="12"/>
      <c r="J216" s="12"/>
      <c r="K216" s="12"/>
      <c r="L216" s="12"/>
    </row>
    <row r="217" spans="2:12" ht="12.75">
      <c r="B217" s="12"/>
      <c r="C217" s="12"/>
      <c r="D217" s="12"/>
      <c r="E217" s="12"/>
      <c r="F217" s="12"/>
      <c r="G217" s="12"/>
      <c r="H217" s="12"/>
      <c r="I217" s="12"/>
      <c r="J217" s="12"/>
      <c r="K217" s="12"/>
      <c r="L217" s="12"/>
    </row>
    <row r="218" spans="2:12" ht="12.75">
      <c r="B218" s="12"/>
      <c r="C218" s="12"/>
      <c r="D218" s="12"/>
      <c r="E218" s="12"/>
      <c r="F218" s="12"/>
      <c r="G218" s="12"/>
      <c r="H218" s="12"/>
      <c r="I218" s="12"/>
      <c r="J218" s="12"/>
      <c r="K218" s="12"/>
      <c r="L218" s="12"/>
    </row>
    <row r="219" spans="2:12" ht="12.75">
      <c r="B219" s="12"/>
      <c r="C219" s="12"/>
      <c r="D219" s="12"/>
      <c r="E219" s="12"/>
      <c r="F219" s="12"/>
      <c r="G219" s="12"/>
      <c r="H219" s="12"/>
      <c r="I219" s="12"/>
      <c r="J219" s="12"/>
      <c r="K219" s="12"/>
      <c r="L219" s="12"/>
    </row>
    <row r="220" spans="2:12" ht="12.75">
      <c r="B220" s="12"/>
      <c r="C220" s="12"/>
      <c r="D220" s="12"/>
      <c r="E220" s="12"/>
      <c r="F220" s="12"/>
      <c r="G220" s="12"/>
      <c r="H220" s="12"/>
      <c r="I220" s="12"/>
      <c r="J220" s="12"/>
      <c r="K220" s="12"/>
      <c r="L220" s="12"/>
    </row>
    <row r="221" spans="2:12" ht="12.75">
      <c r="B221" s="12"/>
      <c r="C221" s="12"/>
      <c r="D221" s="12"/>
      <c r="E221" s="12"/>
      <c r="F221" s="12"/>
      <c r="G221" s="12"/>
      <c r="H221" s="12"/>
      <c r="I221" s="12"/>
      <c r="J221" s="12"/>
      <c r="K221" s="12"/>
      <c r="L221" s="12"/>
    </row>
    <row r="222" spans="2:12" ht="12.75">
      <c r="B222" s="12"/>
      <c r="C222" s="12"/>
      <c r="D222" s="12"/>
      <c r="E222" s="12"/>
      <c r="F222" s="12"/>
      <c r="G222" s="12"/>
      <c r="H222" s="12"/>
      <c r="I222" s="12"/>
      <c r="J222" s="12"/>
      <c r="K222" s="12"/>
      <c r="L222" s="12"/>
    </row>
    <row r="223" spans="2:12" ht="12.75">
      <c r="B223" s="12"/>
      <c r="C223" s="12"/>
      <c r="D223" s="12"/>
      <c r="E223" s="12"/>
      <c r="F223" s="12"/>
      <c r="G223" s="12"/>
      <c r="H223" s="12"/>
      <c r="I223" s="12"/>
      <c r="J223" s="12"/>
      <c r="K223" s="12"/>
      <c r="L223" s="12"/>
    </row>
    <row r="224" spans="2:12" ht="12.75">
      <c r="B224" s="12"/>
      <c r="C224" s="12"/>
      <c r="D224" s="12"/>
      <c r="E224" s="12"/>
      <c r="F224" s="12"/>
      <c r="G224" s="12"/>
      <c r="H224" s="12"/>
      <c r="I224" s="12"/>
      <c r="J224" s="12"/>
      <c r="K224" s="12"/>
      <c r="L224" s="12"/>
    </row>
    <row r="225" spans="2:12" ht="12.75">
      <c r="B225" s="12"/>
      <c r="C225" s="12"/>
      <c r="D225" s="12"/>
      <c r="E225" s="12"/>
      <c r="F225" s="12"/>
      <c r="G225" s="12"/>
      <c r="H225" s="12"/>
      <c r="I225" s="12"/>
      <c r="J225" s="12"/>
      <c r="K225" s="12"/>
      <c r="L225" s="12"/>
    </row>
    <row r="226" spans="2:12" ht="12.75">
      <c r="B226" s="12"/>
      <c r="C226" s="12"/>
      <c r="D226" s="12"/>
      <c r="E226" s="12"/>
      <c r="F226" s="12"/>
      <c r="G226" s="12"/>
      <c r="H226" s="12"/>
      <c r="I226" s="12"/>
      <c r="J226" s="12"/>
      <c r="K226" s="12"/>
      <c r="L226" s="12"/>
    </row>
    <row r="227" spans="2:12" ht="12.75">
      <c r="B227" s="12"/>
      <c r="C227" s="12"/>
      <c r="D227" s="12"/>
      <c r="E227" s="12"/>
      <c r="F227" s="12"/>
      <c r="G227" s="12"/>
      <c r="H227" s="12"/>
      <c r="I227" s="12"/>
      <c r="J227" s="12"/>
      <c r="K227" s="12"/>
      <c r="L227" s="12"/>
    </row>
    <row r="228" spans="2:12" ht="12.75">
      <c r="B228" s="12"/>
      <c r="C228" s="12"/>
      <c r="D228" s="12"/>
      <c r="E228" s="12"/>
      <c r="F228" s="12"/>
      <c r="G228" s="12"/>
      <c r="H228" s="12"/>
      <c r="I228" s="12"/>
      <c r="J228" s="12"/>
      <c r="K228" s="12"/>
      <c r="L228" s="12"/>
    </row>
    <row r="229" spans="2:12" ht="12.75">
      <c r="B229" s="12"/>
      <c r="C229" s="12"/>
      <c r="D229" s="12"/>
      <c r="E229" s="12"/>
      <c r="F229" s="12"/>
      <c r="G229" s="12"/>
      <c r="H229" s="12"/>
      <c r="I229" s="12"/>
      <c r="J229" s="12"/>
      <c r="K229" s="12"/>
      <c r="L229" s="12"/>
    </row>
    <row r="230" spans="2:12" ht="12.75">
      <c r="B230" s="12"/>
      <c r="C230" s="12"/>
      <c r="D230" s="12"/>
      <c r="E230" s="12"/>
      <c r="F230" s="12"/>
      <c r="G230" s="12"/>
      <c r="H230" s="12"/>
      <c r="I230" s="12"/>
      <c r="J230" s="12"/>
      <c r="K230" s="12"/>
      <c r="L230" s="12"/>
    </row>
    <row r="231" spans="2:12" ht="12.75">
      <c r="B231" s="12"/>
      <c r="C231" s="12"/>
      <c r="D231" s="12"/>
      <c r="E231" s="12"/>
      <c r="F231" s="12"/>
      <c r="G231" s="12"/>
      <c r="H231" s="12"/>
      <c r="I231" s="12"/>
      <c r="J231" s="12"/>
      <c r="K231" s="12"/>
      <c r="L231" s="12"/>
    </row>
    <row r="232" spans="2:12" ht="12.75">
      <c r="B232" s="12"/>
      <c r="C232" s="12"/>
      <c r="D232" s="12"/>
      <c r="E232" s="12"/>
      <c r="F232" s="12"/>
      <c r="G232" s="12"/>
      <c r="H232" s="12"/>
      <c r="I232" s="12"/>
      <c r="J232" s="12"/>
      <c r="K232" s="12"/>
      <c r="L232" s="12"/>
    </row>
    <row r="233" spans="2:12" ht="12.75">
      <c r="B233" s="12"/>
      <c r="C233" s="12"/>
      <c r="D233" s="12"/>
      <c r="E233" s="12"/>
      <c r="F233" s="12"/>
      <c r="G233" s="12"/>
      <c r="H233" s="12"/>
      <c r="I233" s="12"/>
      <c r="J233" s="12"/>
      <c r="K233" s="12"/>
      <c r="L233" s="12"/>
    </row>
    <row r="234" spans="2:12" ht="12.75">
      <c r="B234" s="12"/>
      <c r="C234" s="12"/>
      <c r="D234" s="12"/>
      <c r="E234" s="12"/>
      <c r="F234" s="12"/>
      <c r="G234" s="12"/>
      <c r="H234" s="12"/>
      <c r="I234" s="12"/>
      <c r="J234" s="12"/>
      <c r="K234" s="12"/>
      <c r="L234" s="12"/>
    </row>
    <row r="235" spans="2:12" ht="12.75">
      <c r="B235" s="12"/>
      <c r="C235" s="12"/>
      <c r="D235" s="12"/>
      <c r="E235" s="12"/>
      <c r="F235" s="12"/>
      <c r="G235" s="12"/>
      <c r="H235" s="12"/>
      <c r="I235" s="12"/>
      <c r="J235" s="12"/>
      <c r="K235" s="12"/>
      <c r="L235" s="12"/>
    </row>
    <row r="236" spans="2:12" ht="12.75">
      <c r="B236" s="12"/>
      <c r="C236" s="12"/>
      <c r="D236" s="12"/>
      <c r="E236" s="12"/>
      <c r="F236" s="12"/>
      <c r="G236" s="12"/>
      <c r="H236" s="12"/>
      <c r="I236" s="12"/>
      <c r="J236" s="12"/>
      <c r="K236" s="12"/>
      <c r="L236" s="12"/>
    </row>
    <row r="237" spans="2:12" ht="12.75">
      <c r="B237" s="12"/>
      <c r="C237" s="12"/>
      <c r="D237" s="12"/>
      <c r="E237" s="12"/>
      <c r="F237" s="12"/>
      <c r="G237" s="12"/>
      <c r="H237" s="12"/>
      <c r="I237" s="12"/>
      <c r="J237" s="12"/>
      <c r="K237" s="12"/>
      <c r="L237" s="12"/>
    </row>
    <row r="238" spans="2:12" ht="12.75">
      <c r="B238" s="12"/>
      <c r="C238" s="12"/>
      <c r="D238" s="12"/>
      <c r="E238" s="12"/>
      <c r="F238" s="12"/>
      <c r="G238" s="12"/>
      <c r="H238" s="12"/>
      <c r="I238" s="12"/>
      <c r="J238" s="12"/>
      <c r="K238" s="12"/>
      <c r="L238" s="12"/>
    </row>
    <row r="239" spans="2:12" ht="12.75">
      <c r="B239" s="12"/>
      <c r="C239" s="12"/>
      <c r="D239" s="12"/>
      <c r="E239" s="12"/>
      <c r="F239" s="12"/>
      <c r="G239" s="12"/>
      <c r="H239" s="12"/>
      <c r="I239" s="12"/>
      <c r="J239" s="12"/>
      <c r="K239" s="12"/>
      <c r="L239" s="12"/>
    </row>
    <row r="240" spans="2:12" ht="12.75">
      <c r="B240" s="12"/>
      <c r="C240" s="12"/>
      <c r="D240" s="12"/>
      <c r="E240" s="12"/>
      <c r="F240" s="12"/>
      <c r="G240" s="12"/>
      <c r="H240" s="12"/>
      <c r="I240" s="12"/>
      <c r="J240" s="12"/>
      <c r="K240" s="12"/>
      <c r="L240" s="12"/>
    </row>
    <row r="241" spans="2:12" ht="12.75">
      <c r="B241" s="12"/>
      <c r="C241" s="12"/>
      <c r="D241" s="12"/>
      <c r="E241" s="12"/>
      <c r="F241" s="12"/>
      <c r="G241" s="12"/>
      <c r="H241" s="12"/>
      <c r="I241" s="12"/>
      <c r="J241" s="12"/>
      <c r="K241" s="12"/>
      <c r="L241" s="12"/>
    </row>
    <row r="242" spans="2:12" ht="12.75">
      <c r="B242" s="12"/>
      <c r="C242" s="12"/>
      <c r="D242" s="12"/>
      <c r="E242" s="12"/>
      <c r="F242" s="12"/>
      <c r="G242" s="12"/>
      <c r="H242" s="12"/>
      <c r="I242" s="12"/>
      <c r="J242" s="12"/>
      <c r="K242" s="12"/>
      <c r="L242" s="12"/>
    </row>
    <row r="243" spans="2:12" ht="12.75">
      <c r="B243" s="12"/>
      <c r="C243" s="12"/>
      <c r="D243" s="12"/>
      <c r="E243" s="12"/>
      <c r="F243" s="12"/>
      <c r="G243" s="12"/>
      <c r="H243" s="12"/>
      <c r="I243" s="12"/>
      <c r="J243" s="12"/>
      <c r="K243" s="12"/>
      <c r="L243" s="12"/>
    </row>
    <row r="244" spans="2:12" ht="12.75">
      <c r="B244" s="12"/>
      <c r="C244" s="12"/>
      <c r="D244" s="12"/>
      <c r="E244" s="12"/>
      <c r="F244" s="12"/>
      <c r="G244" s="12"/>
      <c r="H244" s="12"/>
      <c r="I244" s="12"/>
      <c r="J244" s="12"/>
      <c r="K244" s="12"/>
      <c r="L244" s="12"/>
    </row>
    <row r="245" spans="2:12" ht="12.75">
      <c r="B245" s="12"/>
      <c r="C245" s="12"/>
      <c r="D245" s="12"/>
      <c r="E245" s="12"/>
      <c r="F245" s="12"/>
      <c r="G245" s="12"/>
      <c r="H245" s="12"/>
      <c r="I245" s="12"/>
      <c r="J245" s="12"/>
      <c r="K245" s="12"/>
      <c r="L245" s="12"/>
    </row>
    <row r="246" spans="2:12" ht="12.75">
      <c r="B246" s="12"/>
      <c r="C246" s="12"/>
      <c r="D246" s="12"/>
      <c r="E246" s="12"/>
      <c r="F246" s="12"/>
      <c r="G246" s="12"/>
      <c r="H246" s="12"/>
      <c r="I246" s="12"/>
      <c r="J246" s="12"/>
      <c r="K246" s="12"/>
      <c r="L246" s="12"/>
    </row>
    <row r="247" spans="2:12" ht="12.75">
      <c r="B247" s="12"/>
      <c r="C247" s="12"/>
      <c r="D247" s="12"/>
      <c r="E247" s="12"/>
      <c r="F247" s="12"/>
      <c r="G247" s="12"/>
      <c r="H247" s="12"/>
      <c r="I247" s="12"/>
      <c r="J247" s="12"/>
      <c r="K247" s="12"/>
      <c r="L247" s="12"/>
    </row>
    <row r="248" spans="2:12" ht="12.75">
      <c r="B248" s="12"/>
      <c r="C248" s="12"/>
      <c r="D248" s="12"/>
      <c r="E248" s="12"/>
      <c r="F248" s="12"/>
      <c r="G248" s="12"/>
      <c r="H248" s="12"/>
      <c r="I248" s="12"/>
      <c r="J248" s="12"/>
      <c r="K248" s="12"/>
      <c r="L248" s="12"/>
    </row>
    <row r="249" spans="2:12" ht="12.75">
      <c r="B249" s="12"/>
      <c r="C249" s="12"/>
      <c r="D249" s="12"/>
      <c r="E249" s="12"/>
      <c r="F249" s="12"/>
      <c r="G249" s="12"/>
      <c r="H249" s="12"/>
      <c r="I249" s="12"/>
      <c r="J249" s="12"/>
      <c r="K249" s="12"/>
      <c r="L249" s="12"/>
    </row>
    <row r="250" spans="2:12" ht="12.75">
      <c r="B250" s="12"/>
      <c r="C250" s="12"/>
      <c r="D250" s="12"/>
      <c r="E250" s="12"/>
      <c r="F250" s="12"/>
      <c r="G250" s="12"/>
      <c r="H250" s="12"/>
      <c r="I250" s="12"/>
      <c r="J250" s="12"/>
      <c r="K250" s="12"/>
      <c r="L250" s="12"/>
    </row>
    <row r="251" spans="2:12" ht="12.75">
      <c r="B251" s="12"/>
      <c r="C251" s="12"/>
      <c r="D251" s="12"/>
      <c r="E251" s="12"/>
      <c r="F251" s="12"/>
      <c r="G251" s="12"/>
      <c r="H251" s="12"/>
      <c r="I251" s="12"/>
      <c r="J251" s="12"/>
      <c r="K251" s="12"/>
      <c r="L251" s="12"/>
    </row>
    <row r="252" spans="2:12" ht="12.75">
      <c r="B252" s="12"/>
      <c r="C252" s="12"/>
      <c r="D252" s="12"/>
      <c r="E252" s="12"/>
      <c r="F252" s="12"/>
      <c r="G252" s="12"/>
      <c r="H252" s="12"/>
      <c r="I252" s="12"/>
      <c r="J252" s="12"/>
      <c r="K252" s="12"/>
      <c r="L252" s="12"/>
    </row>
    <row r="253" spans="2:12" ht="12.75">
      <c r="B253" s="12"/>
      <c r="C253" s="12"/>
      <c r="D253" s="12"/>
      <c r="E253" s="12"/>
      <c r="F253" s="12"/>
      <c r="G253" s="12"/>
      <c r="H253" s="12"/>
      <c r="I253" s="12"/>
      <c r="J253" s="12"/>
      <c r="K253" s="12"/>
      <c r="L253" s="12"/>
    </row>
    <row r="254" spans="2:12" ht="12.75">
      <c r="B254" s="12"/>
      <c r="C254" s="12"/>
      <c r="D254" s="12"/>
      <c r="E254" s="12"/>
      <c r="F254" s="12"/>
      <c r="G254" s="12"/>
      <c r="H254" s="12"/>
      <c r="I254" s="12"/>
      <c r="J254" s="12"/>
      <c r="K254" s="12"/>
      <c r="L254" s="12"/>
    </row>
    <row r="255" spans="2:12" ht="12.75">
      <c r="B255" s="12"/>
      <c r="C255" s="12"/>
      <c r="D255" s="12"/>
      <c r="E255" s="12"/>
      <c r="F255" s="12"/>
      <c r="G255" s="12"/>
      <c r="H255" s="12"/>
      <c r="I255" s="12"/>
      <c r="J255" s="12"/>
      <c r="K255" s="12"/>
      <c r="L255" s="12"/>
    </row>
    <row r="256" spans="2:12" ht="12.75">
      <c r="B256" s="12"/>
      <c r="C256" s="12"/>
      <c r="D256" s="12"/>
      <c r="E256" s="12"/>
      <c r="F256" s="12"/>
      <c r="G256" s="12"/>
      <c r="H256" s="12"/>
      <c r="I256" s="12"/>
      <c r="J256" s="12"/>
      <c r="K256" s="12"/>
      <c r="L256" s="12"/>
    </row>
    <row r="257" spans="2:12" ht="12.75">
      <c r="B257" s="12"/>
      <c r="C257" s="12"/>
      <c r="D257" s="12"/>
      <c r="E257" s="12"/>
      <c r="F257" s="12"/>
      <c r="G257" s="12"/>
      <c r="H257" s="12"/>
      <c r="I257" s="12"/>
      <c r="J257" s="12"/>
      <c r="K257" s="12"/>
      <c r="L257" s="12"/>
    </row>
    <row r="258" spans="2:12" ht="12.75">
      <c r="B258" s="12"/>
      <c r="C258" s="12"/>
      <c r="D258" s="12"/>
      <c r="E258" s="12"/>
      <c r="F258" s="12"/>
      <c r="G258" s="12"/>
      <c r="H258" s="12"/>
      <c r="I258" s="12"/>
      <c r="J258" s="12"/>
      <c r="K258" s="12"/>
      <c r="L258" s="12"/>
    </row>
    <row r="259" spans="2:12" ht="12.75">
      <c r="B259" s="12"/>
      <c r="C259" s="12"/>
      <c r="D259" s="12"/>
      <c r="E259" s="12"/>
      <c r="F259" s="12"/>
      <c r="G259" s="12"/>
      <c r="H259" s="12"/>
      <c r="I259" s="12"/>
      <c r="J259" s="12"/>
      <c r="K259" s="12"/>
      <c r="L259" s="12"/>
    </row>
    <row r="260" spans="2:12" ht="12.75">
      <c r="B260" s="12"/>
      <c r="C260" s="12"/>
      <c r="D260" s="12"/>
      <c r="E260" s="12"/>
      <c r="F260" s="12"/>
      <c r="G260" s="12"/>
      <c r="H260" s="12"/>
      <c r="I260" s="12"/>
      <c r="J260" s="12"/>
      <c r="K260" s="12"/>
      <c r="L260" s="12"/>
    </row>
    <row r="261" spans="2:12" ht="12.75">
      <c r="B261" s="12"/>
      <c r="C261" s="12"/>
      <c r="D261" s="12"/>
      <c r="E261" s="12"/>
      <c r="F261" s="12"/>
      <c r="G261" s="12"/>
      <c r="H261" s="12"/>
      <c r="I261" s="12"/>
      <c r="J261" s="12"/>
      <c r="K261" s="12"/>
      <c r="L261" s="12"/>
    </row>
    <row r="262" spans="2:12" ht="12.75">
      <c r="B262" s="12"/>
      <c r="C262" s="12"/>
      <c r="D262" s="12"/>
      <c r="E262" s="12"/>
      <c r="F262" s="12"/>
      <c r="G262" s="12"/>
      <c r="H262" s="12"/>
      <c r="I262" s="12"/>
      <c r="J262" s="12"/>
      <c r="K262" s="12"/>
      <c r="L262" s="12"/>
    </row>
    <row r="263" spans="2:12" ht="12.75">
      <c r="B263" s="12"/>
      <c r="C263" s="12"/>
      <c r="D263" s="12"/>
      <c r="E263" s="12"/>
      <c r="F263" s="12"/>
      <c r="G263" s="12"/>
      <c r="H263" s="12"/>
      <c r="I263" s="12"/>
      <c r="J263" s="12"/>
      <c r="K263" s="12"/>
      <c r="L263" s="12"/>
    </row>
    <row r="264" spans="2:12" ht="12.75">
      <c r="B264" s="12"/>
      <c r="C264" s="12"/>
      <c r="D264" s="12"/>
      <c r="E264" s="12"/>
      <c r="F264" s="12"/>
      <c r="G264" s="12"/>
      <c r="H264" s="12"/>
      <c r="I264" s="12"/>
      <c r="J264" s="12"/>
      <c r="K264" s="12"/>
      <c r="L264" s="12"/>
    </row>
    <row r="265" spans="2:12" ht="12.75">
      <c r="B265" s="12"/>
      <c r="C265" s="12"/>
      <c r="D265" s="12"/>
      <c r="E265" s="12"/>
      <c r="F265" s="12"/>
      <c r="G265" s="12"/>
      <c r="H265" s="12"/>
      <c r="I265" s="12"/>
      <c r="J265" s="12"/>
      <c r="K265" s="12"/>
      <c r="L265" s="12"/>
    </row>
    <row r="266" spans="2:12" ht="12.75">
      <c r="B266" s="12"/>
      <c r="C266" s="12"/>
      <c r="D266" s="12"/>
      <c r="E266" s="12"/>
      <c r="F266" s="12"/>
      <c r="G266" s="12"/>
      <c r="H266" s="12"/>
      <c r="I266" s="12"/>
      <c r="J266" s="12"/>
      <c r="K266" s="12"/>
      <c r="L266" s="12"/>
    </row>
    <row r="267" spans="2:12" ht="12.75">
      <c r="B267" s="12"/>
      <c r="C267" s="12"/>
      <c r="D267" s="12"/>
      <c r="E267" s="12"/>
      <c r="F267" s="12"/>
      <c r="G267" s="12"/>
      <c r="H267" s="12"/>
      <c r="I267" s="12"/>
      <c r="J267" s="12"/>
      <c r="K267" s="12"/>
      <c r="L267" s="12"/>
    </row>
    <row r="268" spans="2:12" ht="12.75">
      <c r="B268" s="12"/>
      <c r="C268" s="12"/>
      <c r="D268" s="12"/>
      <c r="E268" s="12"/>
      <c r="F268" s="12"/>
      <c r="G268" s="12"/>
      <c r="H268" s="12"/>
      <c r="I268" s="12"/>
      <c r="J268" s="12"/>
      <c r="K268" s="12"/>
      <c r="L268" s="12"/>
    </row>
    <row r="269" spans="2:12" ht="12.75">
      <c r="B269" s="12"/>
      <c r="C269" s="12"/>
      <c r="D269" s="12"/>
      <c r="E269" s="12"/>
      <c r="F269" s="12"/>
      <c r="G269" s="12"/>
      <c r="H269" s="12"/>
      <c r="I269" s="12"/>
      <c r="J269" s="12"/>
      <c r="K269" s="12"/>
      <c r="L269" s="12"/>
    </row>
    <row r="270" spans="2:12" ht="12.75">
      <c r="B270" s="12"/>
      <c r="C270" s="12"/>
      <c r="D270" s="12"/>
      <c r="E270" s="12"/>
      <c r="F270" s="12"/>
      <c r="G270" s="12"/>
      <c r="H270" s="12"/>
      <c r="I270" s="12"/>
      <c r="J270" s="12"/>
      <c r="K270" s="12"/>
      <c r="L270" s="12"/>
    </row>
    <row r="271" spans="2:12" ht="12.75">
      <c r="B271" s="12"/>
      <c r="C271" s="12"/>
      <c r="D271" s="12"/>
      <c r="E271" s="12"/>
      <c r="F271" s="12"/>
      <c r="G271" s="12"/>
      <c r="H271" s="12"/>
      <c r="I271" s="12"/>
      <c r="J271" s="12"/>
      <c r="K271" s="12"/>
      <c r="L271" s="12"/>
    </row>
    <row r="272" spans="2:12" ht="12.75">
      <c r="B272" s="12"/>
      <c r="C272" s="12"/>
      <c r="D272" s="12"/>
      <c r="E272" s="12"/>
      <c r="F272" s="12"/>
      <c r="G272" s="12"/>
      <c r="H272" s="12"/>
      <c r="I272" s="12"/>
      <c r="J272" s="12"/>
      <c r="K272" s="12"/>
      <c r="L272" s="12"/>
    </row>
    <row r="273" spans="2:12" ht="12.75">
      <c r="B273" s="12"/>
      <c r="C273" s="12"/>
      <c r="D273" s="12"/>
      <c r="E273" s="12"/>
      <c r="F273" s="12"/>
      <c r="G273" s="12"/>
      <c r="H273" s="12"/>
      <c r="I273" s="12"/>
      <c r="J273" s="12"/>
      <c r="K273" s="12"/>
      <c r="L273" s="12"/>
    </row>
    <row r="274" spans="2:12" ht="12.75">
      <c r="B274" s="12"/>
      <c r="C274" s="12"/>
      <c r="D274" s="12"/>
      <c r="E274" s="12"/>
      <c r="F274" s="12"/>
      <c r="G274" s="12"/>
      <c r="H274" s="12"/>
      <c r="I274" s="12"/>
      <c r="J274" s="12"/>
      <c r="K274" s="12"/>
      <c r="L274" s="12"/>
    </row>
    <row r="275" spans="2:12" ht="12.75">
      <c r="B275" s="12"/>
      <c r="C275" s="12"/>
      <c r="D275" s="12"/>
      <c r="E275" s="12"/>
      <c r="F275" s="12"/>
      <c r="G275" s="12"/>
      <c r="H275" s="12"/>
      <c r="I275" s="12"/>
      <c r="J275" s="12"/>
      <c r="K275" s="12"/>
      <c r="L275" s="12"/>
    </row>
    <row r="276" spans="2:12" ht="12.75">
      <c r="B276" s="12"/>
      <c r="C276" s="12"/>
      <c r="D276" s="12"/>
      <c r="E276" s="12"/>
      <c r="F276" s="12"/>
      <c r="G276" s="12"/>
      <c r="H276" s="12"/>
      <c r="I276" s="12"/>
      <c r="J276" s="12"/>
      <c r="K276" s="12"/>
      <c r="L276" s="12"/>
    </row>
    <row r="277" spans="2:12" ht="12.75">
      <c r="B277" s="12"/>
      <c r="C277" s="12"/>
      <c r="D277" s="12"/>
      <c r="E277" s="12"/>
      <c r="F277" s="12"/>
      <c r="G277" s="12"/>
      <c r="H277" s="12"/>
      <c r="I277" s="12"/>
      <c r="J277" s="12"/>
      <c r="K277" s="12"/>
      <c r="L277" s="12"/>
    </row>
    <row r="278" spans="2:12" ht="12.75">
      <c r="B278" s="12"/>
      <c r="C278" s="12"/>
      <c r="D278" s="12"/>
      <c r="E278" s="12"/>
      <c r="F278" s="12"/>
      <c r="G278" s="12"/>
      <c r="H278" s="12"/>
      <c r="I278" s="12"/>
      <c r="J278" s="12"/>
      <c r="K278" s="12"/>
      <c r="L278" s="12"/>
    </row>
    <row r="279" spans="2:12" ht="12.75">
      <c r="B279" s="12"/>
      <c r="C279" s="12"/>
      <c r="D279" s="12"/>
      <c r="E279" s="12"/>
      <c r="F279" s="12"/>
      <c r="G279" s="12"/>
      <c r="H279" s="12"/>
      <c r="I279" s="12"/>
      <c r="J279" s="12"/>
      <c r="K279" s="12"/>
      <c r="L279" s="12"/>
    </row>
    <row r="280" spans="2:12" ht="12.75">
      <c r="B280" s="12"/>
      <c r="C280" s="12"/>
      <c r="D280" s="12"/>
      <c r="E280" s="12"/>
      <c r="F280" s="12"/>
      <c r="G280" s="12"/>
      <c r="H280" s="12"/>
      <c r="I280" s="12"/>
      <c r="J280" s="12"/>
      <c r="K280" s="12"/>
      <c r="L280" s="12"/>
    </row>
    <row r="281" spans="2:12" ht="12.75">
      <c r="B281" s="12"/>
      <c r="C281" s="12"/>
      <c r="D281" s="12"/>
      <c r="E281" s="12"/>
      <c r="F281" s="12"/>
      <c r="G281" s="12"/>
      <c r="H281" s="12"/>
      <c r="I281" s="12"/>
      <c r="J281" s="12"/>
      <c r="K281" s="12"/>
      <c r="L281" s="12"/>
    </row>
    <row r="282" spans="2:12" ht="12.75">
      <c r="B282" s="12"/>
      <c r="C282" s="12"/>
      <c r="D282" s="12"/>
      <c r="E282" s="12"/>
      <c r="F282" s="12"/>
      <c r="G282" s="12"/>
      <c r="H282" s="12"/>
      <c r="I282" s="12"/>
      <c r="J282" s="12"/>
      <c r="K282" s="12"/>
      <c r="L282" s="12"/>
    </row>
    <row r="283" spans="2:12" ht="12.75">
      <c r="B283" s="12"/>
      <c r="C283" s="12"/>
      <c r="D283" s="12"/>
      <c r="E283" s="12"/>
      <c r="F283" s="12"/>
      <c r="G283" s="12"/>
      <c r="H283" s="12"/>
      <c r="I283" s="12"/>
      <c r="J283" s="12"/>
      <c r="K283" s="12"/>
      <c r="L283" s="12"/>
    </row>
    <row r="284" spans="2:12" ht="12.75">
      <c r="B284" s="12"/>
      <c r="C284" s="12"/>
      <c r="D284" s="12"/>
      <c r="E284" s="12"/>
      <c r="F284" s="12"/>
      <c r="G284" s="12"/>
      <c r="H284" s="12"/>
      <c r="I284" s="12"/>
      <c r="J284" s="12"/>
      <c r="K284" s="12"/>
      <c r="L284" s="12"/>
    </row>
    <row r="285" spans="2:12" ht="12.75">
      <c r="B285" s="12"/>
      <c r="C285" s="12"/>
      <c r="D285" s="12"/>
      <c r="E285" s="12"/>
      <c r="F285" s="12"/>
      <c r="G285" s="12"/>
      <c r="H285" s="12"/>
      <c r="I285" s="12"/>
      <c r="J285" s="12"/>
      <c r="K285" s="12"/>
      <c r="L285" s="12"/>
    </row>
    <row r="286" spans="2:12" ht="12.75">
      <c r="B286" s="12"/>
      <c r="C286" s="12"/>
      <c r="D286" s="12"/>
      <c r="E286" s="12"/>
      <c r="F286" s="12"/>
      <c r="G286" s="12"/>
      <c r="H286" s="12"/>
      <c r="I286" s="12"/>
      <c r="J286" s="12"/>
      <c r="K286" s="12"/>
      <c r="L286" s="12"/>
    </row>
    <row r="287" spans="2:12" ht="12.75">
      <c r="B287" s="12"/>
      <c r="C287" s="12"/>
      <c r="D287" s="12"/>
      <c r="E287" s="12"/>
      <c r="F287" s="12"/>
      <c r="G287" s="12"/>
      <c r="H287" s="12"/>
      <c r="I287" s="12"/>
      <c r="J287" s="12"/>
      <c r="K287" s="12"/>
      <c r="L287" s="12"/>
    </row>
    <row r="288" spans="2:12" ht="12.75">
      <c r="B288" s="12"/>
      <c r="C288" s="12"/>
      <c r="D288" s="12"/>
      <c r="E288" s="12"/>
      <c r="F288" s="12"/>
      <c r="G288" s="12"/>
      <c r="H288" s="12"/>
      <c r="I288" s="12"/>
      <c r="J288" s="12"/>
      <c r="K288" s="12"/>
      <c r="L288" s="12"/>
    </row>
    <row r="289" spans="2:12" ht="12.75">
      <c r="B289" s="12"/>
      <c r="C289" s="12"/>
      <c r="D289" s="12"/>
      <c r="E289" s="12"/>
      <c r="F289" s="12"/>
      <c r="G289" s="12"/>
      <c r="H289" s="12"/>
      <c r="I289" s="12"/>
      <c r="J289" s="12"/>
      <c r="K289" s="12"/>
      <c r="L289" s="12"/>
    </row>
    <row r="290" spans="2:12" ht="12.75">
      <c r="B290" s="12"/>
      <c r="C290" s="12"/>
      <c r="D290" s="12"/>
      <c r="E290" s="12"/>
      <c r="F290" s="12"/>
      <c r="G290" s="12"/>
      <c r="H290" s="12"/>
      <c r="I290" s="12"/>
      <c r="J290" s="12"/>
      <c r="K290" s="12"/>
      <c r="L290" s="12"/>
    </row>
    <row r="291" spans="2:12" ht="12.75">
      <c r="B291" s="12"/>
      <c r="C291" s="12"/>
      <c r="D291" s="12"/>
      <c r="E291" s="12"/>
      <c r="F291" s="12"/>
      <c r="G291" s="12"/>
      <c r="H291" s="12"/>
      <c r="I291" s="12"/>
      <c r="J291" s="12"/>
      <c r="K291" s="12"/>
      <c r="L291" s="12"/>
    </row>
    <row r="292" spans="2:12" ht="12.75">
      <c r="B292" s="12"/>
      <c r="C292" s="12"/>
      <c r="D292" s="12"/>
      <c r="E292" s="12"/>
      <c r="F292" s="12"/>
      <c r="G292" s="12"/>
      <c r="H292" s="12"/>
      <c r="I292" s="12"/>
      <c r="J292" s="12"/>
      <c r="K292" s="12"/>
      <c r="L292" s="12"/>
    </row>
    <row r="293" spans="2:12" ht="12.75">
      <c r="B293" s="12"/>
      <c r="C293" s="12"/>
      <c r="D293" s="12"/>
      <c r="E293" s="12"/>
      <c r="F293" s="12"/>
      <c r="G293" s="12"/>
      <c r="H293" s="12"/>
      <c r="I293" s="12"/>
      <c r="J293" s="12"/>
      <c r="K293" s="12"/>
      <c r="L293" s="12"/>
    </row>
    <row r="294" spans="2:12" ht="12.75">
      <c r="B294" s="12"/>
      <c r="C294" s="12"/>
      <c r="D294" s="12"/>
      <c r="E294" s="12"/>
      <c r="F294" s="12"/>
      <c r="G294" s="12"/>
      <c r="H294" s="12"/>
      <c r="I294" s="12"/>
      <c r="J294" s="12"/>
      <c r="K294" s="12"/>
      <c r="L294" s="12"/>
    </row>
    <row r="295" spans="2:12" ht="12.75">
      <c r="B295" s="12"/>
      <c r="C295" s="12"/>
      <c r="D295" s="12"/>
      <c r="E295" s="12"/>
      <c r="F295" s="12"/>
      <c r="G295" s="12"/>
      <c r="H295" s="12"/>
      <c r="I295" s="12"/>
      <c r="J295" s="12"/>
      <c r="K295" s="12"/>
      <c r="L295" s="12"/>
    </row>
    <row r="296" spans="2:12" ht="12.75">
      <c r="B296" s="12"/>
      <c r="C296" s="12"/>
      <c r="D296" s="12"/>
      <c r="E296" s="12"/>
      <c r="F296" s="12"/>
      <c r="G296" s="12"/>
      <c r="H296" s="12"/>
      <c r="I296" s="12"/>
      <c r="J296" s="12"/>
      <c r="K296" s="12"/>
      <c r="L296" s="12"/>
    </row>
    <row r="297" spans="2:12" ht="12.75">
      <c r="B297" s="12"/>
      <c r="C297" s="12"/>
      <c r="D297" s="12"/>
      <c r="E297" s="12"/>
      <c r="F297" s="12"/>
      <c r="G297" s="12"/>
      <c r="H297" s="12"/>
      <c r="I297" s="12"/>
      <c r="J297" s="12"/>
      <c r="K297" s="12"/>
      <c r="L297" s="12"/>
    </row>
    <row r="298" spans="2:12" ht="12.75">
      <c r="B298" s="12"/>
      <c r="C298" s="12"/>
      <c r="D298" s="12"/>
      <c r="E298" s="12"/>
      <c r="F298" s="12"/>
      <c r="G298" s="12"/>
      <c r="H298" s="12"/>
      <c r="I298" s="12"/>
      <c r="J298" s="12"/>
      <c r="K298" s="12"/>
      <c r="L298" s="12"/>
    </row>
    <row r="299" spans="2:12" ht="12.75">
      <c r="B299" s="12"/>
      <c r="C299" s="12"/>
      <c r="D299" s="12"/>
      <c r="E299" s="12"/>
      <c r="F299" s="12"/>
      <c r="G299" s="12"/>
      <c r="H299" s="12"/>
      <c r="I299" s="12"/>
      <c r="J299" s="12"/>
      <c r="K299" s="12"/>
      <c r="L299" s="12"/>
    </row>
    <row r="300" spans="2:12" ht="12.75">
      <c r="B300" s="12"/>
      <c r="C300" s="12"/>
      <c r="D300" s="12"/>
      <c r="E300" s="12"/>
      <c r="F300" s="12"/>
      <c r="G300" s="12"/>
      <c r="H300" s="12"/>
      <c r="I300" s="12"/>
      <c r="J300" s="12"/>
      <c r="K300" s="12"/>
      <c r="L300" s="12"/>
    </row>
    <row r="301" spans="2:12" ht="12.75">
      <c r="B301" s="12"/>
      <c r="C301" s="12"/>
      <c r="D301" s="12"/>
      <c r="E301" s="12"/>
      <c r="F301" s="12"/>
      <c r="G301" s="12"/>
      <c r="H301" s="12"/>
      <c r="I301" s="12"/>
      <c r="J301" s="12"/>
      <c r="K301" s="12"/>
      <c r="L301" s="12"/>
    </row>
    <row r="302" spans="2:12" ht="12.75">
      <c r="B302" s="12"/>
      <c r="C302" s="12"/>
      <c r="D302" s="12"/>
      <c r="E302" s="12"/>
      <c r="F302" s="12"/>
      <c r="G302" s="12"/>
      <c r="H302" s="12"/>
      <c r="I302" s="12"/>
      <c r="J302" s="12"/>
      <c r="K302" s="12"/>
      <c r="L302" s="12"/>
    </row>
    <row r="303" spans="2:12" ht="12.75">
      <c r="B303" s="12"/>
      <c r="C303" s="12"/>
      <c r="D303" s="12"/>
      <c r="E303" s="12"/>
      <c r="F303" s="12"/>
      <c r="G303" s="12"/>
      <c r="H303" s="12"/>
      <c r="I303" s="12"/>
      <c r="J303" s="12"/>
      <c r="K303" s="12"/>
      <c r="L303" s="12"/>
    </row>
    <row r="304" spans="2:12" ht="12.75">
      <c r="B304" s="12"/>
      <c r="C304" s="12"/>
      <c r="D304" s="12"/>
      <c r="E304" s="12"/>
      <c r="F304" s="12"/>
      <c r="G304" s="12"/>
      <c r="H304" s="12"/>
      <c r="I304" s="12"/>
      <c r="J304" s="12"/>
      <c r="K304" s="12"/>
      <c r="L304" s="12"/>
    </row>
    <row r="305" spans="2:12" ht="12.75">
      <c r="B305" s="12"/>
      <c r="C305" s="12"/>
      <c r="D305" s="12"/>
      <c r="E305" s="12"/>
      <c r="F305" s="12"/>
      <c r="G305" s="12"/>
      <c r="H305" s="12"/>
      <c r="I305" s="12"/>
      <c r="J305" s="12"/>
      <c r="K305" s="12"/>
      <c r="L305" s="12"/>
    </row>
    <row r="306" spans="2:12" ht="12.75">
      <c r="B306" s="12"/>
      <c r="C306" s="12"/>
      <c r="D306" s="12"/>
      <c r="E306" s="12"/>
      <c r="F306" s="12"/>
      <c r="G306" s="12"/>
      <c r="H306" s="12"/>
      <c r="I306" s="12"/>
      <c r="J306" s="12"/>
      <c r="K306" s="12"/>
      <c r="L306" s="12"/>
    </row>
    <row r="307" spans="2:12" ht="12.75">
      <c r="B307" s="12"/>
      <c r="C307" s="12"/>
      <c r="D307" s="12"/>
      <c r="E307" s="12"/>
      <c r="F307" s="12"/>
      <c r="G307" s="12"/>
      <c r="H307" s="12"/>
      <c r="I307" s="12"/>
      <c r="J307" s="12"/>
      <c r="K307" s="12"/>
      <c r="L307" s="12"/>
    </row>
    <row r="308" spans="2:12" ht="12.75">
      <c r="B308" s="12"/>
      <c r="C308" s="12"/>
      <c r="D308" s="12"/>
      <c r="E308" s="12"/>
      <c r="F308" s="12"/>
      <c r="G308" s="12"/>
      <c r="H308" s="12"/>
      <c r="I308" s="12"/>
      <c r="J308" s="12"/>
      <c r="K308" s="12"/>
      <c r="L308" s="12"/>
    </row>
    <row r="309" spans="2:12" ht="12.75">
      <c r="B309" s="12"/>
      <c r="C309" s="12"/>
      <c r="D309" s="12"/>
      <c r="E309" s="12"/>
      <c r="F309" s="12"/>
      <c r="G309" s="12"/>
      <c r="H309" s="12"/>
      <c r="I309" s="12"/>
      <c r="J309" s="12"/>
      <c r="K309" s="12"/>
      <c r="L309" s="12"/>
    </row>
    <row r="310" spans="2:12" ht="12.75">
      <c r="B310" s="12"/>
      <c r="C310" s="12"/>
      <c r="D310" s="12"/>
      <c r="E310" s="12"/>
      <c r="F310" s="12"/>
      <c r="G310" s="12"/>
      <c r="H310" s="12"/>
      <c r="I310" s="12"/>
      <c r="J310" s="12"/>
      <c r="K310" s="12"/>
      <c r="L310" s="12"/>
    </row>
    <row r="311" spans="2:12" ht="12.75">
      <c r="B311" s="12"/>
      <c r="C311" s="12"/>
      <c r="D311" s="12"/>
      <c r="E311" s="12"/>
      <c r="F311" s="12"/>
      <c r="G311" s="12"/>
      <c r="H311" s="12"/>
      <c r="I311" s="12"/>
      <c r="J311" s="12"/>
      <c r="K311" s="12"/>
      <c r="L311" s="12"/>
    </row>
    <row r="312" spans="2:12" ht="12.75">
      <c r="B312" s="12"/>
      <c r="C312" s="12"/>
      <c r="D312" s="12"/>
      <c r="E312" s="12"/>
      <c r="F312" s="12"/>
      <c r="G312" s="12"/>
      <c r="H312" s="12"/>
      <c r="I312" s="12"/>
      <c r="J312" s="12"/>
      <c r="K312" s="12"/>
      <c r="L312" s="12"/>
    </row>
    <row r="313" spans="2:12" ht="12.75">
      <c r="B313" s="12"/>
      <c r="C313" s="12"/>
      <c r="D313" s="12"/>
      <c r="E313" s="12"/>
      <c r="F313" s="12"/>
      <c r="G313" s="12"/>
      <c r="H313" s="12"/>
      <c r="I313" s="12"/>
      <c r="J313" s="12"/>
      <c r="K313" s="12"/>
      <c r="L313" s="12"/>
    </row>
    <row r="314" spans="2:12" ht="12.75">
      <c r="B314" s="12"/>
      <c r="C314" s="12"/>
      <c r="D314" s="12"/>
      <c r="E314" s="12"/>
      <c r="F314" s="12"/>
      <c r="G314" s="12"/>
      <c r="H314" s="12"/>
      <c r="I314" s="12"/>
      <c r="J314" s="12"/>
      <c r="K314" s="12"/>
      <c r="L314" s="12"/>
    </row>
    <row r="315" spans="2:12" ht="12.75">
      <c r="B315" s="12"/>
      <c r="C315" s="12"/>
      <c r="D315" s="12"/>
      <c r="E315" s="12"/>
      <c r="F315" s="12"/>
      <c r="G315" s="12"/>
      <c r="H315" s="12"/>
      <c r="I315" s="12"/>
      <c r="J315" s="12"/>
      <c r="K315" s="12"/>
      <c r="L315" s="12"/>
    </row>
    <row r="316" spans="2:12" ht="12.75">
      <c r="B316" s="12"/>
      <c r="C316" s="12"/>
      <c r="D316" s="12"/>
      <c r="E316" s="12"/>
      <c r="F316" s="12"/>
      <c r="G316" s="12"/>
      <c r="H316" s="12"/>
      <c r="I316" s="12"/>
      <c r="J316" s="12"/>
      <c r="K316" s="12"/>
      <c r="L316" s="12"/>
    </row>
    <row r="317" spans="2:12" ht="12.75">
      <c r="B317" s="12"/>
      <c r="C317" s="12"/>
      <c r="D317" s="12"/>
      <c r="E317" s="12"/>
      <c r="F317" s="12"/>
      <c r="G317" s="12"/>
      <c r="H317" s="12"/>
      <c r="I317" s="12"/>
      <c r="J317" s="12"/>
      <c r="K317" s="12"/>
      <c r="L317" s="12"/>
    </row>
    <row r="318" spans="2:12" ht="12.75">
      <c r="B318" s="12"/>
      <c r="C318" s="12"/>
      <c r="D318" s="12"/>
      <c r="E318" s="12"/>
      <c r="F318" s="12"/>
      <c r="G318" s="12"/>
      <c r="H318" s="12"/>
      <c r="I318" s="12"/>
      <c r="J318" s="12"/>
      <c r="K318" s="12"/>
      <c r="L318" s="12"/>
    </row>
    <row r="319" spans="2:12" ht="12.75">
      <c r="B319" s="12"/>
      <c r="C319" s="12"/>
      <c r="D319" s="12"/>
      <c r="E319" s="12"/>
      <c r="F319" s="12"/>
      <c r="G319" s="12"/>
      <c r="H319" s="12"/>
      <c r="I319" s="12"/>
      <c r="J319" s="12"/>
      <c r="K319" s="12"/>
      <c r="L319" s="12"/>
    </row>
    <row r="320" spans="2:12" ht="12.75">
      <c r="B320" s="12"/>
      <c r="C320" s="12"/>
      <c r="D320" s="12"/>
      <c r="E320" s="12"/>
      <c r="F320" s="12"/>
      <c r="G320" s="12"/>
      <c r="H320" s="12"/>
      <c r="I320" s="12"/>
      <c r="J320" s="12"/>
      <c r="K320" s="12"/>
      <c r="L320" s="12"/>
    </row>
    <row r="321" spans="2:12" ht="12.75">
      <c r="B321" s="12"/>
      <c r="C321" s="12"/>
      <c r="D321" s="12"/>
      <c r="E321" s="12"/>
      <c r="F321" s="12"/>
      <c r="G321" s="12"/>
      <c r="H321" s="12"/>
      <c r="I321" s="12"/>
      <c r="J321" s="12"/>
      <c r="K321" s="12"/>
      <c r="L321" s="12"/>
    </row>
    <row r="322" spans="2:12" ht="12.75">
      <c r="B322" s="12"/>
      <c r="C322" s="12"/>
      <c r="D322" s="12"/>
      <c r="E322" s="12"/>
      <c r="F322" s="12"/>
      <c r="G322" s="12"/>
      <c r="H322" s="12"/>
      <c r="I322" s="12"/>
      <c r="J322" s="12"/>
      <c r="K322" s="12"/>
      <c r="L322" s="12"/>
    </row>
    <row r="323" spans="2:12" ht="12.75">
      <c r="B323" s="12"/>
      <c r="C323" s="12"/>
      <c r="D323" s="12"/>
      <c r="E323" s="12"/>
      <c r="F323" s="12"/>
      <c r="G323" s="12"/>
      <c r="H323" s="12"/>
      <c r="I323" s="12"/>
      <c r="J323" s="12"/>
      <c r="K323" s="12"/>
      <c r="L323" s="12"/>
    </row>
    <row r="324" spans="2:12" ht="12.75">
      <c r="B324" s="12"/>
      <c r="C324" s="12"/>
      <c r="D324" s="12"/>
      <c r="E324" s="12"/>
      <c r="F324" s="12"/>
      <c r="G324" s="12"/>
      <c r="H324" s="12"/>
      <c r="I324" s="12"/>
      <c r="J324" s="12"/>
      <c r="K324" s="12"/>
      <c r="L324" s="12"/>
    </row>
    <row r="325" spans="2:12" ht="12.75">
      <c r="B325" s="12"/>
      <c r="C325" s="12"/>
      <c r="D325" s="12"/>
      <c r="E325" s="12"/>
      <c r="F325" s="12"/>
      <c r="G325" s="12"/>
      <c r="H325" s="12"/>
      <c r="I325" s="12"/>
      <c r="J325" s="12"/>
      <c r="K325" s="12"/>
      <c r="L325" s="12"/>
    </row>
    <row r="326" spans="2:12" ht="12.75">
      <c r="B326" s="12"/>
      <c r="C326" s="12"/>
      <c r="D326" s="12"/>
      <c r="E326" s="12"/>
      <c r="F326" s="12"/>
      <c r="G326" s="12"/>
      <c r="H326" s="12"/>
      <c r="I326" s="12"/>
      <c r="J326" s="12"/>
      <c r="K326" s="12"/>
      <c r="L326" s="12"/>
    </row>
    <row r="327" spans="2:12" ht="12.75">
      <c r="B327" s="12"/>
      <c r="C327" s="12"/>
      <c r="D327" s="12"/>
      <c r="E327" s="12"/>
      <c r="F327" s="12"/>
      <c r="G327" s="12"/>
      <c r="H327" s="12"/>
      <c r="I327" s="12"/>
      <c r="J327" s="12"/>
      <c r="K327" s="12"/>
      <c r="L327" s="12"/>
    </row>
    <row r="328" spans="2:12" ht="12.75">
      <c r="B328" s="12"/>
      <c r="C328" s="12"/>
      <c r="D328" s="12"/>
      <c r="E328" s="12"/>
      <c r="F328" s="12"/>
      <c r="G328" s="12"/>
      <c r="H328" s="12"/>
      <c r="I328" s="12"/>
      <c r="J328" s="12"/>
      <c r="K328" s="12"/>
      <c r="L328" s="12"/>
    </row>
    <row r="329" spans="2:12" ht="12.75">
      <c r="B329" s="12"/>
      <c r="C329" s="12"/>
      <c r="D329" s="12"/>
      <c r="E329" s="12"/>
      <c r="F329" s="12"/>
      <c r="G329" s="12"/>
      <c r="H329" s="12"/>
      <c r="I329" s="12"/>
      <c r="J329" s="12"/>
      <c r="K329" s="12"/>
      <c r="L329" s="12"/>
    </row>
    <row r="330" spans="2:12" ht="12.75">
      <c r="B330" s="12"/>
      <c r="C330" s="12"/>
      <c r="D330" s="12"/>
      <c r="E330" s="12"/>
      <c r="F330" s="12"/>
      <c r="G330" s="12"/>
      <c r="H330" s="12"/>
      <c r="I330" s="12"/>
      <c r="J330" s="12"/>
      <c r="K330" s="12"/>
      <c r="L330" s="12"/>
    </row>
    <row r="331" spans="2:12" ht="12.75">
      <c r="B331" s="12"/>
      <c r="C331" s="12"/>
      <c r="D331" s="12"/>
      <c r="E331" s="12"/>
      <c r="F331" s="12"/>
      <c r="G331" s="12"/>
      <c r="H331" s="12"/>
      <c r="I331" s="12"/>
      <c r="J331" s="12"/>
      <c r="K331" s="12"/>
      <c r="L331" s="12"/>
    </row>
    <row r="332" spans="2:12" ht="12.75">
      <c r="B332" s="12"/>
      <c r="C332" s="12"/>
      <c r="D332" s="12"/>
      <c r="E332" s="12"/>
      <c r="F332" s="12"/>
      <c r="G332" s="12"/>
      <c r="H332" s="12"/>
      <c r="I332" s="12"/>
      <c r="J332" s="12"/>
      <c r="K332" s="12"/>
      <c r="L332" s="12"/>
    </row>
    <row r="333" spans="2:12" ht="12.75">
      <c r="B333" s="12"/>
      <c r="C333" s="12"/>
      <c r="D333" s="12"/>
      <c r="E333" s="12"/>
      <c r="F333" s="12"/>
      <c r="G333" s="12"/>
      <c r="H333" s="12"/>
      <c r="I333" s="12"/>
      <c r="J333" s="12"/>
      <c r="K333" s="12"/>
      <c r="L333" s="12"/>
    </row>
    <row r="334" spans="2:12" ht="12.75">
      <c r="B334" s="12"/>
      <c r="C334" s="12"/>
      <c r="D334" s="12"/>
      <c r="E334" s="12"/>
      <c r="F334" s="12"/>
      <c r="G334" s="12"/>
      <c r="H334" s="12"/>
      <c r="I334" s="12"/>
      <c r="J334" s="12"/>
      <c r="K334" s="12"/>
      <c r="L334" s="12"/>
    </row>
    <row r="335" spans="2:12" ht="12.75">
      <c r="B335" s="12"/>
      <c r="C335" s="12"/>
      <c r="D335" s="12"/>
      <c r="E335" s="12"/>
      <c r="F335" s="12"/>
      <c r="G335" s="12"/>
      <c r="H335" s="12"/>
      <c r="I335" s="12"/>
      <c r="J335" s="12"/>
      <c r="K335" s="12"/>
      <c r="L335" s="12"/>
    </row>
    <row r="336" spans="2:12" ht="12.75">
      <c r="B336" s="12"/>
      <c r="C336" s="12"/>
      <c r="D336" s="12"/>
      <c r="E336" s="12"/>
      <c r="F336" s="12"/>
      <c r="G336" s="12"/>
      <c r="H336" s="12"/>
      <c r="I336" s="12"/>
      <c r="J336" s="12"/>
      <c r="K336" s="12"/>
      <c r="L336" s="12"/>
    </row>
    <row r="337" spans="2:12" ht="12.75">
      <c r="B337" s="12"/>
      <c r="C337" s="12"/>
      <c r="D337" s="12"/>
      <c r="E337" s="12"/>
      <c r="F337" s="12"/>
      <c r="G337" s="12"/>
      <c r="H337" s="12"/>
      <c r="I337" s="12"/>
      <c r="J337" s="12"/>
      <c r="K337" s="12"/>
      <c r="L337" s="12"/>
    </row>
    <row r="338" spans="2:12" ht="12.75">
      <c r="B338" s="12"/>
      <c r="C338" s="12"/>
      <c r="D338" s="12"/>
      <c r="E338" s="12"/>
      <c r="F338" s="12"/>
      <c r="G338" s="12"/>
      <c r="H338" s="12"/>
      <c r="I338" s="12"/>
      <c r="J338" s="12"/>
      <c r="K338" s="12"/>
      <c r="L338" s="12"/>
    </row>
    <row r="339" spans="2:12" ht="12.75">
      <c r="B339" s="12"/>
      <c r="C339" s="12"/>
      <c r="D339" s="12"/>
      <c r="E339" s="12"/>
      <c r="F339" s="12"/>
      <c r="G339" s="12"/>
      <c r="H339" s="12"/>
      <c r="I339" s="12"/>
      <c r="J339" s="12"/>
      <c r="K339" s="12"/>
      <c r="L339" s="12"/>
    </row>
    <row r="340" spans="2:12" ht="12.75">
      <c r="B340" s="12"/>
      <c r="C340" s="12"/>
      <c r="D340" s="12"/>
      <c r="E340" s="12"/>
      <c r="F340" s="12"/>
      <c r="G340" s="12"/>
      <c r="H340" s="12"/>
      <c r="I340" s="12"/>
      <c r="J340" s="12"/>
      <c r="K340" s="12"/>
      <c r="L340" s="12"/>
    </row>
    <row r="341" spans="2:12" ht="12.75">
      <c r="B341" s="12"/>
      <c r="C341" s="12"/>
      <c r="D341" s="12"/>
      <c r="E341" s="12"/>
      <c r="F341" s="12"/>
      <c r="G341" s="12"/>
      <c r="H341" s="12"/>
      <c r="I341" s="12"/>
      <c r="J341" s="12"/>
      <c r="K341" s="12"/>
      <c r="L341" s="12"/>
    </row>
    <row r="342" spans="2:12" ht="12.75">
      <c r="B342" s="12"/>
      <c r="C342" s="12"/>
      <c r="D342" s="12"/>
      <c r="E342" s="12"/>
      <c r="F342" s="12"/>
      <c r="G342" s="12"/>
      <c r="H342" s="12"/>
      <c r="I342" s="12"/>
      <c r="J342" s="12"/>
      <c r="K342" s="12"/>
      <c r="L342" s="12"/>
    </row>
    <row r="343" spans="2:12" ht="12.75">
      <c r="B343" s="12"/>
      <c r="C343" s="12"/>
      <c r="D343" s="12"/>
      <c r="E343" s="12"/>
      <c r="F343" s="12"/>
      <c r="G343" s="12"/>
      <c r="H343" s="12"/>
      <c r="I343" s="12"/>
      <c r="J343" s="12"/>
      <c r="K343" s="12"/>
      <c r="L343" s="12"/>
    </row>
    <row r="344" spans="2:12" ht="12.75">
      <c r="B344" s="12"/>
      <c r="C344" s="12"/>
      <c r="D344" s="12"/>
      <c r="E344" s="12"/>
      <c r="F344" s="12"/>
      <c r="G344" s="12"/>
      <c r="H344" s="12"/>
      <c r="I344" s="12"/>
      <c r="J344" s="12"/>
      <c r="K344" s="12"/>
      <c r="L344" s="12"/>
    </row>
    <row r="345" spans="2:12" ht="12.75">
      <c r="B345" s="12"/>
      <c r="C345" s="12"/>
      <c r="D345" s="12"/>
      <c r="E345" s="12"/>
      <c r="F345" s="12"/>
      <c r="G345" s="12"/>
      <c r="H345" s="12"/>
      <c r="I345" s="12"/>
      <c r="J345" s="12"/>
      <c r="K345" s="12"/>
      <c r="L345" s="12"/>
    </row>
    <row r="346" spans="2:12" ht="12.75">
      <c r="B346" s="12"/>
      <c r="C346" s="12"/>
      <c r="D346" s="12"/>
      <c r="E346" s="12"/>
      <c r="F346" s="12"/>
      <c r="G346" s="12"/>
      <c r="H346" s="12"/>
      <c r="I346" s="12"/>
      <c r="J346" s="12"/>
      <c r="K346" s="12"/>
      <c r="L346" s="12"/>
    </row>
    <row r="347" spans="2:12" ht="12.75">
      <c r="B347" s="12"/>
      <c r="C347" s="12"/>
      <c r="D347" s="12"/>
      <c r="E347" s="12"/>
      <c r="F347" s="12"/>
      <c r="G347" s="12"/>
      <c r="H347" s="12"/>
      <c r="I347" s="12"/>
      <c r="J347" s="12"/>
      <c r="K347" s="12"/>
      <c r="L347" s="12"/>
    </row>
    <row r="348" spans="2:12" ht="12.75">
      <c r="B348" s="12"/>
      <c r="C348" s="12"/>
      <c r="D348" s="12"/>
      <c r="E348" s="12"/>
      <c r="F348" s="12"/>
      <c r="G348" s="12"/>
      <c r="H348" s="12"/>
      <c r="I348" s="12"/>
      <c r="J348" s="12"/>
      <c r="K348" s="12"/>
      <c r="L348" s="12"/>
    </row>
    <row r="349" spans="2:12" ht="12.75">
      <c r="B349" s="12"/>
      <c r="C349" s="12"/>
      <c r="D349" s="12"/>
      <c r="E349" s="12"/>
      <c r="F349" s="12"/>
      <c r="G349" s="12"/>
      <c r="H349" s="12"/>
      <c r="I349" s="12"/>
      <c r="J349" s="12"/>
      <c r="K349" s="12"/>
      <c r="L349" s="12"/>
    </row>
    <row r="350" spans="2:12" ht="12.75">
      <c r="B350" s="12"/>
      <c r="C350" s="12"/>
      <c r="D350" s="12"/>
      <c r="E350" s="12"/>
      <c r="F350" s="12"/>
      <c r="G350" s="12"/>
      <c r="H350" s="12"/>
      <c r="I350" s="12"/>
      <c r="J350" s="12"/>
      <c r="K350" s="12"/>
      <c r="L350" s="12"/>
    </row>
    <row r="351" spans="2:12" ht="12.75">
      <c r="B351" s="12"/>
      <c r="C351" s="12"/>
      <c r="D351" s="12"/>
      <c r="E351" s="12"/>
      <c r="F351" s="12"/>
      <c r="G351" s="12"/>
      <c r="H351" s="12"/>
      <c r="I351" s="12"/>
      <c r="J351" s="12"/>
      <c r="K351" s="12"/>
      <c r="L351" s="12"/>
    </row>
    <row r="352" spans="2:12" ht="12.75">
      <c r="B352" s="12"/>
      <c r="C352" s="12"/>
      <c r="D352" s="12"/>
      <c r="E352" s="12"/>
      <c r="F352" s="12"/>
      <c r="G352" s="12"/>
      <c r="H352" s="12"/>
      <c r="I352" s="12"/>
      <c r="J352" s="12"/>
      <c r="K352" s="12"/>
      <c r="L352" s="12"/>
    </row>
    <row r="353" spans="2:12" ht="12.75">
      <c r="B353" s="12"/>
      <c r="C353" s="12"/>
      <c r="D353" s="12"/>
      <c r="E353" s="12"/>
      <c r="F353" s="12"/>
      <c r="G353" s="12"/>
      <c r="H353" s="12"/>
      <c r="I353" s="12"/>
      <c r="J353" s="12"/>
      <c r="K353" s="12"/>
      <c r="L353" s="12"/>
    </row>
    <row r="354" spans="2:12" ht="12.75">
      <c r="B354" s="12"/>
      <c r="C354" s="12"/>
      <c r="D354" s="12"/>
      <c r="E354" s="12"/>
      <c r="F354" s="12"/>
      <c r="G354" s="12"/>
      <c r="H354" s="12"/>
      <c r="I354" s="12"/>
      <c r="J354" s="12"/>
      <c r="K354" s="12"/>
      <c r="L354" s="12"/>
    </row>
    <row r="355" spans="2:12" ht="12.75">
      <c r="B355" s="12"/>
      <c r="C355" s="12"/>
      <c r="D355" s="12"/>
      <c r="E355" s="12"/>
      <c r="F355" s="12"/>
      <c r="G355" s="12"/>
      <c r="H355" s="12"/>
      <c r="I355" s="12"/>
      <c r="J355" s="12"/>
      <c r="K355" s="12"/>
      <c r="L355" s="12"/>
    </row>
    <row r="356" spans="2:12" ht="12.75">
      <c r="B356" s="12"/>
      <c r="C356" s="12"/>
      <c r="D356" s="12"/>
      <c r="E356" s="12"/>
      <c r="F356" s="12"/>
      <c r="G356" s="12"/>
      <c r="H356" s="12"/>
      <c r="I356" s="12"/>
      <c r="J356" s="12"/>
      <c r="K356" s="12"/>
      <c r="L356" s="12"/>
    </row>
    <row r="357" spans="2:12" ht="12.75">
      <c r="B357" s="12"/>
      <c r="C357" s="12"/>
      <c r="D357" s="12"/>
      <c r="E357" s="12"/>
      <c r="F357" s="12"/>
      <c r="G357" s="12"/>
      <c r="H357" s="12"/>
      <c r="I357" s="12"/>
      <c r="J357" s="12"/>
      <c r="K357" s="12"/>
      <c r="L357" s="12"/>
    </row>
    <row r="358" spans="2:12" ht="12.75">
      <c r="B358" s="12"/>
      <c r="C358" s="12"/>
      <c r="D358" s="12"/>
      <c r="E358" s="12"/>
      <c r="F358" s="12"/>
      <c r="G358" s="12"/>
      <c r="H358" s="12"/>
      <c r="I358" s="12"/>
      <c r="J358" s="12"/>
      <c r="K358" s="12"/>
      <c r="L358" s="12"/>
    </row>
    <row r="359" spans="2:12" ht="12.75">
      <c r="B359" s="12"/>
      <c r="C359" s="12"/>
      <c r="D359" s="12"/>
      <c r="E359" s="12"/>
      <c r="F359" s="12"/>
      <c r="G359" s="12"/>
      <c r="H359" s="12"/>
      <c r="I359" s="12"/>
      <c r="J359" s="12"/>
      <c r="K359" s="12"/>
      <c r="L359" s="12"/>
    </row>
    <row r="360" spans="2:12" ht="12.75">
      <c r="B360" s="12"/>
      <c r="C360" s="12"/>
      <c r="D360" s="12"/>
      <c r="E360" s="12"/>
      <c r="F360" s="12"/>
      <c r="G360" s="12"/>
      <c r="H360" s="12"/>
      <c r="I360" s="12"/>
      <c r="J360" s="12"/>
      <c r="K360" s="12"/>
      <c r="L360" s="12"/>
    </row>
    <row r="361" spans="2:12" ht="12.75">
      <c r="B361" s="12"/>
      <c r="C361" s="12"/>
      <c r="D361" s="12"/>
      <c r="E361" s="12"/>
      <c r="F361" s="12"/>
      <c r="G361" s="12"/>
      <c r="H361" s="12"/>
      <c r="I361" s="12"/>
      <c r="J361" s="12"/>
      <c r="K361" s="12"/>
      <c r="L361" s="12"/>
    </row>
    <row r="362" spans="2:12" ht="12.75">
      <c r="B362" s="12"/>
      <c r="C362" s="12"/>
      <c r="D362" s="12"/>
      <c r="E362" s="12"/>
      <c r="F362" s="12"/>
      <c r="G362" s="12"/>
      <c r="H362" s="12"/>
      <c r="I362" s="12"/>
      <c r="J362" s="12"/>
      <c r="K362" s="12"/>
      <c r="L362" s="12"/>
    </row>
    <row r="363" spans="2:12" ht="12.75">
      <c r="B363" s="12"/>
      <c r="C363" s="12"/>
      <c r="D363" s="12"/>
      <c r="E363" s="12"/>
      <c r="F363" s="12"/>
      <c r="G363" s="12"/>
      <c r="H363" s="12"/>
      <c r="I363" s="12"/>
      <c r="J363" s="12"/>
      <c r="K363" s="12"/>
      <c r="L363" s="12"/>
    </row>
    <row r="364" spans="2:12" ht="12.75">
      <c r="B364" s="12"/>
      <c r="C364" s="12"/>
      <c r="D364" s="12"/>
      <c r="E364" s="12"/>
      <c r="F364" s="12"/>
      <c r="G364" s="12"/>
      <c r="H364" s="12"/>
      <c r="I364" s="12"/>
      <c r="J364" s="12"/>
      <c r="K364" s="12"/>
      <c r="L364" s="12"/>
    </row>
    <row r="365" spans="2:12" ht="12.75">
      <c r="B365" s="12"/>
      <c r="C365" s="12"/>
      <c r="D365" s="12"/>
      <c r="E365" s="12"/>
      <c r="F365" s="12"/>
      <c r="G365" s="12"/>
      <c r="H365" s="12"/>
      <c r="I365" s="12"/>
      <c r="J365" s="12"/>
      <c r="K365" s="12"/>
      <c r="L365" s="12"/>
    </row>
    <row r="366" spans="2:12" ht="12.75">
      <c r="B366" s="12"/>
      <c r="C366" s="12"/>
      <c r="D366" s="12"/>
      <c r="E366" s="12"/>
      <c r="F366" s="12"/>
      <c r="G366" s="12"/>
      <c r="H366" s="12"/>
      <c r="I366" s="12"/>
      <c r="J366" s="12"/>
      <c r="K366" s="12"/>
      <c r="L366" s="12"/>
    </row>
    <row r="367" spans="2:12" ht="12.75">
      <c r="B367" s="12"/>
      <c r="C367" s="12"/>
      <c r="D367" s="12"/>
      <c r="E367" s="12"/>
      <c r="F367" s="12"/>
      <c r="G367" s="12"/>
      <c r="H367" s="12"/>
      <c r="I367" s="12"/>
      <c r="J367" s="12"/>
      <c r="K367" s="12"/>
      <c r="L367" s="12"/>
    </row>
    <row r="368" spans="2:12" ht="12.75">
      <c r="B368" s="12"/>
      <c r="C368" s="12"/>
      <c r="D368" s="12"/>
      <c r="E368" s="12"/>
      <c r="F368" s="12"/>
      <c r="G368" s="12"/>
      <c r="H368" s="12"/>
      <c r="I368" s="12"/>
      <c r="J368" s="12"/>
      <c r="K368" s="12"/>
      <c r="L368" s="12"/>
    </row>
    <row r="369" spans="2:12" ht="12.75">
      <c r="B369" s="12"/>
      <c r="C369" s="12"/>
      <c r="D369" s="12"/>
      <c r="E369" s="12"/>
      <c r="F369" s="12"/>
      <c r="G369" s="12"/>
      <c r="H369" s="12"/>
      <c r="I369" s="12"/>
      <c r="J369" s="12"/>
      <c r="K369" s="12"/>
      <c r="L369" s="12"/>
    </row>
    <row r="370" spans="2:12" ht="12.75">
      <c r="B370" s="12"/>
      <c r="C370" s="12"/>
      <c r="D370" s="12"/>
      <c r="E370" s="12"/>
      <c r="F370" s="12"/>
      <c r="G370" s="12"/>
      <c r="H370" s="12"/>
      <c r="I370" s="12"/>
      <c r="J370" s="12"/>
      <c r="K370" s="12"/>
      <c r="L370" s="12"/>
    </row>
    <row r="371" spans="2:12" ht="12.75">
      <c r="B371" s="12"/>
      <c r="C371" s="12"/>
      <c r="D371" s="12"/>
      <c r="E371" s="12"/>
      <c r="F371" s="12"/>
      <c r="G371" s="12"/>
      <c r="H371" s="12"/>
      <c r="I371" s="12"/>
      <c r="J371" s="12"/>
      <c r="K371" s="12"/>
      <c r="L371" s="12"/>
    </row>
    <row r="372" spans="2:12" ht="12.75">
      <c r="B372" s="12"/>
      <c r="C372" s="12"/>
      <c r="D372" s="12"/>
      <c r="E372" s="12"/>
      <c r="F372" s="12"/>
      <c r="G372" s="12"/>
      <c r="H372" s="12"/>
      <c r="I372" s="12"/>
      <c r="J372" s="12"/>
      <c r="K372" s="12"/>
      <c r="L372" s="12"/>
    </row>
    <row r="373" spans="2:12" ht="12.75">
      <c r="B373" s="12"/>
      <c r="C373" s="12"/>
      <c r="D373" s="12"/>
      <c r="E373" s="12"/>
      <c r="F373" s="12"/>
      <c r="G373" s="12"/>
      <c r="H373" s="12"/>
      <c r="I373" s="12"/>
      <c r="J373" s="12"/>
      <c r="K373" s="12"/>
      <c r="L373" s="12"/>
    </row>
    <row r="374" spans="2:12" ht="12.75">
      <c r="B374" s="12"/>
      <c r="C374" s="12"/>
      <c r="D374" s="12"/>
      <c r="E374" s="12"/>
      <c r="F374" s="12"/>
      <c r="G374" s="12"/>
      <c r="H374" s="12"/>
      <c r="I374" s="12"/>
      <c r="J374" s="12"/>
      <c r="K374" s="12"/>
      <c r="L374" s="12"/>
    </row>
    <row r="375" spans="2:12" ht="12.75">
      <c r="B375" s="12"/>
      <c r="C375" s="12"/>
      <c r="D375" s="12"/>
      <c r="E375" s="12"/>
      <c r="F375" s="12"/>
      <c r="G375" s="12"/>
      <c r="H375" s="12"/>
      <c r="I375" s="12"/>
      <c r="J375" s="12"/>
      <c r="K375" s="12"/>
      <c r="L375" s="12"/>
    </row>
    <row r="376" spans="2:12" ht="12.75">
      <c r="B376" s="12"/>
      <c r="C376" s="12"/>
      <c r="D376" s="12"/>
      <c r="E376" s="12"/>
      <c r="F376" s="12"/>
      <c r="G376" s="12"/>
      <c r="H376" s="12"/>
      <c r="I376" s="12"/>
      <c r="J376" s="12"/>
      <c r="K376" s="12"/>
      <c r="L376" s="12"/>
    </row>
    <row r="377" spans="2:12" ht="12.75">
      <c r="B377" s="12"/>
      <c r="C377" s="12"/>
      <c r="D377" s="12"/>
      <c r="E377" s="12"/>
      <c r="F377" s="12"/>
      <c r="G377" s="12"/>
      <c r="H377" s="12"/>
      <c r="I377" s="12"/>
      <c r="J377" s="12"/>
      <c r="K377" s="12"/>
      <c r="L377" s="12"/>
    </row>
    <row r="378" spans="2:12" ht="12.75">
      <c r="B378" s="12"/>
      <c r="C378" s="12"/>
      <c r="D378" s="12"/>
      <c r="E378" s="12"/>
      <c r="F378" s="12"/>
      <c r="G378" s="12"/>
      <c r="H378" s="12"/>
      <c r="I378" s="12"/>
      <c r="J378" s="12"/>
      <c r="K378" s="12"/>
      <c r="L378" s="12"/>
    </row>
    <row r="379" spans="2:12" ht="12.75">
      <c r="B379" s="12"/>
      <c r="C379" s="12"/>
      <c r="D379" s="12"/>
      <c r="E379" s="12"/>
      <c r="F379" s="12"/>
      <c r="G379" s="12"/>
      <c r="H379" s="12"/>
      <c r="I379" s="12"/>
      <c r="J379" s="12"/>
      <c r="K379" s="12"/>
      <c r="L379" s="12"/>
    </row>
    <row r="380" spans="2:12" ht="12.75">
      <c r="B380" s="12"/>
      <c r="C380" s="12"/>
      <c r="D380" s="12"/>
      <c r="E380" s="12"/>
      <c r="F380" s="12"/>
      <c r="G380" s="12"/>
      <c r="H380" s="12"/>
      <c r="I380" s="12"/>
      <c r="J380" s="12"/>
      <c r="K380" s="12"/>
      <c r="L380" s="12"/>
    </row>
    <row r="381" spans="2:12" ht="12.75">
      <c r="B381" s="12"/>
      <c r="C381" s="12"/>
      <c r="D381" s="12"/>
      <c r="E381" s="12"/>
      <c r="F381" s="12"/>
      <c r="G381" s="12"/>
      <c r="H381" s="12"/>
      <c r="I381" s="12"/>
      <c r="J381" s="12"/>
      <c r="K381" s="12"/>
      <c r="L381" s="12"/>
    </row>
    <row r="382" spans="2:12" ht="12.75">
      <c r="B382" s="12"/>
      <c r="C382" s="12"/>
      <c r="D382" s="12"/>
      <c r="E382" s="12"/>
      <c r="F382" s="12"/>
      <c r="G382" s="12"/>
      <c r="H382" s="12"/>
      <c r="I382" s="12"/>
      <c r="J382" s="12"/>
      <c r="K382" s="12"/>
      <c r="L382" s="12"/>
    </row>
    <row r="383" spans="2:12" ht="12.75">
      <c r="B383" s="12"/>
      <c r="C383" s="12"/>
      <c r="D383" s="12"/>
      <c r="E383" s="12"/>
      <c r="F383" s="12"/>
      <c r="G383" s="12"/>
      <c r="H383" s="12"/>
      <c r="I383" s="12"/>
      <c r="J383" s="12"/>
      <c r="K383" s="12"/>
      <c r="L383" s="12"/>
    </row>
    <row r="384" spans="2:12" ht="12.75">
      <c r="B384" s="12"/>
      <c r="C384" s="12"/>
      <c r="D384" s="12"/>
      <c r="E384" s="12"/>
      <c r="F384" s="12"/>
      <c r="G384" s="12"/>
      <c r="H384" s="12"/>
      <c r="I384" s="12"/>
      <c r="J384" s="12"/>
      <c r="K384" s="12"/>
      <c r="L384" s="12"/>
    </row>
    <row r="385" spans="2:12" ht="12.75">
      <c r="B385" s="12"/>
      <c r="C385" s="12"/>
      <c r="D385" s="12"/>
      <c r="E385" s="12"/>
      <c r="F385" s="12"/>
      <c r="G385" s="12"/>
      <c r="H385" s="12"/>
      <c r="I385" s="12"/>
      <c r="J385" s="12"/>
      <c r="K385" s="12"/>
      <c r="L385" s="12"/>
    </row>
    <row r="386" spans="2:12" ht="12.75">
      <c r="B386" s="12"/>
      <c r="C386" s="12"/>
      <c r="D386" s="12"/>
      <c r="E386" s="12"/>
      <c r="F386" s="12"/>
      <c r="G386" s="12"/>
      <c r="H386" s="12"/>
      <c r="I386" s="12"/>
      <c r="J386" s="12"/>
      <c r="K386" s="12"/>
      <c r="L386" s="12"/>
    </row>
    <row r="387" spans="2:12" ht="12.75">
      <c r="B387" s="12"/>
      <c r="C387" s="12"/>
      <c r="D387" s="12"/>
      <c r="E387" s="12"/>
      <c r="F387" s="12"/>
      <c r="G387" s="12"/>
      <c r="H387" s="12"/>
      <c r="I387" s="12"/>
      <c r="J387" s="12"/>
      <c r="K387" s="12"/>
      <c r="L387" s="12"/>
    </row>
    <row r="388" spans="2:12" ht="12.75">
      <c r="B388" s="12"/>
      <c r="C388" s="12"/>
      <c r="D388" s="12"/>
      <c r="E388" s="12"/>
      <c r="F388" s="12"/>
      <c r="G388" s="12"/>
      <c r="H388" s="12"/>
      <c r="I388" s="12"/>
      <c r="J388" s="12"/>
      <c r="K388" s="12"/>
      <c r="L388" s="12"/>
    </row>
    <row r="389" spans="2:12" ht="12.75">
      <c r="B389" s="12"/>
      <c r="C389" s="12"/>
      <c r="D389" s="12"/>
      <c r="E389" s="12"/>
      <c r="F389" s="12"/>
      <c r="G389" s="12"/>
      <c r="H389" s="12"/>
      <c r="I389" s="12"/>
      <c r="J389" s="12"/>
      <c r="K389" s="12"/>
      <c r="L389" s="12"/>
    </row>
    <row r="390" spans="2:12" ht="12.75">
      <c r="B390" s="12"/>
      <c r="C390" s="12"/>
      <c r="D390" s="12"/>
      <c r="E390" s="12"/>
      <c r="F390" s="12"/>
      <c r="G390" s="12"/>
      <c r="H390" s="12"/>
      <c r="I390" s="12"/>
      <c r="J390" s="12"/>
      <c r="K390" s="12"/>
      <c r="L390" s="12"/>
    </row>
    <row r="391" spans="2:12" ht="12.75">
      <c r="B391" s="12"/>
      <c r="C391" s="12"/>
      <c r="D391" s="12"/>
      <c r="E391" s="12"/>
      <c r="F391" s="12"/>
      <c r="G391" s="12"/>
      <c r="H391" s="12"/>
      <c r="I391" s="12"/>
      <c r="J391" s="12"/>
      <c r="K391" s="12"/>
      <c r="L391" s="12"/>
    </row>
    <row r="392" spans="2:12" ht="12.75">
      <c r="B392" s="12"/>
      <c r="C392" s="12"/>
      <c r="D392" s="12"/>
      <c r="E392" s="12"/>
      <c r="F392" s="12"/>
      <c r="G392" s="12"/>
      <c r="H392" s="12"/>
      <c r="I392" s="12"/>
      <c r="J392" s="12"/>
      <c r="K392" s="12"/>
      <c r="L392" s="12"/>
    </row>
    <row r="393" spans="2:12" ht="12.75">
      <c r="B393" s="12"/>
      <c r="C393" s="12"/>
      <c r="D393" s="12"/>
      <c r="E393" s="12"/>
      <c r="F393" s="12"/>
      <c r="G393" s="12"/>
      <c r="H393" s="12"/>
      <c r="I393" s="12"/>
      <c r="J393" s="12"/>
      <c r="K393" s="12"/>
      <c r="L393" s="12"/>
    </row>
    <row r="394" spans="2:12" ht="12.75">
      <c r="B394" s="12"/>
      <c r="C394" s="12"/>
      <c r="D394" s="12"/>
      <c r="E394" s="12"/>
      <c r="F394" s="12"/>
      <c r="G394" s="12"/>
      <c r="H394" s="12"/>
      <c r="I394" s="12"/>
      <c r="J394" s="12"/>
      <c r="K394" s="12"/>
      <c r="L394" s="12"/>
    </row>
    <row r="395" spans="2:12" ht="12.75">
      <c r="B395" s="12"/>
      <c r="C395" s="12"/>
      <c r="D395" s="12"/>
      <c r="E395" s="12"/>
      <c r="F395" s="12"/>
      <c r="G395" s="12"/>
      <c r="H395" s="12"/>
      <c r="I395" s="12"/>
      <c r="J395" s="12"/>
      <c r="K395" s="12"/>
      <c r="L395" s="12"/>
    </row>
    <row r="396" spans="2:12" ht="12.75">
      <c r="B396" s="12"/>
      <c r="C396" s="12"/>
      <c r="D396" s="12"/>
      <c r="E396" s="12"/>
      <c r="F396" s="12"/>
      <c r="G396" s="12"/>
      <c r="H396" s="12"/>
      <c r="I396" s="12"/>
      <c r="J396" s="12"/>
      <c r="K396" s="12"/>
      <c r="L396" s="12"/>
    </row>
    <row r="397" spans="2:12" ht="12.75">
      <c r="B397" s="12"/>
      <c r="C397" s="12"/>
      <c r="D397" s="12"/>
      <c r="E397" s="12"/>
      <c r="F397" s="12"/>
      <c r="G397" s="12"/>
      <c r="H397" s="12"/>
      <c r="I397" s="12"/>
      <c r="J397" s="12"/>
      <c r="K397" s="12"/>
      <c r="L397" s="12"/>
    </row>
    <row r="398" spans="2:12" ht="12.75">
      <c r="B398" s="12"/>
      <c r="C398" s="12"/>
      <c r="D398" s="12"/>
      <c r="E398" s="12"/>
      <c r="F398" s="12"/>
      <c r="G398" s="12"/>
      <c r="H398" s="12"/>
      <c r="I398" s="12"/>
      <c r="J398" s="12"/>
      <c r="K398" s="12"/>
      <c r="L398" s="12"/>
    </row>
    <row r="399" spans="2:12" ht="12.75">
      <c r="B399" s="12"/>
      <c r="C399" s="12"/>
      <c r="D399" s="12"/>
      <c r="E399" s="12"/>
      <c r="F399" s="12"/>
      <c r="G399" s="12"/>
      <c r="H399" s="12"/>
      <c r="I399" s="12"/>
      <c r="J399" s="12"/>
      <c r="K399" s="12"/>
      <c r="L399" s="12"/>
    </row>
    <row r="400" spans="2:12" ht="12.75">
      <c r="B400" s="12"/>
      <c r="C400" s="12"/>
      <c r="D400" s="12"/>
      <c r="E400" s="12"/>
      <c r="F400" s="12"/>
      <c r="G400" s="12"/>
      <c r="H400" s="12"/>
      <c r="I400" s="12"/>
      <c r="J400" s="12"/>
      <c r="K400" s="12"/>
      <c r="L400" s="12"/>
    </row>
    <row r="401" spans="2:12" ht="12.75">
      <c r="B401" s="12"/>
      <c r="C401" s="12"/>
      <c r="D401" s="12"/>
      <c r="E401" s="12"/>
      <c r="F401" s="12"/>
      <c r="G401" s="12"/>
      <c r="H401" s="12"/>
      <c r="I401" s="12"/>
      <c r="J401" s="12"/>
      <c r="K401" s="12"/>
      <c r="L401" s="12"/>
    </row>
    <row r="402" spans="2:12" ht="12.75">
      <c r="B402" s="12"/>
      <c r="C402" s="12"/>
      <c r="D402" s="12"/>
      <c r="E402" s="12"/>
      <c r="F402" s="12"/>
      <c r="G402" s="12"/>
      <c r="H402" s="12"/>
      <c r="I402" s="12"/>
      <c r="J402" s="12"/>
      <c r="K402" s="12"/>
      <c r="L402" s="12"/>
    </row>
    <row r="403" spans="2:12" ht="12.75">
      <c r="B403" s="12"/>
      <c r="C403" s="12"/>
      <c r="D403" s="12"/>
      <c r="E403" s="12"/>
      <c r="F403" s="12"/>
      <c r="G403" s="12"/>
      <c r="H403" s="12"/>
      <c r="I403" s="12"/>
      <c r="J403" s="12"/>
      <c r="K403" s="12"/>
      <c r="L403" s="12"/>
    </row>
    <row r="404" spans="2:12" ht="12.75">
      <c r="B404" s="12"/>
      <c r="C404" s="12"/>
      <c r="D404" s="12"/>
      <c r="E404" s="12"/>
      <c r="F404" s="12"/>
      <c r="G404" s="12"/>
      <c r="H404" s="12"/>
      <c r="I404" s="12"/>
      <c r="J404" s="12"/>
      <c r="K404" s="12"/>
      <c r="L404" s="12"/>
    </row>
    <row r="405" spans="2:12" ht="12.75">
      <c r="B405" s="12"/>
      <c r="C405" s="12"/>
      <c r="D405" s="12"/>
      <c r="E405" s="12"/>
      <c r="F405" s="12"/>
      <c r="G405" s="12"/>
      <c r="H405" s="12"/>
      <c r="I405" s="12"/>
      <c r="J405" s="12"/>
      <c r="K405" s="12"/>
      <c r="L405" s="12"/>
    </row>
    <row r="406" spans="2:12" ht="12.75">
      <c r="B406" s="12"/>
      <c r="C406" s="12"/>
      <c r="D406" s="12"/>
      <c r="E406" s="12"/>
      <c r="F406" s="12"/>
      <c r="G406" s="12"/>
      <c r="H406" s="12"/>
      <c r="I406" s="12"/>
      <c r="J406" s="12"/>
      <c r="K406" s="12"/>
      <c r="L406" s="12"/>
    </row>
    <row r="407" spans="2:12" ht="12.75">
      <c r="B407" s="12"/>
      <c r="C407" s="12"/>
      <c r="D407" s="12"/>
      <c r="E407" s="12"/>
      <c r="F407" s="12"/>
      <c r="G407" s="12"/>
      <c r="H407" s="12"/>
      <c r="I407" s="12"/>
      <c r="J407" s="12"/>
      <c r="K407" s="12"/>
      <c r="L407" s="12"/>
    </row>
    <row r="408" spans="2:12" ht="12.75">
      <c r="B408" s="12"/>
      <c r="C408" s="12"/>
      <c r="D408" s="12"/>
      <c r="E408" s="12"/>
      <c r="F408" s="12"/>
      <c r="G408" s="12"/>
      <c r="H408" s="12"/>
      <c r="I408" s="12"/>
      <c r="J408" s="12"/>
      <c r="K408" s="12"/>
      <c r="L408" s="12"/>
    </row>
    <row r="409" spans="2:12" ht="12.75">
      <c r="B409" s="12"/>
      <c r="C409" s="12"/>
      <c r="D409" s="12"/>
      <c r="E409" s="12"/>
      <c r="F409" s="12"/>
      <c r="G409" s="12"/>
      <c r="H409" s="12"/>
      <c r="I409" s="12"/>
      <c r="J409" s="12"/>
      <c r="K409" s="12"/>
      <c r="L409" s="12"/>
    </row>
    <row r="410" spans="2:12" ht="12.75">
      <c r="B410" s="12"/>
      <c r="C410" s="12"/>
      <c r="D410" s="12"/>
      <c r="E410" s="12"/>
      <c r="F410" s="12"/>
      <c r="G410" s="12"/>
      <c r="H410" s="12"/>
      <c r="I410" s="12"/>
      <c r="J410" s="12"/>
      <c r="K410" s="12"/>
      <c r="L410" s="12"/>
    </row>
    <row r="411" spans="2:12" ht="12.75">
      <c r="B411" s="12"/>
      <c r="C411" s="12"/>
      <c r="D411" s="12"/>
      <c r="E411" s="12"/>
      <c r="F411" s="12"/>
      <c r="G411" s="12"/>
      <c r="H411" s="12"/>
      <c r="I411" s="12"/>
      <c r="J411" s="12"/>
      <c r="K411" s="12"/>
      <c r="L411" s="12"/>
    </row>
    <row r="412" spans="2:12" ht="12.75">
      <c r="B412" s="12"/>
      <c r="C412" s="12"/>
      <c r="D412" s="12"/>
      <c r="E412" s="12"/>
      <c r="F412" s="12"/>
      <c r="G412" s="12"/>
      <c r="H412" s="12"/>
      <c r="I412" s="12"/>
      <c r="J412" s="12"/>
      <c r="K412" s="12"/>
      <c r="L412" s="12"/>
    </row>
    <row r="413" spans="2:12" ht="12.75">
      <c r="B413" s="12"/>
      <c r="C413" s="12"/>
      <c r="D413" s="12"/>
      <c r="E413" s="12"/>
      <c r="F413" s="12"/>
      <c r="G413" s="12"/>
      <c r="H413" s="12"/>
      <c r="I413" s="12"/>
      <c r="J413" s="12"/>
      <c r="K413" s="12"/>
      <c r="L413" s="12"/>
    </row>
    <row r="414" spans="2:12" ht="12.75">
      <c r="B414" s="12"/>
      <c r="C414" s="12"/>
      <c r="D414" s="12"/>
      <c r="E414" s="12"/>
      <c r="F414" s="12"/>
      <c r="G414" s="12"/>
      <c r="H414" s="12"/>
      <c r="I414" s="12"/>
      <c r="J414" s="12"/>
      <c r="K414" s="12"/>
      <c r="L414" s="12"/>
    </row>
    <row r="415" spans="2:12" ht="12.75">
      <c r="B415" s="12"/>
      <c r="C415" s="12"/>
      <c r="D415" s="12"/>
      <c r="E415" s="12"/>
      <c r="F415" s="12"/>
      <c r="G415" s="12"/>
      <c r="H415" s="12"/>
      <c r="I415" s="12"/>
      <c r="J415" s="12"/>
      <c r="K415" s="12"/>
      <c r="L415" s="12"/>
    </row>
    <row r="416" spans="2:12" ht="12.75">
      <c r="B416" s="12"/>
      <c r="C416" s="12"/>
      <c r="D416" s="12"/>
      <c r="E416" s="12"/>
      <c r="F416" s="12"/>
      <c r="G416" s="12"/>
      <c r="H416" s="12"/>
      <c r="I416" s="12"/>
      <c r="J416" s="12"/>
      <c r="K416" s="12"/>
      <c r="L416" s="12"/>
    </row>
    <row r="417" spans="2:12" ht="12.75">
      <c r="B417" s="12"/>
      <c r="C417" s="12"/>
      <c r="D417" s="12"/>
      <c r="E417" s="12"/>
      <c r="F417" s="12"/>
      <c r="G417" s="12"/>
      <c r="H417" s="12"/>
      <c r="I417" s="12"/>
      <c r="J417" s="12"/>
      <c r="K417" s="12"/>
      <c r="L417" s="12"/>
    </row>
    <row r="418" spans="2:12" ht="12.75">
      <c r="B418" s="12"/>
      <c r="C418" s="12"/>
      <c r="D418" s="12"/>
      <c r="E418" s="12"/>
      <c r="F418" s="12"/>
      <c r="G418" s="12"/>
      <c r="H418" s="12"/>
      <c r="I418" s="12"/>
      <c r="J418" s="12"/>
      <c r="K418" s="12"/>
      <c r="L418" s="12"/>
    </row>
    <row r="419" spans="2:12" ht="12.75">
      <c r="B419" s="12"/>
      <c r="C419" s="12"/>
      <c r="D419" s="12"/>
      <c r="E419" s="12"/>
      <c r="F419" s="12"/>
      <c r="G419" s="12"/>
      <c r="H419" s="12"/>
      <c r="I419" s="12"/>
      <c r="J419" s="12"/>
      <c r="K419" s="12"/>
      <c r="L419" s="12"/>
    </row>
    <row r="420" spans="2:12" ht="12.75">
      <c r="B420" s="12"/>
      <c r="C420" s="12"/>
      <c r="D420" s="12"/>
      <c r="E420" s="12"/>
      <c r="F420" s="12"/>
      <c r="G420" s="12"/>
      <c r="H420" s="12"/>
      <c r="I420" s="12"/>
      <c r="J420" s="12"/>
      <c r="K420" s="12"/>
      <c r="L420" s="12"/>
    </row>
    <row r="421" spans="2:12" ht="12.75">
      <c r="B421" s="12"/>
      <c r="C421" s="12"/>
      <c r="D421" s="12"/>
      <c r="E421" s="12"/>
      <c r="F421" s="12"/>
      <c r="G421" s="12"/>
      <c r="H421" s="12"/>
      <c r="I421" s="12"/>
      <c r="J421" s="12"/>
      <c r="K421" s="12"/>
      <c r="L421" s="12"/>
    </row>
    <row r="422" spans="2:12" ht="12.75">
      <c r="B422" s="12"/>
      <c r="C422" s="12"/>
      <c r="D422" s="12"/>
      <c r="E422" s="12"/>
      <c r="F422" s="12"/>
      <c r="G422" s="12"/>
      <c r="H422" s="12"/>
      <c r="I422" s="12"/>
      <c r="J422" s="12"/>
      <c r="K422" s="12"/>
      <c r="L422" s="12"/>
    </row>
    <row r="423" spans="2:12" ht="12.75">
      <c r="B423" s="12"/>
      <c r="C423" s="12"/>
      <c r="D423" s="12"/>
      <c r="E423" s="12"/>
      <c r="F423" s="12"/>
      <c r="G423" s="12"/>
      <c r="H423" s="12"/>
      <c r="I423" s="12"/>
      <c r="J423" s="12"/>
      <c r="K423" s="12"/>
      <c r="L423" s="12"/>
    </row>
    <row r="424" spans="2:12" ht="12.75">
      <c r="B424" s="12"/>
      <c r="C424" s="12"/>
      <c r="D424" s="12"/>
      <c r="E424" s="12"/>
      <c r="F424" s="12"/>
      <c r="G424" s="12"/>
      <c r="H424" s="12"/>
      <c r="I424" s="12"/>
      <c r="J424" s="12"/>
      <c r="K424" s="12"/>
      <c r="L424" s="12"/>
    </row>
    <row r="425" spans="2:12" ht="12.75">
      <c r="B425" s="12"/>
      <c r="C425" s="12"/>
      <c r="D425" s="12"/>
      <c r="E425" s="12"/>
      <c r="F425" s="12"/>
      <c r="G425" s="12"/>
      <c r="H425" s="12"/>
      <c r="I425" s="12"/>
      <c r="J425" s="12"/>
      <c r="K425" s="12"/>
      <c r="L425" s="12"/>
    </row>
    <row r="426" spans="2:12" ht="12.75">
      <c r="B426" s="12"/>
      <c r="C426" s="12"/>
      <c r="D426" s="12"/>
      <c r="E426" s="12"/>
      <c r="F426" s="12"/>
      <c r="G426" s="12"/>
      <c r="H426" s="12"/>
      <c r="I426" s="12"/>
      <c r="J426" s="12"/>
      <c r="K426" s="12"/>
      <c r="L426" s="12"/>
    </row>
    <row r="427" spans="2:12" ht="12.75">
      <c r="B427" s="12"/>
      <c r="C427" s="12"/>
      <c r="D427" s="12"/>
      <c r="E427" s="12"/>
      <c r="F427" s="12"/>
      <c r="G427" s="12"/>
      <c r="H427" s="12"/>
      <c r="I427" s="12"/>
      <c r="J427" s="12"/>
      <c r="K427" s="12"/>
      <c r="L427" s="12"/>
    </row>
    <row r="428" spans="2:12" ht="12.75">
      <c r="B428" s="12"/>
      <c r="C428" s="12"/>
      <c r="D428" s="12"/>
      <c r="E428" s="12"/>
      <c r="F428" s="12"/>
      <c r="G428" s="12"/>
      <c r="H428" s="12"/>
      <c r="I428" s="12"/>
      <c r="J428" s="12"/>
      <c r="K428" s="12"/>
      <c r="L428" s="12"/>
    </row>
    <row r="429" spans="2:12" ht="12.75">
      <c r="B429" s="12"/>
      <c r="C429" s="12"/>
      <c r="D429" s="12"/>
      <c r="E429" s="12"/>
      <c r="F429" s="12"/>
      <c r="G429" s="12"/>
      <c r="H429" s="12"/>
      <c r="I429" s="12"/>
      <c r="J429" s="12"/>
      <c r="K429" s="12"/>
      <c r="L429" s="12"/>
    </row>
    <row r="430" spans="2:12" ht="12.75">
      <c r="B430" s="12"/>
      <c r="C430" s="12"/>
      <c r="D430" s="12"/>
      <c r="E430" s="12"/>
      <c r="F430" s="12"/>
      <c r="G430" s="12"/>
      <c r="H430" s="12"/>
      <c r="I430" s="12"/>
      <c r="J430" s="12"/>
      <c r="K430" s="12"/>
      <c r="L430" s="12"/>
    </row>
    <row r="431" spans="2:12" ht="12.75">
      <c r="B431" s="12"/>
      <c r="C431" s="12"/>
      <c r="D431" s="12"/>
      <c r="E431" s="12"/>
      <c r="F431" s="12"/>
      <c r="G431" s="12"/>
      <c r="H431" s="12"/>
      <c r="I431" s="12"/>
      <c r="J431" s="12"/>
      <c r="K431" s="12"/>
      <c r="L431" s="12"/>
    </row>
    <row r="432" spans="2:12" ht="12.75">
      <c r="B432" s="12"/>
      <c r="C432" s="12"/>
      <c r="D432" s="12"/>
      <c r="E432" s="12"/>
      <c r="F432" s="12"/>
      <c r="G432" s="12"/>
      <c r="H432" s="12"/>
      <c r="I432" s="12"/>
      <c r="J432" s="12"/>
      <c r="K432" s="12"/>
      <c r="L432" s="12"/>
    </row>
    <row r="433" spans="2:12" ht="12.75">
      <c r="B433" s="12"/>
      <c r="C433" s="12"/>
      <c r="D433" s="12"/>
      <c r="E433" s="12"/>
      <c r="F433" s="12"/>
      <c r="G433" s="12"/>
      <c r="H433" s="12"/>
      <c r="I433" s="12"/>
      <c r="J433" s="12"/>
      <c r="K433" s="12"/>
      <c r="L433" s="12"/>
    </row>
    <row r="434" spans="2:12" ht="12.75">
      <c r="B434" s="12"/>
      <c r="C434" s="12"/>
      <c r="D434" s="12"/>
      <c r="E434" s="12"/>
      <c r="F434" s="12"/>
      <c r="G434" s="12"/>
      <c r="H434" s="12"/>
      <c r="I434" s="12"/>
      <c r="J434" s="12"/>
      <c r="K434" s="12"/>
      <c r="L434" s="12"/>
    </row>
    <row r="435" spans="2:12" ht="12.75">
      <c r="B435" s="12"/>
      <c r="C435" s="12"/>
      <c r="D435" s="12"/>
      <c r="E435" s="12"/>
      <c r="F435" s="12"/>
      <c r="G435" s="12"/>
      <c r="H435" s="12"/>
      <c r="I435" s="12"/>
      <c r="J435" s="12"/>
      <c r="K435" s="12"/>
      <c r="L435" s="12"/>
    </row>
    <row r="436" spans="2:12" ht="12.75">
      <c r="B436" s="12"/>
      <c r="C436" s="12"/>
      <c r="D436" s="12"/>
      <c r="E436" s="12"/>
      <c r="F436" s="12"/>
      <c r="G436" s="12"/>
      <c r="H436" s="12"/>
      <c r="I436" s="12"/>
      <c r="J436" s="12"/>
      <c r="K436" s="12"/>
      <c r="L436" s="12"/>
    </row>
    <row r="437" spans="2:12" ht="12.75">
      <c r="B437" s="12"/>
      <c r="C437" s="12"/>
      <c r="D437" s="12"/>
      <c r="E437" s="12"/>
      <c r="F437" s="12"/>
      <c r="G437" s="12"/>
      <c r="H437" s="12"/>
      <c r="I437" s="12"/>
      <c r="J437" s="12"/>
      <c r="K437" s="12"/>
      <c r="L437" s="12"/>
    </row>
    <row r="438" spans="2:12" ht="12.75">
      <c r="B438" s="12"/>
      <c r="C438" s="12"/>
      <c r="D438" s="12"/>
      <c r="E438" s="12"/>
      <c r="F438" s="12"/>
      <c r="G438" s="12"/>
      <c r="H438" s="12"/>
      <c r="I438" s="12"/>
      <c r="J438" s="12"/>
      <c r="K438" s="12"/>
      <c r="L438" s="12"/>
    </row>
    <row r="439" spans="2:12" ht="12.75">
      <c r="B439" s="12"/>
      <c r="C439" s="12"/>
      <c r="D439" s="12"/>
      <c r="E439" s="12"/>
      <c r="F439" s="12"/>
      <c r="G439" s="12"/>
      <c r="H439" s="12"/>
      <c r="I439" s="12"/>
      <c r="J439" s="12"/>
      <c r="K439" s="12"/>
      <c r="L439" s="12"/>
    </row>
    <row r="440" spans="2:12" ht="12.75">
      <c r="B440" s="12"/>
      <c r="C440" s="12"/>
      <c r="D440" s="12"/>
      <c r="E440" s="12"/>
      <c r="F440" s="12"/>
      <c r="G440" s="12"/>
      <c r="H440" s="12"/>
      <c r="I440" s="12"/>
      <c r="J440" s="12"/>
      <c r="K440" s="12"/>
      <c r="L440" s="12"/>
    </row>
    <row r="441" spans="2:12" ht="12.75">
      <c r="B441" s="12"/>
      <c r="C441" s="12"/>
      <c r="D441" s="12"/>
      <c r="E441" s="12"/>
      <c r="F441" s="12"/>
      <c r="G441" s="12"/>
      <c r="H441" s="12"/>
      <c r="I441" s="12"/>
      <c r="J441" s="12"/>
      <c r="K441" s="12"/>
      <c r="L441" s="12"/>
    </row>
    <row r="442" spans="2:12" ht="12.75">
      <c r="B442" s="12"/>
      <c r="C442" s="12"/>
      <c r="D442" s="12"/>
      <c r="E442" s="12"/>
      <c r="F442" s="12"/>
      <c r="G442" s="12"/>
      <c r="H442" s="12"/>
      <c r="I442" s="12"/>
      <c r="J442" s="12"/>
      <c r="K442" s="12"/>
      <c r="L442" s="12"/>
    </row>
    <row r="443" spans="2:12" ht="12.75">
      <c r="B443" s="12"/>
      <c r="C443" s="12"/>
      <c r="D443" s="12"/>
      <c r="E443" s="12"/>
      <c r="F443" s="12"/>
      <c r="G443" s="12"/>
      <c r="H443" s="12"/>
      <c r="I443" s="12"/>
      <c r="J443" s="12"/>
      <c r="K443" s="12"/>
      <c r="L443" s="12"/>
    </row>
    <row r="444" spans="2:12" ht="12.75">
      <c r="B444" s="12"/>
      <c r="C444" s="12"/>
      <c r="D444" s="12"/>
      <c r="E444" s="12"/>
      <c r="F444" s="12"/>
      <c r="G444" s="12"/>
      <c r="H444" s="12"/>
      <c r="I444" s="12"/>
      <c r="J444" s="12"/>
      <c r="K444" s="12"/>
      <c r="L444" s="12"/>
    </row>
    <row r="445" spans="2:12" ht="12.75">
      <c r="B445" s="12"/>
      <c r="C445" s="12"/>
      <c r="D445" s="12"/>
      <c r="E445" s="12"/>
      <c r="F445" s="12"/>
      <c r="G445" s="12"/>
      <c r="H445" s="12"/>
      <c r="I445" s="12"/>
      <c r="J445" s="12"/>
      <c r="K445" s="12"/>
      <c r="L445" s="12"/>
    </row>
    <row r="446" spans="2:12" ht="12.75">
      <c r="B446" s="12"/>
      <c r="C446" s="12"/>
      <c r="D446" s="12"/>
      <c r="E446" s="12"/>
      <c r="F446" s="12"/>
      <c r="G446" s="12"/>
      <c r="H446" s="12"/>
      <c r="I446" s="12"/>
      <c r="J446" s="12"/>
      <c r="K446" s="12"/>
      <c r="L446" s="12"/>
    </row>
    <row r="447" spans="2:12" ht="12.75">
      <c r="B447" s="12"/>
      <c r="C447" s="12"/>
      <c r="D447" s="12"/>
      <c r="E447" s="12"/>
      <c r="F447" s="12"/>
      <c r="G447" s="12"/>
      <c r="H447" s="12"/>
      <c r="I447" s="12"/>
      <c r="J447" s="12"/>
      <c r="K447" s="12"/>
      <c r="L447" s="12"/>
    </row>
    <row r="448" spans="2:12" ht="12.75">
      <c r="B448" s="12"/>
      <c r="C448" s="12"/>
      <c r="D448" s="12"/>
      <c r="E448" s="12"/>
      <c r="F448" s="12"/>
      <c r="G448" s="12"/>
      <c r="H448" s="12"/>
      <c r="I448" s="12"/>
      <c r="J448" s="12"/>
      <c r="K448" s="12"/>
      <c r="L448" s="12"/>
    </row>
    <row r="449" spans="2:12" ht="12.75">
      <c r="B449" s="12"/>
      <c r="C449" s="12"/>
      <c r="D449" s="12"/>
      <c r="E449" s="12"/>
      <c r="F449" s="12"/>
      <c r="G449" s="12"/>
      <c r="H449" s="12"/>
      <c r="I449" s="12"/>
      <c r="J449" s="12"/>
      <c r="K449" s="12"/>
      <c r="L449" s="12"/>
    </row>
    <row r="450" spans="2:12" ht="12.75">
      <c r="B450" s="12"/>
      <c r="C450" s="12"/>
      <c r="D450" s="12"/>
      <c r="E450" s="12"/>
      <c r="F450" s="12"/>
      <c r="G450" s="12"/>
      <c r="H450" s="12"/>
      <c r="I450" s="12"/>
      <c r="J450" s="12"/>
      <c r="K450" s="12"/>
      <c r="L450" s="12"/>
    </row>
    <row r="451" spans="2:12" ht="12.75">
      <c r="B451" s="12"/>
      <c r="C451" s="12"/>
      <c r="D451" s="12"/>
      <c r="E451" s="12"/>
      <c r="F451" s="12"/>
      <c r="G451" s="12"/>
      <c r="H451" s="12"/>
      <c r="I451" s="12"/>
      <c r="J451" s="12"/>
      <c r="K451" s="12"/>
      <c r="L451" s="12"/>
    </row>
    <row r="452" spans="2:12" ht="12.75">
      <c r="B452" s="12"/>
      <c r="C452" s="12"/>
      <c r="D452" s="12"/>
      <c r="E452" s="12"/>
      <c r="F452" s="12"/>
      <c r="G452" s="12"/>
      <c r="H452" s="12"/>
      <c r="I452" s="12"/>
      <c r="J452" s="12"/>
      <c r="K452" s="12"/>
      <c r="L452" s="12"/>
    </row>
    <row r="453" spans="2:12" ht="12.75">
      <c r="B453" s="12"/>
      <c r="C453" s="12"/>
      <c r="D453" s="12"/>
      <c r="E453" s="12"/>
      <c r="F453" s="12"/>
      <c r="G453" s="12"/>
      <c r="H453" s="12"/>
      <c r="I453" s="12"/>
      <c r="J453" s="12"/>
      <c r="K453" s="12"/>
      <c r="L453" s="12"/>
    </row>
  </sheetData>
  <printOptions headings="1" horizontalCentered="1"/>
  <pageMargins left="0.25" right="0.25" top="0.5" bottom="0.5" header="0.25" footer="0.25"/>
  <pageSetup horizontalDpi="600" verticalDpi="600" orientation="portrait" pageOrder="overThenDown" scale="80" r:id="rId1"/>
  <headerFooter alignWithMargins="0">
    <oddFooter>&amp;C&amp;P, &amp;A, &amp;F</oddFooter>
  </headerFooter>
</worksheet>
</file>

<file path=xl/worksheets/sheet3.xml><?xml version="1.0" encoding="utf-8"?>
<worksheet xmlns="http://schemas.openxmlformats.org/spreadsheetml/2006/main" xmlns:r="http://schemas.openxmlformats.org/officeDocument/2006/relationships">
  <dimension ref="A1:L20"/>
  <sheetViews>
    <sheetView workbookViewId="0" topLeftCell="B1">
      <selection activeCell="C17" sqref="C17"/>
    </sheetView>
  </sheetViews>
  <sheetFormatPr defaultColWidth="9.140625" defaultRowHeight="12.75"/>
  <cols>
    <col min="1" max="1" width="4.8515625" style="0" hidden="1" customWidth="1"/>
    <col min="2" max="2" width="21.8515625" style="0" customWidth="1"/>
    <col min="3" max="3" width="67.8515625" style="59" customWidth="1"/>
  </cols>
  <sheetData>
    <row r="1" ht="12.75">
      <c r="B1" s="6" t="s">
        <v>220</v>
      </c>
    </row>
    <row r="3" spans="2:12" s="1" customFormat="1" ht="12.75">
      <c r="B3" s="6" t="s">
        <v>143</v>
      </c>
      <c r="C3" s="12" t="s">
        <v>143</v>
      </c>
      <c r="D3" s="12"/>
      <c r="E3" s="12"/>
      <c r="F3" s="12"/>
      <c r="G3" s="12"/>
      <c r="H3" s="12"/>
      <c r="I3" s="12"/>
      <c r="J3" s="12"/>
      <c r="K3" s="12"/>
      <c r="L3" s="12"/>
    </row>
    <row r="4" spans="2:12" s="1" customFormat="1" ht="12.75">
      <c r="B4" s="6"/>
      <c r="C4" s="12"/>
      <c r="D4" s="12"/>
      <c r="E4" s="12"/>
      <c r="F4" s="12"/>
      <c r="G4" s="12"/>
      <c r="H4" s="12"/>
      <c r="I4" s="12"/>
      <c r="J4" s="12"/>
      <c r="K4" s="12"/>
      <c r="L4" s="12"/>
    </row>
    <row r="5" spans="2:12" s="1" customFormat="1" ht="12.75">
      <c r="B5" s="55" t="s">
        <v>158</v>
      </c>
      <c r="C5" s="48" t="s">
        <v>145</v>
      </c>
      <c r="D5" s="12"/>
      <c r="E5" s="12"/>
      <c r="F5" s="12"/>
      <c r="G5" s="12"/>
      <c r="H5" s="12"/>
      <c r="I5" s="12"/>
      <c r="J5" s="12"/>
      <c r="K5" s="12"/>
      <c r="L5" s="12"/>
    </row>
    <row r="6" spans="2:12" s="1" customFormat="1" ht="12.75">
      <c r="B6" s="12" t="s">
        <v>159</v>
      </c>
      <c r="C6" s="12" t="s">
        <v>138</v>
      </c>
      <c r="D6" s="12"/>
      <c r="E6" s="12"/>
      <c r="F6" s="12"/>
      <c r="G6" s="12"/>
      <c r="H6" s="12"/>
      <c r="I6" s="12"/>
      <c r="J6" s="12"/>
      <c r="K6" s="12"/>
      <c r="L6" s="12"/>
    </row>
    <row r="7" spans="2:12" s="1" customFormat="1" ht="12.75">
      <c r="B7" s="12" t="s">
        <v>160</v>
      </c>
      <c r="C7" s="12" t="s">
        <v>130</v>
      </c>
      <c r="D7" s="12"/>
      <c r="E7" s="12"/>
      <c r="F7" s="12"/>
      <c r="G7" s="12"/>
      <c r="H7" s="12"/>
      <c r="I7" s="12"/>
      <c r="J7" s="12"/>
      <c r="K7" s="12"/>
      <c r="L7" s="12"/>
    </row>
    <row r="8" spans="2:12" s="1" customFormat="1" ht="12.75">
      <c r="B8" s="12" t="s">
        <v>161</v>
      </c>
      <c r="C8" s="15" t="s">
        <v>148</v>
      </c>
      <c r="D8" s="12"/>
      <c r="E8" s="12"/>
      <c r="F8" s="12"/>
      <c r="G8" s="12"/>
      <c r="H8" s="12"/>
      <c r="I8" s="12"/>
      <c r="J8" s="12"/>
      <c r="K8" s="12"/>
      <c r="L8" s="12"/>
    </row>
    <row r="9" spans="2:12" s="1" customFormat="1" ht="12.75">
      <c r="B9" s="12" t="s">
        <v>249</v>
      </c>
      <c r="C9" s="88">
        <v>35827</v>
      </c>
      <c r="D9" s="12"/>
      <c r="E9" s="12"/>
      <c r="F9" s="12"/>
      <c r="G9" s="12"/>
      <c r="H9" s="12"/>
      <c r="I9" s="12"/>
      <c r="J9" s="12"/>
      <c r="K9" s="12"/>
      <c r="L9" s="12"/>
    </row>
    <row r="10" spans="2:12" s="1" customFormat="1" ht="12.75">
      <c r="B10" s="12" t="s">
        <v>162</v>
      </c>
      <c r="C10" s="12" t="s">
        <v>154</v>
      </c>
      <c r="D10" s="12"/>
      <c r="E10" s="12"/>
      <c r="F10" s="12"/>
      <c r="G10" s="12"/>
      <c r="H10" s="12"/>
      <c r="I10" s="12"/>
      <c r="J10" s="12"/>
      <c r="K10" s="12"/>
      <c r="L10" s="12"/>
    </row>
    <row r="11" spans="2:12" s="1" customFormat="1" ht="12.75">
      <c r="B11" s="55" t="s">
        <v>163</v>
      </c>
      <c r="C11" s="49" t="s">
        <v>153</v>
      </c>
      <c r="D11" s="12"/>
      <c r="E11" s="12"/>
      <c r="F11" s="12"/>
      <c r="G11" s="12"/>
      <c r="H11" s="12"/>
      <c r="I11" s="12"/>
      <c r="J11" s="12"/>
      <c r="K11" s="12"/>
      <c r="L11" s="12"/>
    </row>
    <row r="13" ht="12.75">
      <c r="B13" s="6" t="s">
        <v>164</v>
      </c>
    </row>
    <row r="15" spans="2:3" s="75" customFormat="1" ht="51">
      <c r="B15" s="75" t="s">
        <v>158</v>
      </c>
      <c r="C15" s="76" t="s">
        <v>165</v>
      </c>
    </row>
    <row r="16" spans="2:3" ht="12.75">
      <c r="B16" t="s">
        <v>159</v>
      </c>
      <c r="C16" s="59" t="s">
        <v>166</v>
      </c>
    </row>
    <row r="17" spans="2:3" ht="12.75">
      <c r="B17" t="s">
        <v>160</v>
      </c>
      <c r="C17" s="59" t="s">
        <v>166</v>
      </c>
    </row>
    <row r="18" spans="1:3" ht="12.75">
      <c r="A18" t="s">
        <v>164</v>
      </c>
      <c r="B18" t="s">
        <v>167</v>
      </c>
      <c r="C18" s="59" t="s">
        <v>168</v>
      </c>
    </row>
    <row r="19" spans="2:3" ht="12.75">
      <c r="B19" s="12" t="s">
        <v>161</v>
      </c>
      <c r="C19" s="59" t="s">
        <v>169</v>
      </c>
    </row>
    <row r="20" spans="2:3" ht="12.75">
      <c r="B20" s="12" t="s">
        <v>249</v>
      </c>
      <c r="C20" s="89">
        <v>33664</v>
      </c>
    </row>
  </sheetData>
  <printOptions headings="1" horizontalCentered="1"/>
  <pageMargins left="0.25" right="0.25" top="0.5" bottom="0.5" header="0.25" footer="0.25"/>
  <pageSetup horizontalDpi="600" verticalDpi="600" orientation="portrait" pageOrder="overThenDown" scale="80" r:id="rId1"/>
  <headerFooter alignWithMargins="0">
    <oddFooter>&amp;C&amp;P, &amp;A, &amp;F</oddFooter>
  </headerFooter>
</worksheet>
</file>

<file path=xl/worksheets/sheet4.xml><?xml version="1.0" encoding="utf-8"?>
<worksheet xmlns="http://schemas.openxmlformats.org/spreadsheetml/2006/main" xmlns:r="http://schemas.openxmlformats.org/officeDocument/2006/relationships">
  <dimension ref="A1:Q240"/>
  <sheetViews>
    <sheetView workbookViewId="0" topLeftCell="B1">
      <selection activeCell="Q9" sqref="Q9"/>
    </sheetView>
  </sheetViews>
  <sheetFormatPr defaultColWidth="9.140625" defaultRowHeight="12.75"/>
  <cols>
    <col min="1" max="1" width="3.00390625" style="17" hidden="1" customWidth="1"/>
    <col min="2" max="2" width="18.57421875" style="17" customWidth="1"/>
    <col min="3" max="3" width="12.140625" style="17" customWidth="1"/>
    <col min="4" max="4" width="8.57421875" style="8" customWidth="1"/>
    <col min="5" max="5" width="6.140625" style="8" customWidth="1"/>
    <col min="6" max="6" width="2.7109375" style="8" customWidth="1"/>
    <col min="7" max="7" width="9.8515625" style="17" customWidth="1"/>
    <col min="8" max="8" width="3.00390625" style="17" customWidth="1"/>
    <col min="9" max="9" width="11.00390625" style="18" customWidth="1"/>
    <col min="10" max="10" width="2.57421875" style="17" customWidth="1"/>
    <col min="11" max="11" width="10.00390625" style="17" customWidth="1"/>
    <col min="12" max="12" width="2.57421875" style="17" customWidth="1"/>
    <col min="13" max="13" width="10.140625" style="17" customWidth="1"/>
    <col min="14" max="14" width="2.57421875" style="17" customWidth="1"/>
    <col min="15" max="15" width="10.7109375" style="17" customWidth="1"/>
    <col min="16" max="16" width="2.140625" style="17" customWidth="1"/>
    <col min="17" max="16384" width="8.8515625" style="17" customWidth="1"/>
  </cols>
  <sheetData>
    <row r="1" spans="2:3" ht="12.75">
      <c r="B1" s="16" t="s">
        <v>225</v>
      </c>
      <c r="C1" s="16"/>
    </row>
    <row r="2" spans="2:14" ht="12.75">
      <c r="B2" s="19"/>
      <c r="C2" s="19"/>
      <c r="G2" s="19"/>
      <c r="H2" s="19"/>
      <c r="I2" s="20"/>
      <c r="J2" s="19"/>
      <c r="K2" s="19"/>
      <c r="L2" s="19"/>
      <c r="M2" s="19"/>
      <c r="N2" s="19"/>
    </row>
    <row r="3" spans="2:5" ht="12.75">
      <c r="B3" s="12"/>
      <c r="C3" s="12" t="s">
        <v>79</v>
      </c>
      <c r="D3" s="8" t="s">
        <v>12</v>
      </c>
      <c r="E3" s="8" t="s">
        <v>62</v>
      </c>
    </row>
    <row r="4" spans="2:14" ht="12.75">
      <c r="B4" s="12"/>
      <c r="C4" s="12"/>
      <c r="G4" s="19"/>
      <c r="H4" s="19"/>
      <c r="I4" s="20"/>
      <c r="J4" s="19"/>
      <c r="K4" s="19"/>
      <c r="L4" s="19"/>
      <c r="M4" s="19"/>
      <c r="N4" s="19"/>
    </row>
    <row r="5" spans="2:14" ht="12.75">
      <c r="B5" s="12"/>
      <c r="C5" s="12"/>
      <c r="G5" s="19"/>
      <c r="H5" s="19"/>
      <c r="I5" s="20"/>
      <c r="J5" s="19"/>
      <c r="K5" s="19"/>
      <c r="L5" s="19"/>
      <c r="M5" s="19"/>
      <c r="N5" s="19"/>
    </row>
    <row r="6" spans="1:15" ht="12.75">
      <c r="A6" s="17">
        <v>1</v>
      </c>
      <c r="B6" s="21" t="s">
        <v>143</v>
      </c>
      <c r="C6" s="21" t="str">
        <f>cond!C10</f>
        <v>GB Trial Burn</v>
      </c>
      <c r="D6" s="21"/>
      <c r="G6" s="19" t="s">
        <v>170</v>
      </c>
      <c r="H6" s="19"/>
      <c r="I6" s="20" t="s">
        <v>171</v>
      </c>
      <c r="J6" s="19"/>
      <c r="K6" s="19" t="s">
        <v>172</v>
      </c>
      <c r="L6" s="19"/>
      <c r="M6" s="19" t="s">
        <v>173</v>
      </c>
      <c r="N6" s="19"/>
      <c r="O6" s="17" t="s">
        <v>47</v>
      </c>
    </row>
    <row r="7" spans="2:14" ht="12.75">
      <c r="B7" s="8"/>
      <c r="C7" s="8"/>
      <c r="D7" s="12"/>
      <c r="E7" s="12"/>
      <c r="F7" s="12"/>
      <c r="G7" s="12"/>
      <c r="H7" s="12"/>
      <c r="I7" s="22"/>
      <c r="J7" s="12"/>
      <c r="K7" s="12"/>
      <c r="L7" s="12"/>
      <c r="M7" s="12"/>
      <c r="N7" s="12"/>
    </row>
    <row r="8" spans="2:15" ht="12.75">
      <c r="B8" s="8" t="s">
        <v>120</v>
      </c>
      <c r="C8" s="8" t="s">
        <v>244</v>
      </c>
      <c r="D8" s="12" t="s">
        <v>16</v>
      </c>
      <c r="E8" s="12" t="s">
        <v>15</v>
      </c>
      <c r="F8"/>
      <c r="G8">
        <v>24.3</v>
      </c>
      <c r="H8"/>
      <c r="I8">
        <v>20.6</v>
      </c>
      <c r="J8"/>
      <c r="K8">
        <v>15.9</v>
      </c>
      <c r="L8"/>
      <c r="M8">
        <v>13.2</v>
      </c>
      <c r="N8"/>
      <c r="O8" s="58">
        <f>AVERAGE(M8,K8,I8,G8)</f>
        <v>18.5</v>
      </c>
    </row>
    <row r="9" spans="2:15" ht="12.75">
      <c r="B9" s="8"/>
      <c r="C9" s="8"/>
      <c r="D9" s="12"/>
      <c r="E9" s="12"/>
      <c r="F9"/>
      <c r="G9"/>
      <c r="H9"/>
      <c r="I9"/>
      <c r="J9"/>
      <c r="K9"/>
      <c r="L9"/>
      <c r="M9"/>
      <c r="N9"/>
      <c r="O9" s="58"/>
    </row>
    <row r="10" spans="2:15" ht="12.75">
      <c r="B10" s="8" t="s">
        <v>13</v>
      </c>
      <c r="C10" s="8" t="s">
        <v>244</v>
      </c>
      <c r="D10" s="8" t="s">
        <v>14</v>
      </c>
      <c r="E10" s="8" t="s">
        <v>15</v>
      </c>
      <c r="F10"/>
      <c r="G10">
        <v>0.0006</v>
      </c>
      <c r="H10"/>
      <c r="I10">
        <v>0.0005</v>
      </c>
      <c r="J10"/>
      <c r="K10">
        <v>0.0003</v>
      </c>
      <c r="L10"/>
      <c r="M10">
        <v>0.0004</v>
      </c>
      <c r="N10"/>
      <c r="O10" s="71">
        <f>AVERAGE(M10,K10,I10,G10)</f>
        <v>0.00045</v>
      </c>
    </row>
    <row r="11" spans="2:15" ht="12.75">
      <c r="B11" s="8"/>
      <c r="C11" s="8"/>
      <c r="F11"/>
      <c r="G11"/>
      <c r="H11"/>
      <c r="I11"/>
      <c r="J11"/>
      <c r="K11"/>
      <c r="L11"/>
      <c r="M11"/>
      <c r="N11"/>
      <c r="O11" s="56"/>
    </row>
    <row r="12" spans="2:15" ht="12.75">
      <c r="B12" s="8" t="s">
        <v>48</v>
      </c>
      <c r="C12" s="8"/>
      <c r="D12" s="8" t="s">
        <v>100</v>
      </c>
      <c r="E12" s="8" t="s">
        <v>99</v>
      </c>
      <c r="F12" t="s">
        <v>96</v>
      </c>
      <c r="G12">
        <v>0.01</v>
      </c>
      <c r="H12" t="s">
        <v>96</v>
      </c>
      <c r="I12">
        <v>0.01</v>
      </c>
      <c r="J12" t="s">
        <v>96</v>
      </c>
      <c r="K12">
        <v>0.01</v>
      </c>
      <c r="L12" t="s">
        <v>96</v>
      </c>
      <c r="M12">
        <v>0.01</v>
      </c>
      <c r="N12"/>
      <c r="O12" s="5"/>
    </row>
    <row r="13" spans="2:15" ht="12.75">
      <c r="B13" s="8" t="s">
        <v>49</v>
      </c>
      <c r="C13" s="8"/>
      <c r="D13" s="8" t="s">
        <v>100</v>
      </c>
      <c r="E13" s="8" t="s">
        <v>99</v>
      </c>
      <c r="F13"/>
      <c r="G13">
        <v>0.01</v>
      </c>
      <c r="H13"/>
      <c r="I13">
        <v>0.01</v>
      </c>
      <c r="J13" t="s">
        <v>96</v>
      </c>
      <c r="K13">
        <v>0.01</v>
      </c>
      <c r="L13" t="s">
        <v>96</v>
      </c>
      <c r="M13">
        <v>0.01</v>
      </c>
      <c r="N13"/>
      <c r="O13" s="5"/>
    </row>
    <row r="14" spans="2:15" ht="12.75">
      <c r="B14" s="8" t="s">
        <v>151</v>
      </c>
      <c r="C14" s="8"/>
      <c r="D14" s="8" t="s">
        <v>100</v>
      </c>
      <c r="E14" s="8" t="s">
        <v>99</v>
      </c>
      <c r="F14" t="s">
        <v>96</v>
      </c>
      <c r="G14">
        <v>0.01</v>
      </c>
      <c r="H14" t="s">
        <v>96</v>
      </c>
      <c r="I14">
        <v>0.01</v>
      </c>
      <c r="J14" t="s">
        <v>96</v>
      </c>
      <c r="K14">
        <v>0.01</v>
      </c>
      <c r="L14" t="s">
        <v>96</v>
      </c>
      <c r="M14">
        <v>0.01</v>
      </c>
      <c r="N14"/>
      <c r="O14" s="5"/>
    </row>
    <row r="15" spans="2:15" ht="12.75">
      <c r="B15" s="8"/>
      <c r="C15" s="8"/>
      <c r="F15"/>
      <c r="G15"/>
      <c r="H15"/>
      <c r="I15"/>
      <c r="J15"/>
      <c r="K15"/>
      <c r="L15"/>
      <c r="M15"/>
      <c r="N15"/>
      <c r="O15" s="5"/>
    </row>
    <row r="16" spans="2:15" ht="12.75">
      <c r="B16" s="8" t="s">
        <v>48</v>
      </c>
      <c r="C16" s="8" t="s">
        <v>244</v>
      </c>
      <c r="D16" s="8" t="s">
        <v>16</v>
      </c>
      <c r="E16" s="8" t="s">
        <v>15</v>
      </c>
      <c r="F16"/>
      <c r="G16" s="63">
        <f>G12/2/0.0283/1.518*14/(21-G50)</f>
        <v>0.15518528346919805</v>
      </c>
      <c r="H16" s="63"/>
      <c r="I16" s="63">
        <f>I12/2/0.0283/1.518*14/(21-I50)</f>
        <v>0.1581985899443281</v>
      </c>
      <c r="J16" s="63"/>
      <c r="K16" s="63">
        <f>K12/2/0.0283/1.518*14/(21-K50)</f>
        <v>0.16133123528976034</v>
      </c>
      <c r="L16" s="63"/>
      <c r="M16" s="63">
        <f>M12/2/0.0283/1.518*14/(21-M50)</f>
        <v>0.16459045216430096</v>
      </c>
      <c r="N16"/>
      <c r="O16" s="5">
        <f>AVERAGE(K16,I16,G16,M16)</f>
        <v>0.15982639021689687</v>
      </c>
    </row>
    <row r="17" spans="2:15" ht="12.75">
      <c r="B17" s="8" t="s">
        <v>49</v>
      </c>
      <c r="C17" s="8" t="s">
        <v>244</v>
      </c>
      <c r="D17" s="8" t="s">
        <v>16</v>
      </c>
      <c r="E17" s="8" t="s">
        <v>15</v>
      </c>
      <c r="F17"/>
      <c r="G17" s="63">
        <f>G13/0.0283/2.953*14/(21-G50)</f>
        <v>0.15954707775566723</v>
      </c>
      <c r="H17" s="63"/>
      <c r="I17" s="63">
        <f>I13/0.0283/2.953*14/(21-I50)</f>
        <v>0.162645079265486</v>
      </c>
      <c r="J17" s="63"/>
      <c r="K17" s="63">
        <f>K13/2/0.0283/2.953*14/(21-K50)</f>
        <v>0.08293288695220326</v>
      </c>
      <c r="L17" s="63"/>
      <c r="M17" s="63">
        <f>M13/2/0.0283/2.953*14/(21-M50)</f>
        <v>0.08460829880982353</v>
      </c>
      <c r="N17"/>
      <c r="O17" s="5">
        <f>AVERAGE(K17,I17,G17,M17)</f>
        <v>0.122433335695795</v>
      </c>
    </row>
    <row r="18" spans="2:15" ht="12.75">
      <c r="B18" s="8" t="s">
        <v>102</v>
      </c>
      <c r="C18" s="8" t="s">
        <v>244</v>
      </c>
      <c r="D18" s="8" t="s">
        <v>16</v>
      </c>
      <c r="E18" s="8" t="s">
        <v>15</v>
      </c>
      <c r="F18"/>
      <c r="G18" s="63">
        <f>G16+2*G17</f>
        <v>0.4742794389805325</v>
      </c>
      <c r="H18" s="63"/>
      <c r="I18" s="63">
        <f>I16+2*I17</f>
        <v>0.4834887484753001</v>
      </c>
      <c r="J18" s="63"/>
      <c r="K18" s="63">
        <f>K16+2*K17</f>
        <v>0.32719700919416683</v>
      </c>
      <c r="L18" s="63"/>
      <c r="M18" s="63">
        <f>M16+2*M17</f>
        <v>0.33380704978394804</v>
      </c>
      <c r="N18"/>
      <c r="O18" s="5">
        <f>AVERAGE(K18,I18,G18)</f>
        <v>0.42832173221666653</v>
      </c>
    </row>
    <row r="19" spans="2:15" ht="12.75">
      <c r="B19" s="8" t="s">
        <v>151</v>
      </c>
      <c r="C19" s="8" t="s">
        <v>244</v>
      </c>
      <c r="D19" s="8" t="s">
        <v>16</v>
      </c>
      <c r="E19" s="8" t="s">
        <v>15</v>
      </c>
      <c r="F19"/>
      <c r="G19" s="63">
        <f>G14/2/0.0283/0.759*14/(21-G50)</f>
        <v>0.3103705669383961</v>
      </c>
      <c r="H19" s="63"/>
      <c r="I19" s="63">
        <f>I14/2/0.0283/0.759*14/(21-I50)</f>
        <v>0.3163971798886562</v>
      </c>
      <c r="J19" s="63"/>
      <c r="K19" s="63">
        <f>K14/2/0.0283/0.759*14/(21-K50)</f>
        <v>0.3226624705795207</v>
      </c>
      <c r="L19" s="63"/>
      <c r="M19" s="63">
        <f>M14/2/0.0283/0.759*14/(21-M50)</f>
        <v>0.3291809043286019</v>
      </c>
      <c r="N19"/>
      <c r="O19" s="5">
        <f>AVERAGE(K19,I19,G19)</f>
        <v>0.3164767391355243</v>
      </c>
    </row>
    <row r="20" spans="2:15" ht="12.75">
      <c r="B20" s="8"/>
      <c r="C20" s="8"/>
      <c r="F20"/>
      <c r="G20"/>
      <c r="H20"/>
      <c r="I20"/>
      <c r="J20"/>
      <c r="K20"/>
      <c r="L20"/>
      <c r="M20"/>
      <c r="N20"/>
      <c r="O20" s="5"/>
    </row>
    <row r="21" spans="2:15" ht="12.75">
      <c r="B21" s="8" t="s">
        <v>131</v>
      </c>
      <c r="C21" s="8" t="s">
        <v>146</v>
      </c>
      <c r="G21" s="23"/>
      <c r="H21" s="23"/>
      <c r="I21" s="24"/>
      <c r="J21" s="23"/>
      <c r="K21" s="23"/>
      <c r="L21" s="23"/>
      <c r="M21" s="23"/>
      <c r="O21" s="57"/>
    </row>
    <row r="22" spans="2:15" ht="12.75">
      <c r="B22" s="8" t="s">
        <v>132</v>
      </c>
      <c r="C22" s="8"/>
      <c r="D22" s="8" t="s">
        <v>51</v>
      </c>
      <c r="G22" s="23">
        <v>105.3</v>
      </c>
      <c r="H22" s="23"/>
      <c r="I22" s="24">
        <v>118.2</v>
      </c>
      <c r="J22" s="23"/>
      <c r="K22" s="23">
        <v>112.1</v>
      </c>
      <c r="L22" s="23"/>
      <c r="M22" s="23">
        <v>122.7</v>
      </c>
      <c r="O22" s="5">
        <f>AVERAGE(M22,K22,I22,G22)</f>
        <v>114.575</v>
      </c>
    </row>
    <row r="23" spans="2:15" ht="12.75">
      <c r="B23" s="8" t="s">
        <v>133</v>
      </c>
      <c r="C23" s="8" t="s">
        <v>244</v>
      </c>
      <c r="D23" s="8" t="s">
        <v>51</v>
      </c>
      <c r="F23" s="8" t="s">
        <v>96</v>
      </c>
      <c r="G23" s="60">
        <v>5.91E-06</v>
      </c>
      <c r="H23" s="8" t="s">
        <v>96</v>
      </c>
      <c r="I23" s="60">
        <v>5.65E-06</v>
      </c>
      <c r="J23" s="8" t="s">
        <v>96</v>
      </c>
      <c r="K23" s="60">
        <v>5.76E-06</v>
      </c>
      <c r="L23" s="60"/>
      <c r="M23" s="60">
        <v>6E-06</v>
      </c>
      <c r="N23" s="8"/>
      <c r="O23" s="68">
        <f>AVERAGE(M23,K23,I23,G23)</f>
        <v>5.829999999999999E-06</v>
      </c>
    </row>
    <row r="24" spans="2:15" ht="12.75">
      <c r="B24" s="8" t="s">
        <v>50</v>
      </c>
      <c r="C24" s="8" t="s">
        <v>244</v>
      </c>
      <c r="D24" s="8" t="s">
        <v>18</v>
      </c>
      <c r="F24" s="8" t="s">
        <v>134</v>
      </c>
      <c r="G24" s="74">
        <f>(G22-G23)/G22*100</f>
        <v>99.99999438746438</v>
      </c>
      <c r="H24" s="8" t="s">
        <v>134</v>
      </c>
      <c r="I24" s="74">
        <f>(I22-I23)/I22*100</f>
        <v>99.99999521996615</v>
      </c>
      <c r="J24" s="8" t="s">
        <v>134</v>
      </c>
      <c r="K24" s="74">
        <f>(K22-K23)/K22*100</f>
        <v>99.9999948617306</v>
      </c>
      <c r="L24" s="66"/>
      <c r="M24" s="74">
        <f>(M22-M23)/M22*100</f>
        <v>99.99999511002446</v>
      </c>
      <c r="N24" s="8"/>
      <c r="O24" s="73">
        <f>AVERAGE(K24,I24,G24)</f>
        <v>99.99999482305371</v>
      </c>
    </row>
    <row r="25" spans="2:15" ht="12.75">
      <c r="B25" s="8"/>
      <c r="C25" s="8"/>
      <c r="F25"/>
      <c r="G25"/>
      <c r="H25"/>
      <c r="I25"/>
      <c r="J25"/>
      <c r="K25"/>
      <c r="L25"/>
      <c r="M25"/>
      <c r="N25"/>
      <c r="O25" s="5"/>
    </row>
    <row r="26" spans="2:15" ht="12.75">
      <c r="B26" s="8" t="s">
        <v>105</v>
      </c>
      <c r="C26" s="8"/>
      <c r="D26" s="8" t="s">
        <v>119</v>
      </c>
      <c r="E26" s="8" t="s">
        <v>99</v>
      </c>
      <c r="G26">
        <v>0.31</v>
      </c>
      <c r="H26" s="8"/>
      <c r="I26">
        <v>0.24</v>
      </c>
      <c r="J26" s="8"/>
      <c r="K26">
        <v>0.23</v>
      </c>
      <c r="L26"/>
      <c r="M26">
        <v>0.39</v>
      </c>
      <c r="N26"/>
      <c r="O26" s="5"/>
    </row>
    <row r="27" spans="2:15" ht="12.75">
      <c r="B27" s="8" t="s">
        <v>113</v>
      </c>
      <c r="C27" s="8"/>
      <c r="D27" s="8" t="s">
        <v>119</v>
      </c>
      <c r="E27" s="8" t="s">
        <v>99</v>
      </c>
      <c r="F27" s="8" t="s">
        <v>96</v>
      </c>
      <c r="G27" s="63">
        <f>10/143.905</f>
        <v>0.06949028873214969</v>
      </c>
      <c r="H27" s="63"/>
      <c r="I27" s="63">
        <f>10/145.631</f>
        <v>0.06866669871112606</v>
      </c>
      <c r="J27" s="63" t="s">
        <v>96</v>
      </c>
      <c r="K27" s="63">
        <f>10/138.201</f>
        <v>0.07235837656746334</v>
      </c>
      <c r="L27" s="63" t="s">
        <v>96</v>
      </c>
      <c r="M27" s="63">
        <f>1/147.655</f>
        <v>0.006772544106193492</v>
      </c>
      <c r="N27"/>
      <c r="O27" s="5"/>
    </row>
    <row r="28" spans="2:15" ht="12.75">
      <c r="B28" s="8" t="s">
        <v>106</v>
      </c>
      <c r="C28" s="8"/>
      <c r="D28" s="8" t="s">
        <v>119</v>
      </c>
      <c r="E28" s="8" t="s">
        <v>99</v>
      </c>
      <c r="F28" s="8" t="s">
        <v>96</v>
      </c>
      <c r="G28" s="63">
        <f>1/143.905</f>
        <v>0.0069490288732149685</v>
      </c>
      <c r="H28" s="63"/>
      <c r="I28" s="63">
        <f>0.6/145.631</f>
        <v>0.004120001922667564</v>
      </c>
      <c r="J28" s="63" t="s">
        <v>96</v>
      </c>
      <c r="K28" s="63">
        <f>1/138.201</f>
        <v>0.007235837656746334</v>
      </c>
      <c r="L28" s="63" t="s">
        <v>96</v>
      </c>
      <c r="M28" s="63">
        <f>1/147.655</f>
        <v>0.006772544106193492</v>
      </c>
      <c r="N28"/>
      <c r="O28" s="5"/>
    </row>
    <row r="29" spans="2:15" ht="12.75">
      <c r="B29" s="8" t="s">
        <v>107</v>
      </c>
      <c r="C29" s="8"/>
      <c r="D29" s="8" t="s">
        <v>119</v>
      </c>
      <c r="E29" s="8" t="s">
        <v>99</v>
      </c>
      <c r="F29" s="8" t="s">
        <v>96</v>
      </c>
      <c r="G29" s="63">
        <f>20/143.905</f>
        <v>0.13898057746429937</v>
      </c>
      <c r="H29" s="63"/>
      <c r="I29" s="63">
        <f>20/145.631</f>
        <v>0.13733339742225212</v>
      </c>
      <c r="J29" s="63" t="s">
        <v>96</v>
      </c>
      <c r="K29" s="63">
        <f>1/138.201</f>
        <v>0.007235837656746334</v>
      </c>
      <c r="L29" s="63" t="s">
        <v>96</v>
      </c>
      <c r="M29" s="63">
        <f>1/147.655</f>
        <v>0.006772544106193492</v>
      </c>
      <c r="N29"/>
      <c r="O29" s="5"/>
    </row>
    <row r="30" spans="2:15" ht="12.75">
      <c r="B30" s="8" t="s">
        <v>77</v>
      </c>
      <c r="C30" s="8"/>
      <c r="D30" s="8" t="s">
        <v>119</v>
      </c>
      <c r="E30" s="8" t="s">
        <v>99</v>
      </c>
      <c r="F30" s="8" t="s">
        <v>96</v>
      </c>
      <c r="G30" s="63">
        <f>1/143.905</f>
        <v>0.0069490288732149685</v>
      </c>
      <c r="H30" s="63" t="s">
        <v>96</v>
      </c>
      <c r="I30" s="63">
        <f>1/145.631</f>
        <v>0.006866669871112606</v>
      </c>
      <c r="J30" s="63" t="s">
        <v>96</v>
      </c>
      <c r="K30" s="63">
        <f>1/138.201</f>
        <v>0.007235837656746334</v>
      </c>
      <c r="L30" s="63" t="s">
        <v>96</v>
      </c>
      <c r="M30" s="63">
        <f>1/147.655</f>
        <v>0.006772544106193492</v>
      </c>
      <c r="N30"/>
      <c r="O30" s="5"/>
    </row>
    <row r="31" spans="2:15" ht="12.75">
      <c r="B31" s="8" t="s">
        <v>108</v>
      </c>
      <c r="C31" s="8"/>
      <c r="D31" s="8" t="s">
        <v>119</v>
      </c>
      <c r="E31" s="8" t="s">
        <v>99</v>
      </c>
      <c r="F31" s="8" t="s">
        <v>96</v>
      </c>
      <c r="G31">
        <v>0.63</v>
      </c>
      <c r="H31" t="s">
        <v>96</v>
      </c>
      <c r="I31">
        <v>0.64</v>
      </c>
      <c r="J31" t="s">
        <v>96</v>
      </c>
      <c r="K31">
        <v>0.44</v>
      </c>
      <c r="L31" t="s">
        <v>96</v>
      </c>
      <c r="M31">
        <v>0.59</v>
      </c>
      <c r="N31"/>
      <c r="O31" s="5"/>
    </row>
    <row r="32" spans="2:15" ht="12.75">
      <c r="B32" s="8" t="s">
        <v>109</v>
      </c>
      <c r="C32" s="8"/>
      <c r="D32" s="8" t="s">
        <v>119</v>
      </c>
      <c r="E32" s="8" t="s">
        <v>99</v>
      </c>
      <c r="G32" s="63">
        <f>2.2/143.905</f>
        <v>0.015287863521072932</v>
      </c>
      <c r="H32" s="63" t="s">
        <v>96</v>
      </c>
      <c r="I32" s="63">
        <f>2.26/145.631</f>
        <v>0.01551867390871449</v>
      </c>
      <c r="J32" s="63"/>
      <c r="K32" s="63">
        <f>1.88/138.201</f>
        <v>0.013603374794683107</v>
      </c>
      <c r="L32" s="63"/>
      <c r="M32" s="63">
        <f>2.58/147.655</f>
        <v>0.01747316379397921</v>
      </c>
      <c r="N32"/>
      <c r="O32" s="5"/>
    </row>
    <row r="33" spans="2:15" ht="12.75">
      <c r="B33" s="8" t="s">
        <v>82</v>
      </c>
      <c r="C33" s="8"/>
      <c r="D33" s="8" t="s">
        <v>119</v>
      </c>
      <c r="E33" s="8" t="s">
        <v>99</v>
      </c>
      <c r="G33" s="63">
        <f>4.9/143.905</f>
        <v>0.034050241478753344</v>
      </c>
      <c r="H33" s="63"/>
      <c r="I33" s="63">
        <f>4.05/145.631</f>
        <v>0.027810012978006057</v>
      </c>
      <c r="J33" s="63" t="s">
        <v>96</v>
      </c>
      <c r="K33" s="63">
        <f>4.6/138.201</f>
        <v>0.03328485322103313</v>
      </c>
      <c r="L33" s="63"/>
      <c r="M33" s="63">
        <f>5/147.655</f>
        <v>0.033862720530967456</v>
      </c>
      <c r="N33"/>
      <c r="O33" s="5"/>
    </row>
    <row r="34" spans="2:15" ht="12.75">
      <c r="B34" s="87" t="s">
        <v>248</v>
      </c>
      <c r="C34" s="8"/>
      <c r="D34" s="8" t="s">
        <v>119</v>
      </c>
      <c r="E34" s="8" t="s">
        <v>99</v>
      </c>
      <c r="F34" s="8" t="s">
        <v>96</v>
      </c>
      <c r="G34">
        <v>0.024</v>
      </c>
      <c r="H34" s="8" t="s">
        <v>96</v>
      </c>
      <c r="I34">
        <v>0.025</v>
      </c>
      <c r="J34" t="s">
        <v>96</v>
      </c>
      <c r="K34">
        <v>0.027</v>
      </c>
      <c r="L34" t="s">
        <v>96</v>
      </c>
      <c r="M34">
        <v>0.027</v>
      </c>
      <c r="N34"/>
      <c r="O34" s="5"/>
    </row>
    <row r="35" spans="2:15" ht="12.75">
      <c r="B35" s="8" t="s">
        <v>267</v>
      </c>
      <c r="C35" s="8"/>
      <c r="D35" s="8" t="s">
        <v>119</v>
      </c>
      <c r="E35" s="8" t="s">
        <v>99</v>
      </c>
      <c r="F35" s="8" t="s">
        <v>96</v>
      </c>
      <c r="G35">
        <v>0.03</v>
      </c>
      <c r="H35" t="s">
        <v>96</v>
      </c>
      <c r="I35">
        <v>0.03</v>
      </c>
      <c r="J35" t="s">
        <v>96</v>
      </c>
      <c r="K35">
        <v>0.03</v>
      </c>
      <c r="L35" t="s">
        <v>96</v>
      </c>
      <c r="M35">
        <v>0.03</v>
      </c>
      <c r="N35"/>
      <c r="O35" s="5"/>
    </row>
    <row r="36" spans="2:15" ht="12.75">
      <c r="B36" s="8" t="s">
        <v>110</v>
      </c>
      <c r="C36" s="8"/>
      <c r="D36" s="8" t="s">
        <v>119</v>
      </c>
      <c r="E36" s="8" t="s">
        <v>99</v>
      </c>
      <c r="F36" s="8" t="s">
        <v>96</v>
      </c>
      <c r="G36">
        <v>0.06</v>
      </c>
      <c r="H36" t="s">
        <v>96</v>
      </c>
      <c r="I36">
        <v>0.06</v>
      </c>
      <c r="J36" t="s">
        <v>96</v>
      </c>
      <c r="K36">
        <v>0.07</v>
      </c>
      <c r="L36" t="s">
        <v>96</v>
      </c>
      <c r="M36">
        <v>0.09</v>
      </c>
      <c r="N36"/>
      <c r="O36" s="5"/>
    </row>
    <row r="37" spans="2:15" ht="12.75">
      <c r="B37" s="8" t="s">
        <v>76</v>
      </c>
      <c r="C37" s="8"/>
      <c r="D37" s="8" t="s">
        <v>119</v>
      </c>
      <c r="E37" s="8" t="s">
        <v>99</v>
      </c>
      <c r="G37" s="63">
        <f>13.1/143.905</f>
        <v>0.09103227823911608</v>
      </c>
      <c r="H37" s="63"/>
      <c r="I37" s="63">
        <f>14.1/145.631</f>
        <v>0.09682004518268775</v>
      </c>
      <c r="J37" s="63"/>
      <c r="K37" s="63">
        <f>13.8/138.201</f>
        <v>0.0998545596630994</v>
      </c>
      <c r="L37" s="63"/>
      <c r="M37" s="63">
        <f>20.6/147.655</f>
        <v>0.13951440858758593</v>
      </c>
      <c r="N37"/>
      <c r="O37" s="5"/>
    </row>
    <row r="38" spans="2:15" ht="12.75">
      <c r="B38" s="8" t="s">
        <v>111</v>
      </c>
      <c r="C38" s="8"/>
      <c r="D38" s="8" t="s">
        <v>119</v>
      </c>
      <c r="E38" s="8" t="s">
        <v>99</v>
      </c>
      <c r="G38" s="63">
        <f>432/143.905</f>
        <v>3.0019804732288664</v>
      </c>
      <c r="H38" s="63"/>
      <c r="I38" s="63">
        <f>1191.83/145.631</f>
        <v>8.183903152488137</v>
      </c>
      <c r="J38" s="63" t="s">
        <v>96</v>
      </c>
      <c r="K38" s="63">
        <f>1/138.201</f>
        <v>0.007235837656746334</v>
      </c>
      <c r="L38" s="63" t="s">
        <v>96</v>
      </c>
      <c r="M38" s="63">
        <f>1/147.655</f>
        <v>0.006772544106193492</v>
      </c>
      <c r="N38"/>
      <c r="O38" s="5"/>
    </row>
    <row r="39" spans="2:15" ht="12.75">
      <c r="B39" s="8" t="s">
        <v>78</v>
      </c>
      <c r="C39" s="8"/>
      <c r="D39" s="8" t="s">
        <v>119</v>
      </c>
      <c r="E39" s="8" t="s">
        <v>99</v>
      </c>
      <c r="G39" s="63">
        <f>5.24/143.905</f>
        <v>0.03641291129564644</v>
      </c>
      <c r="H39" s="63"/>
      <c r="I39" s="63">
        <f>6.19/145.631</f>
        <v>0.042504686502187035</v>
      </c>
      <c r="J39" s="63"/>
      <c r="K39" s="63">
        <f>5.09/138.201</f>
        <v>0.03683041367283884</v>
      </c>
      <c r="L39" s="63"/>
      <c r="M39" s="63">
        <f>5.21/147.655</f>
        <v>0.03528495479326809</v>
      </c>
      <c r="N39"/>
      <c r="O39" s="5"/>
    </row>
    <row r="40" spans="2:17" ht="12.75">
      <c r="B40" s="8" t="s">
        <v>112</v>
      </c>
      <c r="C40" s="8"/>
      <c r="D40" s="8" t="s">
        <v>119</v>
      </c>
      <c r="E40" s="8" t="s">
        <v>99</v>
      </c>
      <c r="F40" s="8" t="s">
        <v>96</v>
      </c>
      <c r="G40" s="63">
        <f>7.97/143.905</f>
        <v>0.05538376011952329</v>
      </c>
      <c r="H40" s="63"/>
      <c r="I40" s="63">
        <f>4.86/145.631</f>
        <v>0.03337201557360727</v>
      </c>
      <c r="J40" s="63" t="s">
        <v>96</v>
      </c>
      <c r="K40" s="63">
        <f>1/138.201</f>
        <v>0.007235837656746334</v>
      </c>
      <c r="L40" s="63" t="s">
        <v>96</v>
      </c>
      <c r="M40" s="63">
        <f>1/147.655</f>
        <v>0.006772544106193492</v>
      </c>
      <c r="N40"/>
      <c r="O40" s="63"/>
      <c r="Q40" s="63"/>
    </row>
    <row r="41" spans="2:15" ht="12.75">
      <c r="B41" s="8" t="s">
        <v>114</v>
      </c>
      <c r="C41" s="8"/>
      <c r="D41" s="8" t="s">
        <v>119</v>
      </c>
      <c r="E41" s="8" t="s">
        <v>99</v>
      </c>
      <c r="F41" s="8" t="s">
        <v>96</v>
      </c>
      <c r="G41" s="63">
        <f>10/143.905</f>
        <v>0.06949028873214969</v>
      </c>
      <c r="H41" s="63"/>
      <c r="I41" s="63">
        <f>10/145.631</f>
        <v>0.06866669871112606</v>
      </c>
      <c r="J41" s="63" t="s">
        <v>96</v>
      </c>
      <c r="K41" s="63">
        <f>1/138.201</f>
        <v>0.007235837656746334</v>
      </c>
      <c r="L41" s="63" t="s">
        <v>96</v>
      </c>
      <c r="M41" s="63">
        <f>1/147.655</f>
        <v>0.006772544106193492</v>
      </c>
      <c r="N41"/>
      <c r="O41" s="5"/>
    </row>
    <row r="42" spans="2:15" ht="12.75">
      <c r="B42" s="8" t="s">
        <v>104</v>
      </c>
      <c r="C42" s="8"/>
      <c r="D42" s="8" t="s">
        <v>119</v>
      </c>
      <c r="E42" s="8" t="s">
        <v>99</v>
      </c>
      <c r="F42" s="8" t="s">
        <v>96</v>
      </c>
      <c r="G42" s="63">
        <f>4/143.905</f>
        <v>0.027796115492859874</v>
      </c>
      <c r="H42" s="63"/>
      <c r="I42" s="63">
        <f>4/145.631</f>
        <v>0.027466679484450425</v>
      </c>
      <c r="J42" s="63" t="s">
        <v>96</v>
      </c>
      <c r="K42" s="63">
        <f>1/138.201</f>
        <v>0.007235837656746334</v>
      </c>
      <c r="L42" s="63" t="s">
        <v>96</v>
      </c>
      <c r="M42" s="63">
        <f>1/147.655</f>
        <v>0.006772544106193492</v>
      </c>
      <c r="N42"/>
      <c r="O42" s="5"/>
    </row>
    <row r="43" spans="2:15" ht="12.75">
      <c r="B43" s="8" t="s">
        <v>116</v>
      </c>
      <c r="C43" s="8"/>
      <c r="D43" s="8" t="s">
        <v>119</v>
      </c>
      <c r="E43" s="8" t="s">
        <v>99</v>
      </c>
      <c r="F43" s="8" t="s">
        <v>96</v>
      </c>
      <c r="G43" s="63">
        <f>2/143.905</f>
        <v>0.013898057746429937</v>
      </c>
      <c r="H43" s="63"/>
      <c r="I43" s="63">
        <f>2/145.631</f>
        <v>0.013733339742225213</v>
      </c>
      <c r="J43" s="63" t="s">
        <v>96</v>
      </c>
      <c r="K43" s="63">
        <f>2/138.201</f>
        <v>0.014471675313492667</v>
      </c>
      <c r="L43" s="63" t="s">
        <v>96</v>
      </c>
      <c r="M43" s="63">
        <f>2/147.655</f>
        <v>0.013545088212386983</v>
      </c>
      <c r="N43"/>
      <c r="O43" s="5"/>
    </row>
    <row r="44" spans="2:15" ht="12.75">
      <c r="B44" s="8" t="s">
        <v>115</v>
      </c>
      <c r="C44" s="8"/>
      <c r="D44" s="8" t="s">
        <v>119</v>
      </c>
      <c r="E44" s="8" t="s">
        <v>99</v>
      </c>
      <c r="F44" s="8" t="s">
        <v>96</v>
      </c>
      <c r="G44">
        <v>0.31</v>
      </c>
      <c r="H44" t="s">
        <v>96</v>
      </c>
      <c r="I44">
        <v>0.31</v>
      </c>
      <c r="J44" t="s">
        <v>96</v>
      </c>
      <c r="K44">
        <v>0.33</v>
      </c>
      <c r="L44" t="s">
        <v>96</v>
      </c>
      <c r="M44">
        <v>0.31</v>
      </c>
      <c r="N44"/>
      <c r="O44" s="5"/>
    </row>
    <row r="45" spans="2:15" ht="12.75">
      <c r="B45" s="8" t="s">
        <v>117</v>
      </c>
      <c r="C45" s="8"/>
      <c r="D45" s="8" t="s">
        <v>119</v>
      </c>
      <c r="E45" s="8" t="s">
        <v>99</v>
      </c>
      <c r="F45" s="8" t="s">
        <v>96</v>
      </c>
      <c r="G45">
        <v>0.03</v>
      </c>
      <c r="H45" t="s">
        <v>96</v>
      </c>
      <c r="I45">
        <v>0.03</v>
      </c>
      <c r="J45" t="s">
        <v>96</v>
      </c>
      <c r="K45">
        <v>0.03</v>
      </c>
      <c r="L45" t="s">
        <v>96</v>
      </c>
      <c r="M45">
        <v>0.03</v>
      </c>
      <c r="N45"/>
      <c r="O45" s="5"/>
    </row>
    <row r="46" spans="2:15" ht="12.75">
      <c r="B46" s="8" t="s">
        <v>118</v>
      </c>
      <c r="C46" s="8"/>
      <c r="D46" s="8" t="s">
        <v>119</v>
      </c>
      <c r="E46" s="8" t="s">
        <v>99</v>
      </c>
      <c r="G46">
        <v>0.43</v>
      </c>
      <c r="H46"/>
      <c r="I46">
        <v>0.43</v>
      </c>
      <c r="J46"/>
      <c r="K46">
        <v>0.34</v>
      </c>
      <c r="L46"/>
      <c r="M46">
        <v>0.45</v>
      </c>
      <c r="N46"/>
      <c r="O46" s="5"/>
    </row>
    <row r="47" spans="2:15" ht="12.75">
      <c r="B47" s="8"/>
      <c r="C47" s="8"/>
      <c r="F47"/>
      <c r="G47"/>
      <c r="H47"/>
      <c r="I47"/>
      <c r="J47"/>
      <c r="K47"/>
      <c r="L47"/>
      <c r="M47"/>
      <c r="N47"/>
      <c r="O47"/>
    </row>
    <row r="48" spans="2:15" ht="12.75">
      <c r="B48" s="8" t="s">
        <v>83</v>
      </c>
      <c r="C48" s="8" t="s">
        <v>101</v>
      </c>
      <c r="D48" s="8" t="s">
        <v>244</v>
      </c>
      <c r="F48"/>
      <c r="G48"/>
      <c r="H48"/>
      <c r="I48"/>
      <c r="J48"/>
      <c r="K48"/>
      <c r="L48"/>
      <c r="M48"/>
      <c r="N48"/>
      <c r="O48"/>
    </row>
    <row r="49" spans="2:15" ht="12.75">
      <c r="B49" s="8" t="s">
        <v>75</v>
      </c>
      <c r="C49" s="8"/>
      <c r="D49" s="8" t="s">
        <v>17</v>
      </c>
      <c r="F49"/>
      <c r="G49">
        <f>391512/60</f>
        <v>6525.2</v>
      </c>
      <c r="H49"/>
      <c r="I49">
        <f>390126/60</f>
        <v>6502.1</v>
      </c>
      <c r="J49"/>
      <c r="K49">
        <f>385122/60</f>
        <v>6418.7</v>
      </c>
      <c r="L49"/>
      <c r="M49" s="64">
        <f>386862/60</f>
        <v>6447.7</v>
      </c>
      <c r="N49"/>
      <c r="O49" s="64">
        <f>AVERAGE(M49,K49,I49,G49)</f>
        <v>6473.425</v>
      </c>
    </row>
    <row r="50" spans="2:15" ht="12.75">
      <c r="B50" s="8" t="s">
        <v>80</v>
      </c>
      <c r="C50" s="8"/>
      <c r="D50" s="8" t="s">
        <v>18</v>
      </c>
      <c r="F50"/>
      <c r="G50" s="17">
        <v>10.5</v>
      </c>
      <c r="I50" s="18">
        <v>10.7</v>
      </c>
      <c r="K50" s="17">
        <v>10.9</v>
      </c>
      <c r="M50" s="17">
        <v>11.1</v>
      </c>
      <c r="N50"/>
      <c r="O50" s="64">
        <f>AVERAGE(M50,K50,I50,G50)</f>
        <v>10.8</v>
      </c>
    </row>
    <row r="51" spans="2:15" ht="12.75">
      <c r="B51" s="8" t="s">
        <v>81</v>
      </c>
      <c r="C51" s="8"/>
      <c r="D51" s="8" t="s">
        <v>18</v>
      </c>
      <c r="F51"/>
      <c r="G51" s="17">
        <v>46.1</v>
      </c>
      <c r="I51" s="18">
        <v>46.6</v>
      </c>
      <c r="K51" s="17">
        <v>46</v>
      </c>
      <c r="M51" s="17">
        <v>47</v>
      </c>
      <c r="N51"/>
      <c r="O51" s="5">
        <f>AVERAGE(M51,K51,I51,G51)</f>
        <v>46.425</v>
      </c>
    </row>
    <row r="52" spans="2:15" ht="12.75">
      <c r="B52" s="8" t="s">
        <v>74</v>
      </c>
      <c r="C52" s="8"/>
      <c r="D52" s="8" t="s">
        <v>19</v>
      </c>
      <c r="F52"/>
      <c r="G52">
        <v>177</v>
      </c>
      <c r="H52"/>
      <c r="I52">
        <v>178</v>
      </c>
      <c r="J52"/>
      <c r="K52">
        <v>177</v>
      </c>
      <c r="L52"/>
      <c r="M52">
        <v>178</v>
      </c>
      <c r="N52"/>
      <c r="O52" s="64">
        <f>AVERAGE(M52,K52,I52,G52)</f>
        <v>177.5</v>
      </c>
    </row>
    <row r="53" spans="2:15" ht="12.75">
      <c r="B53" s="8"/>
      <c r="C53" s="8"/>
      <c r="F53"/>
      <c r="G53"/>
      <c r="H53"/>
      <c r="I53"/>
      <c r="J53"/>
      <c r="K53"/>
      <c r="L53"/>
      <c r="M53"/>
      <c r="N53"/>
      <c r="O53"/>
    </row>
    <row r="54" spans="2:15" ht="12.75">
      <c r="B54" s="8" t="s">
        <v>83</v>
      </c>
      <c r="C54" s="8" t="s">
        <v>95</v>
      </c>
      <c r="D54" s="8" t="s">
        <v>245</v>
      </c>
      <c r="F54"/>
      <c r="G54"/>
      <c r="H54"/>
      <c r="I54"/>
      <c r="J54"/>
      <c r="K54"/>
      <c r="L54"/>
      <c r="M54"/>
      <c r="N54"/>
      <c r="O54"/>
    </row>
    <row r="55" spans="2:15" ht="12.75">
      <c r="B55" s="8" t="s">
        <v>75</v>
      </c>
      <c r="C55" s="8"/>
      <c r="D55" s="8" t="s">
        <v>17</v>
      </c>
      <c r="F55"/>
      <c r="G55">
        <f>398484/60</f>
        <v>6641.4</v>
      </c>
      <c r="H55"/>
      <c r="I55">
        <f>403320/60</f>
        <v>6722</v>
      </c>
      <c r="J55"/>
      <c r="K55">
        <f>405246/60</f>
        <v>6754.1</v>
      </c>
      <c r="L55"/>
      <c r="M55">
        <f>405918/60</f>
        <v>6765.3</v>
      </c>
      <c r="N55"/>
      <c r="O55" s="64">
        <f>AVERAGE(G55,I55,K55,M55)</f>
        <v>6720.7</v>
      </c>
    </row>
    <row r="56" spans="2:15" ht="12.75">
      <c r="B56" s="8" t="s">
        <v>80</v>
      </c>
      <c r="C56" s="8"/>
      <c r="D56" s="8" t="s">
        <v>18</v>
      </c>
      <c r="F56"/>
      <c r="G56">
        <v>10.5</v>
      </c>
      <c r="H56"/>
      <c r="I56">
        <v>10.7</v>
      </c>
      <c r="J56"/>
      <c r="K56">
        <v>10.9</v>
      </c>
      <c r="L56"/>
      <c r="M56">
        <v>11.1</v>
      </c>
      <c r="N56"/>
      <c r="O56" s="5">
        <f>AVERAGE(G56,I56,K56,M56)</f>
        <v>10.8</v>
      </c>
    </row>
    <row r="57" spans="2:15" ht="12.75">
      <c r="B57" s="8" t="s">
        <v>81</v>
      </c>
      <c r="C57" s="8"/>
      <c r="D57" s="8" t="s">
        <v>18</v>
      </c>
      <c r="F57"/>
      <c r="G57">
        <v>46.1</v>
      </c>
      <c r="H57"/>
      <c r="I57">
        <v>46.6</v>
      </c>
      <c r="J57"/>
      <c r="K57">
        <v>45.9</v>
      </c>
      <c r="L57"/>
      <c r="M57">
        <v>46.7</v>
      </c>
      <c r="N57"/>
      <c r="O57" s="64">
        <f>AVERAGE(G57,I57,K57,M57)</f>
        <v>46.325</v>
      </c>
    </row>
    <row r="58" spans="2:15" ht="12.75">
      <c r="B58" s="8" t="s">
        <v>74</v>
      </c>
      <c r="C58" s="8"/>
      <c r="D58" s="8" t="s">
        <v>19</v>
      </c>
      <c r="F58"/>
      <c r="G58">
        <v>178</v>
      </c>
      <c r="H58"/>
      <c r="I58">
        <v>179</v>
      </c>
      <c r="J58"/>
      <c r="K58">
        <v>179</v>
      </c>
      <c r="L58"/>
      <c r="M58">
        <v>179</v>
      </c>
      <c r="N58"/>
      <c r="O58" s="64">
        <f>AVERAGE(G58,I58,K58,M58)</f>
        <v>178.75</v>
      </c>
    </row>
    <row r="59" spans="2:15" ht="12.75">
      <c r="B59" s="8"/>
      <c r="C59" s="8"/>
      <c r="F59"/>
      <c r="G59"/>
      <c r="H59"/>
      <c r="I59"/>
      <c r="J59"/>
      <c r="K59"/>
      <c r="L59"/>
      <c r="M59"/>
      <c r="N59"/>
      <c r="O59" s="5"/>
    </row>
    <row r="60" spans="2:15" ht="12.75">
      <c r="B60" s="8" t="s">
        <v>105</v>
      </c>
      <c r="C60" s="8" t="s">
        <v>245</v>
      </c>
      <c r="D60" s="8" t="s">
        <v>54</v>
      </c>
      <c r="E60" s="8" t="s">
        <v>15</v>
      </c>
      <c r="G60" s="5">
        <f aca="true" t="shared" si="0" ref="G60:G80">G26/0.0283*(21-7)/(21-G$56)</f>
        <v>14.605418138987044</v>
      </c>
      <c r="H60" s="8"/>
      <c r="I60" s="5">
        <f aca="true" t="shared" si="1" ref="I60:I80">I26/0.0283*(21-7)/(21-I$56)</f>
        <v>11.526982057703522</v>
      </c>
      <c r="J60" s="8"/>
      <c r="K60" s="5">
        <f aca="true" t="shared" si="2" ref="K60:K80">K26/0.0283*(21-7)/(21-K$56)</f>
        <v>11.265437497813387</v>
      </c>
      <c r="L60"/>
      <c r="M60" s="5">
        <f aca="true" t="shared" si="3" ref="M60:M80">M26/0.0283*(21-7)/(21-M$56)</f>
        <v>19.488167898061892</v>
      </c>
      <c r="N60"/>
      <c r="O60" s="5">
        <f>AVERAGE(G60,I60,K60,M60)</f>
        <v>14.221501398141463</v>
      </c>
    </row>
    <row r="61" spans="2:15" ht="12.75">
      <c r="B61" s="8" t="s">
        <v>113</v>
      </c>
      <c r="C61" s="8" t="s">
        <v>245</v>
      </c>
      <c r="D61" s="8" t="s">
        <v>54</v>
      </c>
      <c r="E61" s="8" t="s">
        <v>15</v>
      </c>
      <c r="F61" s="8" t="s">
        <v>96</v>
      </c>
      <c r="G61" s="5">
        <f t="shared" si="0"/>
        <v>3.2739829791354387</v>
      </c>
      <c r="H61" t="s">
        <v>96</v>
      </c>
      <c r="I61" s="5">
        <f t="shared" si="1"/>
        <v>3.297999183353683</v>
      </c>
      <c r="J61" t="s">
        <v>96</v>
      </c>
      <c r="K61" s="5">
        <f t="shared" si="2"/>
        <v>3.5441250811478393</v>
      </c>
      <c r="L61" t="s">
        <v>96</v>
      </c>
      <c r="M61" s="5">
        <f t="shared" si="3"/>
        <v>0.3384217349705853</v>
      </c>
      <c r="N61"/>
      <c r="O61" s="5">
        <f>AVERAGE(G61,I61,K61,M61)</f>
        <v>2.6136322446518867</v>
      </c>
    </row>
    <row r="62" spans="2:15" ht="12.75">
      <c r="B62" s="8" t="s">
        <v>106</v>
      </c>
      <c r="C62" s="8" t="s">
        <v>245</v>
      </c>
      <c r="D62" s="8" t="s">
        <v>54</v>
      </c>
      <c r="E62" s="8" t="s">
        <v>15</v>
      </c>
      <c r="F62" s="8" t="s">
        <v>96</v>
      </c>
      <c r="G62" s="5">
        <f t="shared" si="0"/>
        <v>0.32739829791354386</v>
      </c>
      <c r="H62" s="63"/>
      <c r="I62" s="5">
        <f t="shared" si="1"/>
        <v>0.19787995100122094</v>
      </c>
      <c r="J62" s="63" t="s">
        <v>96</v>
      </c>
      <c r="K62" s="5">
        <f t="shared" si="2"/>
        <v>0.3544125081147839</v>
      </c>
      <c r="L62" s="63" t="s">
        <v>96</v>
      </c>
      <c r="M62" s="5">
        <f t="shared" si="3"/>
        <v>0.3384217349705853</v>
      </c>
      <c r="N62"/>
      <c r="O62" s="5">
        <f>AVERAGE(G62/2,I62,K62/2,M62/2)</f>
        <v>0.17699905537516938</v>
      </c>
    </row>
    <row r="63" spans="2:15" ht="12.75">
      <c r="B63" s="8" t="s">
        <v>107</v>
      </c>
      <c r="C63" s="8" t="s">
        <v>245</v>
      </c>
      <c r="D63" s="8" t="s">
        <v>54</v>
      </c>
      <c r="E63" s="8" t="s">
        <v>15</v>
      </c>
      <c r="G63" s="5">
        <f t="shared" si="0"/>
        <v>6.547965958270877</v>
      </c>
      <c r="H63"/>
      <c r="I63" s="5">
        <f t="shared" si="1"/>
        <v>6.595998366707366</v>
      </c>
      <c r="J63"/>
      <c r="K63" s="5">
        <f t="shared" si="2"/>
        <v>0.3544125081147839</v>
      </c>
      <c r="L63"/>
      <c r="M63" s="5">
        <f t="shared" si="3"/>
        <v>0.3384217349705853</v>
      </c>
      <c r="N63"/>
      <c r="O63" s="5">
        <f>AVERAGE(G63,I63,K63,M63)</f>
        <v>3.459199642015903</v>
      </c>
    </row>
    <row r="64" spans="2:15" ht="12.75">
      <c r="B64" s="8" t="s">
        <v>77</v>
      </c>
      <c r="C64" s="8" t="s">
        <v>245</v>
      </c>
      <c r="D64" s="8" t="s">
        <v>54</v>
      </c>
      <c r="E64" s="8" t="s">
        <v>15</v>
      </c>
      <c r="F64" s="8" t="s">
        <v>96</v>
      </c>
      <c r="G64" s="5">
        <f t="shared" si="0"/>
        <v>0.32739829791354386</v>
      </c>
      <c r="H64" s="63" t="s">
        <v>96</v>
      </c>
      <c r="I64" s="5">
        <f t="shared" si="1"/>
        <v>0.3297999183353682</v>
      </c>
      <c r="J64" s="63" t="s">
        <v>96</v>
      </c>
      <c r="K64" s="5">
        <f t="shared" si="2"/>
        <v>0.3544125081147839</v>
      </c>
      <c r="L64" s="63" t="s">
        <v>96</v>
      </c>
      <c r="M64" s="5">
        <f t="shared" si="3"/>
        <v>0.3384217349705853</v>
      </c>
      <c r="N64"/>
      <c r="O64" s="5">
        <f>AVERAGE(G64,I64,K64,M64)</f>
        <v>0.33750811483357035</v>
      </c>
    </row>
    <row r="65" spans="2:15" ht="12.75">
      <c r="B65" s="8" t="s">
        <v>108</v>
      </c>
      <c r="C65" s="8" t="s">
        <v>245</v>
      </c>
      <c r="D65" s="8" t="s">
        <v>54</v>
      </c>
      <c r="E65" s="8" t="s">
        <v>15</v>
      </c>
      <c r="F65" s="8" t="s">
        <v>96</v>
      </c>
      <c r="G65" s="5">
        <f t="shared" si="0"/>
        <v>29.681978798586574</v>
      </c>
      <c r="H65" t="s">
        <v>96</v>
      </c>
      <c r="I65" s="5">
        <f t="shared" si="1"/>
        <v>30.73861882054273</v>
      </c>
      <c r="J65" t="s">
        <v>96</v>
      </c>
      <c r="K65" s="5">
        <f t="shared" si="2"/>
        <v>21.55127173494735</v>
      </c>
      <c r="L65" t="s">
        <v>96</v>
      </c>
      <c r="M65" s="5">
        <f t="shared" si="3"/>
        <v>29.482100153478243</v>
      </c>
      <c r="N65"/>
      <c r="O65" s="5">
        <f>AVERAGE(G65,I65,K65,M65)</f>
        <v>27.863492376888725</v>
      </c>
    </row>
    <row r="66" spans="2:15" ht="12.75">
      <c r="B66" s="8" t="s">
        <v>109</v>
      </c>
      <c r="C66" s="8" t="s">
        <v>245</v>
      </c>
      <c r="D66" s="8" t="s">
        <v>54</v>
      </c>
      <c r="E66" s="8" t="s">
        <v>15</v>
      </c>
      <c r="G66" s="5">
        <f t="shared" si="0"/>
        <v>0.7202762554097966</v>
      </c>
      <c r="H66" s="63" t="s">
        <v>96</v>
      </c>
      <c r="I66" s="5">
        <f t="shared" si="1"/>
        <v>0.7453478154379322</v>
      </c>
      <c r="J66" s="63"/>
      <c r="K66" s="5">
        <f t="shared" si="2"/>
        <v>0.6662955152557937</v>
      </c>
      <c r="L66" s="63"/>
      <c r="M66" s="5">
        <f t="shared" si="3"/>
        <v>0.87312807622411</v>
      </c>
      <c r="N66"/>
      <c r="O66" s="5">
        <f>AVERAGE(G66,I66/2,K66,M66)</f>
        <v>0.6580934386521666</v>
      </c>
    </row>
    <row r="67" spans="2:15" ht="12.75">
      <c r="B67" s="8" t="s">
        <v>82</v>
      </c>
      <c r="C67" s="8" t="s">
        <v>245</v>
      </c>
      <c r="D67" s="8" t="s">
        <v>54</v>
      </c>
      <c r="E67" s="8" t="s">
        <v>15</v>
      </c>
      <c r="G67" s="5">
        <f t="shared" si="0"/>
        <v>1.6042516597763652</v>
      </c>
      <c r="H67" s="63"/>
      <c r="I67" s="5">
        <f t="shared" si="1"/>
        <v>1.3356896692582414</v>
      </c>
      <c r="J67" s="63" t="s">
        <v>96</v>
      </c>
      <c r="K67" s="5">
        <f t="shared" si="2"/>
        <v>1.630297537328006</v>
      </c>
      <c r="L67" s="63"/>
      <c r="M67" s="5">
        <f t="shared" si="3"/>
        <v>1.6921086748529264</v>
      </c>
      <c r="N67"/>
      <c r="O67" s="5">
        <f aca="true" t="shared" si="4" ref="O67:O74">AVERAGE(G67,I67,K67,M67)</f>
        <v>1.5655868853038848</v>
      </c>
    </row>
    <row r="68" spans="2:15" ht="12.75">
      <c r="B68" s="87" t="s">
        <v>248</v>
      </c>
      <c r="C68" s="8" t="s">
        <v>245</v>
      </c>
      <c r="D68" s="8" t="s">
        <v>54</v>
      </c>
      <c r="E68" s="8" t="s">
        <v>15</v>
      </c>
      <c r="F68" s="8" t="s">
        <v>96</v>
      </c>
      <c r="G68" s="5">
        <f t="shared" si="0"/>
        <v>1.1307420494699647</v>
      </c>
      <c r="H68" s="8" t="s">
        <v>96</v>
      </c>
      <c r="I68" s="5">
        <f t="shared" si="1"/>
        <v>1.2007272976774503</v>
      </c>
      <c r="J68" t="s">
        <v>96</v>
      </c>
      <c r="K68" s="5">
        <f t="shared" si="2"/>
        <v>1.3224644019172236</v>
      </c>
      <c r="L68" t="s">
        <v>96</v>
      </c>
      <c r="M68" s="5">
        <f t="shared" si="3"/>
        <v>1.3491808544812078</v>
      </c>
      <c r="N68"/>
      <c r="O68" s="5">
        <f t="shared" si="4"/>
        <v>1.2507786508864616</v>
      </c>
    </row>
    <row r="69" spans="2:15" ht="12.75">
      <c r="B69" s="8" t="s">
        <v>267</v>
      </c>
      <c r="C69" s="8" t="s">
        <v>245</v>
      </c>
      <c r="D69" s="8" t="s">
        <v>54</v>
      </c>
      <c r="E69" s="8" t="s">
        <v>15</v>
      </c>
      <c r="F69" s="8" t="s">
        <v>96</v>
      </c>
      <c r="G69" s="5">
        <f t="shared" si="0"/>
        <v>1.4134275618374557</v>
      </c>
      <c r="H69" t="s">
        <v>96</v>
      </c>
      <c r="I69" s="5">
        <f t="shared" si="1"/>
        <v>1.4408727572129403</v>
      </c>
      <c r="J69" t="s">
        <v>96</v>
      </c>
      <c r="K69" s="5">
        <f t="shared" si="2"/>
        <v>1.4694048910191373</v>
      </c>
      <c r="L69" t="s">
        <v>96</v>
      </c>
      <c r="M69" s="5">
        <f t="shared" si="3"/>
        <v>1.499089838312453</v>
      </c>
      <c r="N69"/>
      <c r="O69" s="5">
        <f t="shared" si="4"/>
        <v>1.4556987620954966</v>
      </c>
    </row>
    <row r="70" spans="2:15" ht="12.75">
      <c r="B70" s="8" t="s">
        <v>110</v>
      </c>
      <c r="C70" s="8" t="s">
        <v>245</v>
      </c>
      <c r="D70" s="8" t="s">
        <v>54</v>
      </c>
      <c r="E70" s="8" t="s">
        <v>15</v>
      </c>
      <c r="F70" s="8" t="s">
        <v>96</v>
      </c>
      <c r="G70" s="5">
        <f t="shared" si="0"/>
        <v>2.8268551236749113</v>
      </c>
      <c r="H70" t="s">
        <v>96</v>
      </c>
      <c r="I70" s="5">
        <f t="shared" si="1"/>
        <v>2.8817455144258806</v>
      </c>
      <c r="J70" t="s">
        <v>96</v>
      </c>
      <c r="K70" s="5">
        <f t="shared" si="2"/>
        <v>3.4286114123779874</v>
      </c>
      <c r="L70" t="s">
        <v>96</v>
      </c>
      <c r="M70" s="5">
        <f t="shared" si="3"/>
        <v>4.497269514937359</v>
      </c>
      <c r="N70"/>
      <c r="O70" s="5">
        <f t="shared" si="4"/>
        <v>3.4086203913540345</v>
      </c>
    </row>
    <row r="71" spans="2:15" ht="12.75">
      <c r="B71" s="8" t="s">
        <v>76</v>
      </c>
      <c r="C71" s="8" t="s">
        <v>245</v>
      </c>
      <c r="D71" s="8" t="s">
        <v>54</v>
      </c>
      <c r="E71" s="8" t="s">
        <v>15</v>
      </c>
      <c r="G71" s="5">
        <f t="shared" si="0"/>
        <v>4.288917702667424</v>
      </c>
      <c r="H71" s="63"/>
      <c r="I71" s="5">
        <f t="shared" si="1"/>
        <v>4.650178848528692</v>
      </c>
      <c r="J71" s="63"/>
      <c r="K71" s="5">
        <f t="shared" si="2"/>
        <v>4.890892611984017</v>
      </c>
      <c r="L71" s="63"/>
      <c r="M71" s="5">
        <f t="shared" si="3"/>
        <v>6.971487740394058</v>
      </c>
      <c r="N71"/>
      <c r="O71" s="5">
        <f t="shared" si="4"/>
        <v>5.200369225893548</v>
      </c>
    </row>
    <row r="72" spans="2:15" ht="12.75">
      <c r="B72" s="8" t="s">
        <v>111</v>
      </c>
      <c r="C72" s="8" t="s">
        <v>245</v>
      </c>
      <c r="D72" s="8" t="s">
        <v>54</v>
      </c>
      <c r="E72" s="8" t="s">
        <v>15</v>
      </c>
      <c r="F72"/>
      <c r="G72" s="5">
        <f t="shared" si="0"/>
        <v>141.43606469865094</v>
      </c>
      <c r="H72"/>
      <c r="I72" s="5">
        <f t="shared" si="1"/>
        <v>393.0654366696419</v>
      </c>
      <c r="J72"/>
      <c r="K72" s="5">
        <f t="shared" si="2"/>
        <v>0.3544125081147839</v>
      </c>
      <c r="L72"/>
      <c r="M72" s="5">
        <f t="shared" si="3"/>
        <v>0.3384217349705853</v>
      </c>
      <c r="N72"/>
      <c r="O72" s="5">
        <f t="shared" si="4"/>
        <v>133.79858390284454</v>
      </c>
    </row>
    <row r="73" spans="2:15" ht="12.75">
      <c r="B73" s="8" t="s">
        <v>78</v>
      </c>
      <c r="C73" s="8" t="s">
        <v>245</v>
      </c>
      <c r="D73" s="8" t="s">
        <v>54</v>
      </c>
      <c r="E73" s="8" t="s">
        <v>15</v>
      </c>
      <c r="G73" s="5">
        <f t="shared" si="0"/>
        <v>1.71556708106697</v>
      </c>
      <c r="H73" s="63"/>
      <c r="I73" s="5">
        <f t="shared" si="1"/>
        <v>2.0414614944959295</v>
      </c>
      <c r="J73" s="63"/>
      <c r="K73" s="5">
        <f t="shared" si="2"/>
        <v>1.8039596663042503</v>
      </c>
      <c r="L73" s="63"/>
      <c r="M73" s="5">
        <f t="shared" si="3"/>
        <v>1.7631772391967495</v>
      </c>
      <c r="N73"/>
      <c r="O73" s="5">
        <f t="shared" si="4"/>
        <v>1.831041370265975</v>
      </c>
    </row>
    <row r="74" spans="2:15" ht="12.75">
      <c r="B74" s="8" t="s">
        <v>112</v>
      </c>
      <c r="C74" s="8" t="s">
        <v>245</v>
      </c>
      <c r="D74" s="8" t="s">
        <v>54</v>
      </c>
      <c r="E74" s="8" t="s">
        <v>15</v>
      </c>
      <c r="F74" s="8" t="s">
        <v>96</v>
      </c>
      <c r="G74" s="5">
        <f t="shared" si="0"/>
        <v>2.6093644343709443</v>
      </c>
      <c r="H74" t="s">
        <v>96</v>
      </c>
      <c r="I74" s="5">
        <f t="shared" si="1"/>
        <v>1.6028276031098898</v>
      </c>
      <c r="J74" t="s">
        <v>96</v>
      </c>
      <c r="K74" s="5">
        <f t="shared" si="2"/>
        <v>0.3544125081147839</v>
      </c>
      <c r="L74" t="s">
        <v>96</v>
      </c>
      <c r="M74" s="5">
        <f t="shared" si="3"/>
        <v>0.3384217349705853</v>
      </c>
      <c r="N74"/>
      <c r="O74" s="5">
        <f t="shared" si="4"/>
        <v>1.2262565701415509</v>
      </c>
    </row>
    <row r="75" spans="2:15" ht="12.75">
      <c r="B75" s="8" t="s">
        <v>114</v>
      </c>
      <c r="C75" s="8" t="s">
        <v>245</v>
      </c>
      <c r="D75" s="8" t="s">
        <v>54</v>
      </c>
      <c r="E75" s="8" t="s">
        <v>15</v>
      </c>
      <c r="F75" s="8" t="s">
        <v>96</v>
      </c>
      <c r="G75" s="5">
        <f t="shared" si="0"/>
        <v>3.2739829791354387</v>
      </c>
      <c r="H75" t="s">
        <v>96</v>
      </c>
      <c r="I75" s="5">
        <f t="shared" si="1"/>
        <v>3.297999183353683</v>
      </c>
      <c r="J75" t="s">
        <v>96</v>
      </c>
      <c r="K75" s="5">
        <f t="shared" si="2"/>
        <v>0.3544125081147839</v>
      </c>
      <c r="L75" t="s">
        <v>96</v>
      </c>
      <c r="M75" s="5">
        <f t="shared" si="3"/>
        <v>0.3384217349705853</v>
      </c>
      <c r="N75"/>
      <c r="O75" s="5">
        <f aca="true" t="shared" si="5" ref="O75:O80">AVERAGE(G75,I75,K75,M75)</f>
        <v>1.8162041013936225</v>
      </c>
    </row>
    <row r="76" spans="2:15" ht="12.75">
      <c r="B76" s="8" t="s">
        <v>104</v>
      </c>
      <c r="C76" s="8" t="s">
        <v>245</v>
      </c>
      <c r="D76" s="8" t="s">
        <v>54</v>
      </c>
      <c r="E76" s="8" t="s">
        <v>15</v>
      </c>
      <c r="F76" s="8" t="s">
        <v>96</v>
      </c>
      <c r="G76" s="5">
        <f t="shared" si="0"/>
        <v>1.3095931916541754</v>
      </c>
      <c r="H76" t="s">
        <v>96</v>
      </c>
      <c r="I76" s="5">
        <f t="shared" si="1"/>
        <v>1.3191996733414728</v>
      </c>
      <c r="J76" t="s">
        <v>96</v>
      </c>
      <c r="K76" s="5">
        <f t="shared" si="2"/>
        <v>0.3544125081147839</v>
      </c>
      <c r="L76" t="s">
        <v>96</v>
      </c>
      <c r="M76" s="5">
        <f t="shared" si="3"/>
        <v>0.3384217349705853</v>
      </c>
      <c r="N76"/>
      <c r="O76" s="5">
        <f t="shared" si="5"/>
        <v>0.8304067770202543</v>
      </c>
    </row>
    <row r="77" spans="2:15" ht="12.75">
      <c r="B77" s="8" t="s">
        <v>116</v>
      </c>
      <c r="C77" s="8" t="s">
        <v>245</v>
      </c>
      <c r="D77" s="8" t="s">
        <v>54</v>
      </c>
      <c r="E77" s="8" t="s">
        <v>15</v>
      </c>
      <c r="F77" s="8" t="s">
        <v>96</v>
      </c>
      <c r="G77" s="5">
        <f t="shared" si="0"/>
        <v>0.6547965958270877</v>
      </c>
      <c r="H77" t="s">
        <v>96</v>
      </c>
      <c r="I77" s="5">
        <f t="shared" si="1"/>
        <v>0.6595998366707364</v>
      </c>
      <c r="J77" t="s">
        <v>96</v>
      </c>
      <c r="K77" s="5">
        <f t="shared" si="2"/>
        <v>0.7088250162295678</v>
      </c>
      <c r="L77" t="s">
        <v>96</v>
      </c>
      <c r="M77" s="5">
        <f t="shared" si="3"/>
        <v>0.6768434699411706</v>
      </c>
      <c r="N77"/>
      <c r="O77" s="5">
        <f t="shared" si="5"/>
        <v>0.6750162296671407</v>
      </c>
    </row>
    <row r="78" spans="2:15" ht="12.75">
      <c r="B78" s="8" t="s">
        <v>115</v>
      </c>
      <c r="C78" s="8" t="s">
        <v>245</v>
      </c>
      <c r="D78" s="8" t="s">
        <v>54</v>
      </c>
      <c r="E78" s="8" t="s">
        <v>15</v>
      </c>
      <c r="F78" s="8" t="s">
        <v>96</v>
      </c>
      <c r="G78" s="5">
        <f t="shared" si="0"/>
        <v>14.605418138987044</v>
      </c>
      <c r="H78" t="s">
        <v>96</v>
      </c>
      <c r="I78" s="5">
        <f t="shared" si="1"/>
        <v>14.889018491200384</v>
      </c>
      <c r="J78" t="s">
        <v>96</v>
      </c>
      <c r="K78" s="5">
        <f t="shared" si="2"/>
        <v>16.163453801210512</v>
      </c>
      <c r="L78" t="s">
        <v>96</v>
      </c>
      <c r="M78" s="5">
        <f t="shared" si="3"/>
        <v>15.49059499589535</v>
      </c>
      <c r="N78"/>
      <c r="O78" s="5">
        <f t="shared" si="5"/>
        <v>15.287121356823324</v>
      </c>
    </row>
    <row r="79" spans="2:15" ht="12.75">
      <c r="B79" s="8" t="s">
        <v>117</v>
      </c>
      <c r="C79" s="8" t="s">
        <v>245</v>
      </c>
      <c r="D79" s="8" t="s">
        <v>54</v>
      </c>
      <c r="E79" s="8" t="s">
        <v>15</v>
      </c>
      <c r="F79" s="8" t="s">
        <v>96</v>
      </c>
      <c r="G79" s="5">
        <f t="shared" si="0"/>
        <v>1.4134275618374557</v>
      </c>
      <c r="H79" t="s">
        <v>96</v>
      </c>
      <c r="I79" s="5">
        <f t="shared" si="1"/>
        <v>1.4408727572129403</v>
      </c>
      <c r="J79" t="s">
        <v>96</v>
      </c>
      <c r="K79" s="5">
        <f t="shared" si="2"/>
        <v>1.4694048910191373</v>
      </c>
      <c r="L79" t="s">
        <v>96</v>
      </c>
      <c r="M79" s="5">
        <f t="shared" si="3"/>
        <v>1.499089838312453</v>
      </c>
      <c r="N79"/>
      <c r="O79" s="5">
        <f t="shared" si="5"/>
        <v>1.4556987620954966</v>
      </c>
    </row>
    <row r="80" spans="2:15" ht="12.75">
      <c r="B80" s="8" t="s">
        <v>118</v>
      </c>
      <c r="C80" s="8" t="s">
        <v>245</v>
      </c>
      <c r="D80" s="8" t="s">
        <v>54</v>
      </c>
      <c r="E80" s="8" t="s">
        <v>15</v>
      </c>
      <c r="G80" s="5">
        <f t="shared" si="0"/>
        <v>20.25912838633687</v>
      </c>
      <c r="H80"/>
      <c r="I80" s="5">
        <f t="shared" si="1"/>
        <v>20.652509520052146</v>
      </c>
      <c r="J80"/>
      <c r="K80" s="5">
        <f t="shared" si="2"/>
        <v>16.653255431550225</v>
      </c>
      <c r="L80"/>
      <c r="M80" s="5">
        <f t="shared" si="3"/>
        <v>22.4863475746868</v>
      </c>
      <c r="N80"/>
      <c r="O80" s="5">
        <f t="shared" si="5"/>
        <v>20.01281022815651</v>
      </c>
    </row>
    <row r="81" spans="2:15" ht="13.5" customHeight="1">
      <c r="B81" s="8"/>
      <c r="C81" s="8"/>
      <c r="F81"/>
      <c r="G81"/>
      <c r="H81"/>
      <c r="I81"/>
      <c r="J81"/>
      <c r="K81"/>
      <c r="L81"/>
      <c r="M81"/>
      <c r="N81"/>
      <c r="O81" s="5"/>
    </row>
    <row r="82" spans="2:15" ht="12.75">
      <c r="B82" t="s">
        <v>55</v>
      </c>
      <c r="C82" s="8" t="s">
        <v>245</v>
      </c>
      <c r="D82" s="8" t="s">
        <v>54</v>
      </c>
      <c r="E82" s="8" t="s">
        <v>15</v>
      </c>
      <c r="G82" s="63">
        <f>G71+G66</f>
        <v>5.009193958077221</v>
      </c>
      <c r="H82" s="63"/>
      <c r="I82" s="63">
        <f>I71+I66</f>
        <v>5.395526663966624</v>
      </c>
      <c r="J82" s="63"/>
      <c r="K82" s="63">
        <f>K71+K66</f>
        <v>5.557188127239811</v>
      </c>
      <c r="L82" s="63"/>
      <c r="M82" s="63">
        <f>M71+M66</f>
        <v>7.844615816618168</v>
      </c>
      <c r="N82" s="5"/>
      <c r="O82" s="5">
        <f>AVERAGE(G82,I82,K82,M82)</f>
        <v>5.951631141475456</v>
      </c>
    </row>
    <row r="83" spans="2:15" ht="12.75">
      <c r="B83" t="s">
        <v>56</v>
      </c>
      <c r="C83" s="8" t="s">
        <v>245</v>
      </c>
      <c r="D83" s="8" t="s">
        <v>54</v>
      </c>
      <c r="E83" s="8" t="s">
        <v>15</v>
      </c>
      <c r="G83" s="5">
        <f>G67+G62+G64</f>
        <v>2.259048255603453</v>
      </c>
      <c r="H83" s="5"/>
      <c r="I83" s="5">
        <f>I67+I62+I64</f>
        <v>1.8633695385948306</v>
      </c>
      <c r="J83" s="5"/>
      <c r="K83" s="5">
        <f>K67+K62+K64</f>
        <v>2.3391225535575737</v>
      </c>
      <c r="L83" s="5"/>
      <c r="M83" s="5">
        <f>M67+M62+M64</f>
        <v>2.368952144794097</v>
      </c>
      <c r="N83" s="5"/>
      <c r="O83" s="5">
        <f>AVERAGE(G83,I83,K83,M83)</f>
        <v>2.2076231231374885</v>
      </c>
    </row>
    <row r="84" ht="12.75"/>
    <row r="85" ht="12.75"/>
    <row r="86" spans="2:3" ht="12.75">
      <c r="B86" s="21"/>
      <c r="C86" s="21"/>
    </row>
    <row r="87" spans="2:3" ht="12.75">
      <c r="B87" s="21"/>
      <c r="C87" s="21"/>
    </row>
    <row r="88" spans="2:5" ht="12.75">
      <c r="B88" s="8"/>
      <c r="C88" s="8"/>
      <c r="D88" s="12"/>
      <c r="E88" s="12"/>
    </row>
    <row r="89" spans="2:5" ht="12.75">
      <c r="B89" s="8"/>
      <c r="C89" s="8"/>
      <c r="D89" s="12"/>
      <c r="E89" s="12"/>
    </row>
    <row r="90" ht="12.75"/>
    <row r="91" spans="2:15" ht="12.75">
      <c r="B91" s="8"/>
      <c r="C91" s="8"/>
      <c r="F91"/>
      <c r="G91"/>
      <c r="H91"/>
      <c r="I91"/>
      <c r="J91"/>
      <c r="K91"/>
      <c r="L91"/>
      <c r="M91"/>
      <c r="N91"/>
      <c r="O91" s="56"/>
    </row>
    <row r="92" ht="12.75"/>
    <row r="93" spans="2:15" ht="12.75">
      <c r="B93" s="8"/>
      <c r="C93" s="8"/>
      <c r="G93"/>
      <c r="H93"/>
      <c r="I93"/>
      <c r="J93"/>
      <c r="K93"/>
      <c r="L93"/>
      <c r="M93"/>
      <c r="N93"/>
      <c r="O93" s="5"/>
    </row>
    <row r="94" spans="2:15" ht="12.75">
      <c r="B94" s="8"/>
      <c r="C94" s="8"/>
      <c r="G94"/>
      <c r="H94"/>
      <c r="I94"/>
      <c r="J94"/>
      <c r="K94"/>
      <c r="L94"/>
      <c r="M94"/>
      <c r="N94"/>
      <c r="O94" s="5"/>
    </row>
    <row r="95" spans="2:15" ht="12.75">
      <c r="B95" s="8"/>
      <c r="C95" s="8"/>
      <c r="F95"/>
      <c r="G95"/>
      <c r="H95"/>
      <c r="I95"/>
      <c r="J95"/>
      <c r="K95"/>
      <c r="L95"/>
      <c r="M95"/>
      <c r="N95"/>
      <c r="O95" s="5"/>
    </row>
    <row r="96" spans="2:15" ht="12.75">
      <c r="B96" s="8"/>
      <c r="C96" s="8"/>
      <c r="F96"/>
      <c r="G96" s="63"/>
      <c r="H96"/>
      <c r="I96"/>
      <c r="J96"/>
      <c r="K96"/>
      <c r="L96"/>
      <c r="M96"/>
      <c r="N96"/>
      <c r="O96" s="5"/>
    </row>
    <row r="97" spans="2:15" ht="12.75">
      <c r="B97" s="8"/>
      <c r="C97" s="8"/>
      <c r="F97"/>
      <c r="G97" s="63"/>
      <c r="H97"/>
      <c r="I97"/>
      <c r="J97"/>
      <c r="K97"/>
      <c r="L97"/>
      <c r="M97"/>
      <c r="N97"/>
      <c r="O97" s="5"/>
    </row>
    <row r="98" spans="8:15" ht="12.75">
      <c r="H98"/>
      <c r="I98"/>
      <c r="J98"/>
      <c r="K98"/>
      <c r="L98"/>
      <c r="M98"/>
      <c r="N98"/>
      <c r="O98" s="5"/>
    </row>
    <row r="99" spans="2:15" ht="12.75">
      <c r="B99" s="8"/>
      <c r="C99" s="8"/>
      <c r="F99"/>
      <c r="G99"/>
      <c r="H99"/>
      <c r="I99"/>
      <c r="J99"/>
      <c r="K99"/>
      <c r="L99"/>
      <c r="M99"/>
      <c r="N99"/>
      <c r="O99" s="5"/>
    </row>
    <row r="100" spans="2:15" ht="12.75">
      <c r="B100" s="8"/>
      <c r="C100" s="8"/>
      <c r="F100"/>
      <c r="G100"/>
      <c r="H100"/>
      <c r="I100"/>
      <c r="J100"/>
      <c r="K100"/>
      <c r="L100"/>
      <c r="M100"/>
      <c r="N100"/>
      <c r="O100" s="5"/>
    </row>
    <row r="101" spans="2:3" ht="12.75">
      <c r="B101" s="8"/>
      <c r="C101" s="8"/>
    </row>
    <row r="102" spans="2:15" ht="12.75">
      <c r="B102" s="8"/>
      <c r="C102" s="8"/>
      <c r="F102"/>
      <c r="G102"/>
      <c r="H102"/>
      <c r="I102"/>
      <c r="J102"/>
      <c r="K102"/>
      <c r="L102"/>
      <c r="M102"/>
      <c r="N102"/>
      <c r="O102"/>
    </row>
    <row r="103" spans="2:15" ht="12.75">
      <c r="B103" s="8"/>
      <c r="C103" s="8"/>
      <c r="F103"/>
      <c r="G103"/>
      <c r="H103"/>
      <c r="I103"/>
      <c r="J103"/>
      <c r="K103"/>
      <c r="L103"/>
      <c r="M103"/>
      <c r="N103"/>
      <c r="O103" s="5"/>
    </row>
    <row r="104" spans="2:15" ht="12.75">
      <c r="B104"/>
      <c r="C104"/>
      <c r="D104"/>
      <c r="E104"/>
      <c r="F104"/>
      <c r="G104"/>
      <c r="H104"/>
      <c r="I104"/>
      <c r="J104"/>
      <c r="K104"/>
      <c r="L104"/>
      <c r="M104"/>
      <c r="N104"/>
      <c r="O104" s="5"/>
    </row>
    <row r="105" spans="2:15" ht="12.75">
      <c r="B105" s="8"/>
      <c r="C105" s="8"/>
      <c r="F105"/>
      <c r="G105" s="5"/>
      <c r="H105"/>
      <c r="I105"/>
      <c r="J105"/>
      <c r="K105"/>
      <c r="L105"/>
      <c r="M105"/>
      <c r="N105"/>
      <c r="O105" s="5"/>
    </row>
    <row r="106" spans="2:15" ht="12.75">
      <c r="B106" s="8"/>
      <c r="C106" s="8"/>
      <c r="F106"/>
      <c r="G106" s="5"/>
      <c r="H106"/>
      <c r="I106"/>
      <c r="J106"/>
      <c r="K106"/>
      <c r="L106"/>
      <c r="M106"/>
      <c r="N106"/>
      <c r="O106" s="5"/>
    </row>
    <row r="107" spans="2:7" ht="12.75">
      <c r="B107" s="8"/>
      <c r="C107" s="8"/>
      <c r="G107" s="5"/>
    </row>
    <row r="108" spans="2:7" ht="12.75">
      <c r="B108" s="8"/>
      <c r="C108" s="8"/>
      <c r="G108" s="5"/>
    </row>
    <row r="109" spans="2:7" ht="12.75">
      <c r="B109" s="8"/>
      <c r="C109" s="8"/>
      <c r="G109" s="5"/>
    </row>
    <row r="110" spans="2:7" ht="12.75">
      <c r="B110" s="8"/>
      <c r="C110" s="8"/>
      <c r="G110" s="5"/>
    </row>
    <row r="111" spans="2:7" ht="12.75">
      <c r="B111" s="8"/>
      <c r="C111" s="8"/>
      <c r="G111" s="63"/>
    </row>
    <row r="112" spans="2:7" ht="12.75">
      <c r="B112" s="8"/>
      <c r="C112" s="8"/>
      <c r="G112" s="5"/>
    </row>
    <row r="113" spans="2:7" ht="12.75">
      <c r="B113" s="8"/>
      <c r="C113" s="8"/>
      <c r="G113" s="5"/>
    </row>
    <row r="114" spans="2:7" ht="12.75">
      <c r="B114" s="8"/>
      <c r="C114" s="8"/>
      <c r="G114" s="5"/>
    </row>
    <row r="115" spans="2:7" ht="12.75">
      <c r="B115" s="8"/>
      <c r="C115" s="8"/>
      <c r="G115" s="5"/>
    </row>
    <row r="116" spans="2:7" ht="12.75">
      <c r="B116" s="8"/>
      <c r="C116" s="8"/>
      <c r="G116" s="63"/>
    </row>
    <row r="117" spans="2:7" ht="12.75">
      <c r="B117" s="8"/>
      <c r="C117" s="8"/>
      <c r="G117" s="5"/>
    </row>
    <row r="118" spans="2:7" ht="12.75">
      <c r="B118" s="8"/>
      <c r="C118" s="8"/>
      <c r="G118" s="5"/>
    </row>
    <row r="119" spans="2:7" ht="12.75">
      <c r="B119" s="8"/>
      <c r="C119" s="8"/>
      <c r="G119" s="5"/>
    </row>
    <row r="120" spans="2:7" ht="12.75">
      <c r="B120" s="8"/>
      <c r="C120" s="8"/>
      <c r="G120" s="5"/>
    </row>
    <row r="121" spans="2:7" ht="12.75">
      <c r="B121" s="8"/>
      <c r="C121" s="8"/>
      <c r="G121" s="5"/>
    </row>
    <row r="122" spans="2:7" ht="12.75">
      <c r="B122" s="8"/>
      <c r="C122" s="8"/>
      <c r="G122" s="5"/>
    </row>
    <row r="123" spans="2:7" ht="12.75">
      <c r="B123" s="8"/>
      <c r="C123" s="8"/>
      <c r="G123" s="5"/>
    </row>
    <row r="124" spans="2:7" ht="12.75">
      <c r="B124" s="8"/>
      <c r="C124" s="8"/>
      <c r="G124" s="5"/>
    </row>
    <row r="125" spans="2:7" ht="12.75">
      <c r="B125" s="8"/>
      <c r="C125" s="8"/>
      <c r="G125" s="5"/>
    </row>
    <row r="126" spans="2:7" ht="12.75">
      <c r="B126" s="8"/>
      <c r="C126" s="8"/>
      <c r="G126" s="5"/>
    </row>
    <row r="127" spans="2:7" ht="12.75">
      <c r="B127" s="8"/>
      <c r="C127" s="8"/>
      <c r="G127" s="5"/>
    </row>
    <row r="128" spans="2:7" ht="12.75">
      <c r="B128" s="8"/>
      <c r="C128" s="8"/>
      <c r="G128" s="63"/>
    </row>
    <row r="129" spans="2:7" ht="12.75">
      <c r="B129" s="8"/>
      <c r="C129" s="8"/>
      <c r="G129" s="5"/>
    </row>
    <row r="130" spans="2:7" ht="12.75">
      <c r="B130" s="8"/>
      <c r="C130" s="8"/>
      <c r="G130" s="5"/>
    </row>
    <row r="131" spans="2:7" ht="12.75">
      <c r="B131" s="8"/>
      <c r="C131" s="8"/>
      <c r="G131" s="5"/>
    </row>
    <row r="132" spans="2:7" ht="12.75">
      <c r="B132" s="8"/>
      <c r="C132" s="8"/>
      <c r="G132" s="5"/>
    </row>
    <row r="133" ht="12.75"/>
    <row r="134" spans="2:7" ht="12.75">
      <c r="B134" s="8"/>
      <c r="C134" s="8"/>
      <c r="G134" s="5"/>
    </row>
    <row r="135" spans="2:7" ht="12.75">
      <c r="B135" s="8"/>
      <c r="C135" s="8"/>
      <c r="G135" s="5"/>
    </row>
    <row r="136" spans="2:7" ht="12.75">
      <c r="B136" s="8"/>
      <c r="C136" s="8"/>
      <c r="G136" s="5"/>
    </row>
    <row r="137" spans="2:7" ht="12.75">
      <c r="B137" s="8"/>
      <c r="C137" s="8"/>
      <c r="G137" s="5"/>
    </row>
    <row r="138" spans="2:7" ht="12.75">
      <c r="B138" s="8"/>
      <c r="C138" s="8"/>
      <c r="G138" s="5"/>
    </row>
    <row r="139" spans="2:7" ht="12.75">
      <c r="B139" s="8"/>
      <c r="C139" s="8"/>
      <c r="G139" s="5"/>
    </row>
    <row r="140" spans="2:7" ht="12.75">
      <c r="B140" s="8"/>
      <c r="C140" s="8"/>
      <c r="G140" s="5"/>
    </row>
    <row r="141" spans="2:7" ht="12.75">
      <c r="B141" s="8"/>
      <c r="C141" s="8"/>
      <c r="G141" s="5"/>
    </row>
    <row r="142" spans="2:7" ht="12.75">
      <c r="B142" s="8"/>
      <c r="C142" s="8"/>
      <c r="G142" s="5"/>
    </row>
    <row r="143" spans="2:7" ht="12.75">
      <c r="B143" s="8"/>
      <c r="C143" s="8"/>
      <c r="G143" s="5"/>
    </row>
    <row r="144" spans="2:7" ht="12.75">
      <c r="B144" s="8"/>
      <c r="C144" s="8"/>
      <c r="G144" s="5"/>
    </row>
    <row r="145" spans="2:7" ht="12.75">
      <c r="B145" s="8"/>
      <c r="C145" s="8"/>
      <c r="G145" s="5"/>
    </row>
    <row r="146" spans="2:7" ht="12.75">
      <c r="B146" s="8"/>
      <c r="C146" s="8"/>
      <c r="G146" s="5"/>
    </row>
    <row r="147" spans="2:7" ht="12.75">
      <c r="B147" s="8"/>
      <c r="C147" s="8"/>
      <c r="G147" s="5"/>
    </row>
    <row r="148" spans="2:7" ht="12.75">
      <c r="B148" s="8"/>
      <c r="C148" s="8"/>
      <c r="G148" s="5"/>
    </row>
    <row r="149" spans="2:7" ht="12.75">
      <c r="B149" s="8"/>
      <c r="C149" s="8"/>
      <c r="G149" s="5"/>
    </row>
    <row r="150" spans="2:7" ht="12.75">
      <c r="B150" s="8"/>
      <c r="C150" s="8"/>
      <c r="G150" s="5"/>
    </row>
    <row r="151" spans="2:7" ht="12.75">
      <c r="B151" s="8"/>
      <c r="C151" s="8"/>
      <c r="G151" s="5"/>
    </row>
    <row r="152" spans="2:7" ht="12.75">
      <c r="B152" s="8"/>
      <c r="C152" s="8"/>
      <c r="G152" s="5"/>
    </row>
    <row r="153" spans="2:7" ht="12.75">
      <c r="B153" s="8"/>
      <c r="C153" s="8"/>
      <c r="G153" s="5"/>
    </row>
    <row r="154" spans="2:14" ht="12.75">
      <c r="B154" s="8"/>
      <c r="C154" s="8"/>
      <c r="F154"/>
      <c r="G154" s="5"/>
      <c r="H154" s="23"/>
      <c r="I154" s="24"/>
      <c r="J154" s="23"/>
      <c r="K154" s="23"/>
      <c r="L154" s="23"/>
      <c r="M154" s="23"/>
      <c r="N154" s="23"/>
    </row>
    <row r="155" spans="2:14" ht="12.75">
      <c r="B155" s="8"/>
      <c r="C155" s="8"/>
      <c r="F155"/>
      <c r="G155" s="5"/>
      <c r="H155" s="23"/>
      <c r="I155" s="24"/>
      <c r="J155" s="23"/>
      <c r="K155" s="23"/>
      <c r="L155" s="23"/>
      <c r="M155" s="23"/>
      <c r="N155" s="23"/>
    </row>
    <row r="156" spans="2:7" ht="12.75">
      <c r="B156" s="8"/>
      <c r="C156" s="8"/>
      <c r="G156" s="23"/>
    </row>
    <row r="157" spans="2:14" ht="12.75">
      <c r="B157"/>
      <c r="C157"/>
      <c r="F157"/>
      <c r="G157" s="63"/>
      <c r="H157" s="19"/>
      <c r="I157" s="20"/>
      <c r="J157" s="19"/>
      <c r="K157" s="19"/>
      <c r="L157" s="19"/>
      <c r="M157" s="19"/>
      <c r="N157" s="19"/>
    </row>
    <row r="158" spans="2:14" ht="12.75">
      <c r="B158"/>
      <c r="C158"/>
      <c r="F158"/>
      <c r="G158" s="5"/>
      <c r="H158" s="12"/>
      <c r="I158" s="22"/>
      <c r="J158" s="12"/>
      <c r="K158" s="12"/>
      <c r="L158" s="12"/>
      <c r="M158" s="12"/>
      <c r="N158" s="12"/>
    </row>
    <row r="159" spans="8:14" ht="12.75">
      <c r="H159" s="23"/>
      <c r="I159" s="24"/>
      <c r="J159" s="23"/>
      <c r="K159" s="23"/>
      <c r="L159" s="23"/>
      <c r="M159" s="23"/>
      <c r="N159" s="23"/>
    </row>
    <row r="160" spans="2:14" ht="12.75">
      <c r="B160" s="8"/>
      <c r="C160" s="8"/>
      <c r="G160" s="23"/>
      <c r="H160" s="23"/>
      <c r="I160" s="24"/>
      <c r="J160" s="23"/>
      <c r="K160" s="23"/>
      <c r="L160" s="23"/>
      <c r="M160" s="23"/>
      <c r="N160" s="23"/>
    </row>
    <row r="161" spans="2:14" ht="12.75">
      <c r="B161" s="21"/>
      <c r="C161" s="21"/>
      <c r="G161" s="19"/>
      <c r="H161" s="19"/>
      <c r="I161" s="20"/>
      <c r="J161" s="19"/>
      <c r="K161" s="19"/>
      <c r="L161" s="19"/>
      <c r="M161" s="19"/>
      <c r="N161" s="19"/>
    </row>
    <row r="162" spans="2:14" ht="12.75">
      <c r="B162" s="8"/>
      <c r="C162" s="8"/>
      <c r="D162" s="12"/>
      <c r="E162" s="12"/>
      <c r="F162" s="12"/>
      <c r="G162" s="12"/>
      <c r="H162" s="12"/>
      <c r="I162" s="22"/>
      <c r="J162" s="12"/>
      <c r="K162" s="12"/>
      <c r="L162" s="12"/>
      <c r="M162" s="12"/>
      <c r="N162" s="12"/>
    </row>
    <row r="163" spans="2:15" ht="12.75">
      <c r="B163" s="8"/>
      <c r="C163" s="8"/>
      <c r="D163" s="12"/>
      <c r="E163" s="12"/>
      <c r="F163"/>
      <c r="G163"/>
      <c r="H163"/>
      <c r="I163"/>
      <c r="J163"/>
      <c r="K163"/>
      <c r="L163"/>
      <c r="M163"/>
      <c r="N163"/>
      <c r="O163" s="58"/>
    </row>
    <row r="164" spans="2:15" ht="12.75">
      <c r="B164" s="8"/>
      <c r="C164" s="8"/>
      <c r="D164" s="12"/>
      <c r="E164" s="12"/>
      <c r="F164"/>
      <c r="G164"/>
      <c r="H164"/>
      <c r="I164"/>
      <c r="J164"/>
      <c r="K164"/>
      <c r="L164"/>
      <c r="M164"/>
      <c r="N164"/>
      <c r="O164" s="58"/>
    </row>
    <row r="165" spans="2:14" ht="12.75">
      <c r="B165" s="8"/>
      <c r="C165" s="8"/>
      <c r="D165" s="12"/>
      <c r="E165" s="12"/>
      <c r="F165"/>
      <c r="G165"/>
      <c r="H165"/>
      <c r="I165"/>
      <c r="J165"/>
      <c r="K165"/>
      <c r="L165"/>
      <c r="M165"/>
      <c r="N165"/>
    </row>
    <row r="166" spans="2:15" ht="12.75">
      <c r="B166" s="8"/>
      <c r="C166" s="8"/>
      <c r="F166"/>
      <c r="G166"/>
      <c r="H166"/>
      <c r="I166"/>
      <c r="J166"/>
      <c r="K166"/>
      <c r="L166"/>
      <c r="M166"/>
      <c r="N166"/>
      <c r="O166" s="56"/>
    </row>
    <row r="167" spans="2:15" ht="12.75">
      <c r="B167" s="8"/>
      <c r="C167" s="8"/>
      <c r="F167"/>
      <c r="G167"/>
      <c r="H167"/>
      <c r="I167"/>
      <c r="J167"/>
      <c r="K167"/>
      <c r="L167"/>
      <c r="M167"/>
      <c r="N167"/>
      <c r="O167" s="56"/>
    </row>
    <row r="168" spans="2:15" ht="12.75">
      <c r="B168" s="8"/>
      <c r="C168" s="8"/>
      <c r="F168"/>
      <c r="G168"/>
      <c r="H168"/>
      <c r="I168"/>
      <c r="J168"/>
      <c r="K168"/>
      <c r="L168"/>
      <c r="M168"/>
      <c r="N168"/>
      <c r="O168" s="5"/>
    </row>
    <row r="169" spans="2:15" ht="12.75">
      <c r="B169" s="8"/>
      <c r="C169" s="8"/>
      <c r="F169"/>
      <c r="G169"/>
      <c r="H169"/>
      <c r="I169"/>
      <c r="J169"/>
      <c r="K169"/>
      <c r="L169"/>
      <c r="M169"/>
      <c r="N169"/>
      <c r="O169" s="5"/>
    </row>
    <row r="170" spans="2:15" ht="12.75">
      <c r="B170" s="8"/>
      <c r="C170" s="8"/>
      <c r="F170"/>
      <c r="G170"/>
      <c r="H170"/>
      <c r="I170"/>
      <c r="J170"/>
      <c r="K170"/>
      <c r="L170"/>
      <c r="M170"/>
      <c r="N170"/>
      <c r="O170" s="5"/>
    </row>
    <row r="171" spans="2:15" ht="12.75">
      <c r="B171" s="8"/>
      <c r="C171" s="8"/>
      <c r="F171"/>
      <c r="G171" s="63"/>
      <c r="H171" s="63"/>
      <c r="I171" s="63"/>
      <c r="J171" s="63"/>
      <c r="K171" s="63"/>
      <c r="L171" s="63"/>
      <c r="M171" s="63"/>
      <c r="N171"/>
      <c r="O171" s="5"/>
    </row>
    <row r="172" spans="2:15" ht="12.75">
      <c r="B172" s="8"/>
      <c r="C172" s="8"/>
      <c r="F172"/>
      <c r="G172"/>
      <c r="H172"/>
      <c r="I172"/>
      <c r="J172"/>
      <c r="K172"/>
      <c r="L172"/>
      <c r="M172"/>
      <c r="N172"/>
      <c r="O172" s="5"/>
    </row>
    <row r="173" spans="2:15" ht="12.75">
      <c r="B173" s="8"/>
      <c r="C173" s="8"/>
      <c r="F173"/>
      <c r="G173" s="63"/>
      <c r="H173" s="63"/>
      <c r="I173" s="63"/>
      <c r="J173" s="63"/>
      <c r="K173" s="63"/>
      <c r="L173" s="63"/>
      <c r="M173" s="63"/>
      <c r="N173"/>
      <c r="O173" s="5"/>
    </row>
    <row r="174" spans="2:15" ht="12.75">
      <c r="B174" s="8"/>
      <c r="C174" s="8"/>
      <c r="F174"/>
      <c r="G174"/>
      <c r="H174"/>
      <c r="I174"/>
      <c r="J174"/>
      <c r="K174"/>
      <c r="L174"/>
      <c r="M174"/>
      <c r="N174"/>
      <c r="O174" s="5"/>
    </row>
    <row r="175" spans="2:15" ht="12.75">
      <c r="B175" s="8"/>
      <c r="C175" s="8"/>
      <c r="G175" s="23"/>
      <c r="H175" s="23"/>
      <c r="I175" s="24"/>
      <c r="J175" s="23"/>
      <c r="K175" s="23"/>
      <c r="L175" s="23"/>
      <c r="M175" s="23"/>
      <c r="O175" s="57"/>
    </row>
    <row r="176" spans="2:15" ht="12.75">
      <c r="B176" s="8"/>
      <c r="C176" s="8"/>
      <c r="G176" s="23"/>
      <c r="H176" s="23"/>
      <c r="I176" s="24"/>
      <c r="J176" s="23"/>
      <c r="K176" s="23"/>
      <c r="L176" s="23"/>
      <c r="M176" s="23"/>
      <c r="O176" s="65"/>
    </row>
    <row r="177" spans="2:15" ht="12.75">
      <c r="B177" s="8"/>
      <c r="C177" s="8"/>
      <c r="G177" s="60"/>
      <c r="H177" s="8"/>
      <c r="I177" s="60"/>
      <c r="J177" s="8"/>
      <c r="K177" s="60"/>
      <c r="L177" s="60"/>
      <c r="M177" s="60"/>
      <c r="N177" s="8"/>
      <c r="O177" s="25"/>
    </row>
    <row r="178" spans="2:15" ht="12.75">
      <c r="B178" s="8"/>
      <c r="C178" s="8"/>
      <c r="G178" s="66"/>
      <c r="H178" s="8"/>
      <c r="I178" s="66"/>
      <c r="J178" s="8"/>
      <c r="K178" s="66"/>
      <c r="L178" s="66"/>
      <c r="M178" s="66"/>
      <c r="N178" s="8"/>
      <c r="O178" s="68"/>
    </row>
    <row r="179" spans="2:15" ht="12.75">
      <c r="B179" s="8"/>
      <c r="C179" s="8"/>
      <c r="F179"/>
      <c r="G179"/>
      <c r="H179"/>
      <c r="I179"/>
      <c r="J179"/>
      <c r="K179"/>
      <c r="L179"/>
      <c r="M179"/>
      <c r="N179"/>
      <c r="O179" s="5"/>
    </row>
    <row r="180" spans="2:15" ht="12.75">
      <c r="B180" s="8"/>
      <c r="C180" s="8"/>
      <c r="G180"/>
      <c r="H180" s="8"/>
      <c r="I180"/>
      <c r="J180" s="8"/>
      <c r="K180"/>
      <c r="L180"/>
      <c r="M180"/>
      <c r="N180"/>
      <c r="O180" s="5"/>
    </row>
    <row r="181" spans="2:15" ht="12.75">
      <c r="B181" s="8"/>
      <c r="C181" s="8"/>
      <c r="G181"/>
      <c r="H181"/>
      <c r="I181"/>
      <c r="J181"/>
      <c r="K181"/>
      <c r="L181"/>
      <c r="M181"/>
      <c r="N181"/>
      <c r="O181" s="5"/>
    </row>
    <row r="182" spans="2:15" ht="12.75">
      <c r="B182" s="8"/>
      <c r="C182" s="8"/>
      <c r="F182"/>
      <c r="G182"/>
      <c r="H182"/>
      <c r="I182"/>
      <c r="J182"/>
      <c r="K182"/>
      <c r="L182"/>
      <c r="M182"/>
      <c r="N182"/>
      <c r="O182" s="5"/>
    </row>
    <row r="183" spans="2:15" ht="12.75">
      <c r="B183" s="8"/>
      <c r="C183" s="8"/>
      <c r="G183"/>
      <c r="H183"/>
      <c r="I183"/>
      <c r="J183"/>
      <c r="K183"/>
      <c r="L183"/>
      <c r="M183"/>
      <c r="N183"/>
      <c r="O183" s="5"/>
    </row>
    <row r="184" spans="2:15" ht="12.75">
      <c r="B184" s="8"/>
      <c r="C184" s="8"/>
      <c r="F184"/>
      <c r="G184"/>
      <c r="H184"/>
      <c r="I184"/>
      <c r="J184"/>
      <c r="K184"/>
      <c r="L184"/>
      <c r="M184"/>
      <c r="N184"/>
      <c r="O184" s="5"/>
    </row>
    <row r="185" spans="2:15" ht="12.75">
      <c r="B185" s="8"/>
      <c r="C185" s="8"/>
      <c r="F185"/>
      <c r="G185"/>
      <c r="H185"/>
      <c r="I185"/>
      <c r="J185"/>
      <c r="K185"/>
      <c r="L185"/>
      <c r="M185"/>
      <c r="N185"/>
      <c r="O185" s="5"/>
    </row>
    <row r="186" spans="2:15" ht="12.75">
      <c r="B186" s="8"/>
      <c r="C186" s="8"/>
      <c r="G186"/>
      <c r="H186" s="8"/>
      <c r="I186"/>
      <c r="J186" s="8"/>
      <c r="K186"/>
      <c r="L186"/>
      <c r="M186"/>
      <c r="N186"/>
      <c r="O186" s="5"/>
    </row>
    <row r="187" spans="2:15" ht="12.75">
      <c r="B187" s="8"/>
      <c r="C187" s="8"/>
      <c r="G187"/>
      <c r="H187" s="8"/>
      <c r="I187"/>
      <c r="J187" s="8"/>
      <c r="K187"/>
      <c r="L187"/>
      <c r="M187"/>
      <c r="N187"/>
      <c r="O187" s="5"/>
    </row>
    <row r="188" spans="2:15" ht="12.75">
      <c r="B188" s="8"/>
      <c r="C188" s="8"/>
      <c r="F188"/>
      <c r="G188"/>
      <c r="H188"/>
      <c r="I188"/>
      <c r="J188"/>
      <c r="K188"/>
      <c r="L188"/>
      <c r="M188"/>
      <c r="N188"/>
      <c r="O188" s="5"/>
    </row>
    <row r="189" spans="2:15" ht="12.75">
      <c r="B189" s="8"/>
      <c r="C189" s="8"/>
      <c r="G189"/>
      <c r="H189" s="8"/>
      <c r="I189"/>
      <c r="J189" s="8"/>
      <c r="K189"/>
      <c r="L189"/>
      <c r="M189"/>
      <c r="N189"/>
      <c r="O189" s="5"/>
    </row>
    <row r="190" spans="2:15" ht="12.75">
      <c r="B190" s="8"/>
      <c r="C190" s="8"/>
      <c r="F190"/>
      <c r="G190"/>
      <c r="H190" s="8"/>
      <c r="I190"/>
      <c r="J190"/>
      <c r="K190"/>
      <c r="L190"/>
      <c r="M190"/>
      <c r="N190"/>
      <c r="O190" s="5"/>
    </row>
    <row r="191" spans="2:15" ht="12.75">
      <c r="B191" s="8"/>
      <c r="C191" s="8"/>
      <c r="G191"/>
      <c r="H191"/>
      <c r="I191"/>
      <c r="J191"/>
      <c r="K191"/>
      <c r="L191"/>
      <c r="M191"/>
      <c r="N191"/>
      <c r="O191" s="5"/>
    </row>
    <row r="192" spans="2:15" ht="12.75">
      <c r="B192" s="8"/>
      <c r="C192" s="8"/>
      <c r="F192"/>
      <c r="G192"/>
      <c r="H192"/>
      <c r="I192"/>
      <c r="J192"/>
      <c r="K192"/>
      <c r="L192"/>
      <c r="M192"/>
      <c r="N192"/>
      <c r="O192" s="5"/>
    </row>
    <row r="193" spans="2:15" ht="12.75">
      <c r="B193" s="8"/>
      <c r="C193" s="8"/>
      <c r="G193"/>
      <c r="H193" s="8"/>
      <c r="I193"/>
      <c r="J193" s="8"/>
      <c r="K193"/>
      <c r="L193"/>
      <c r="M193"/>
      <c r="N193"/>
      <c r="O193" s="5"/>
    </row>
    <row r="194" spans="2:15" ht="12.75">
      <c r="B194" s="8"/>
      <c r="C194" s="8"/>
      <c r="F194"/>
      <c r="G194"/>
      <c r="H194"/>
      <c r="I194" s="67"/>
      <c r="J194"/>
      <c r="K194"/>
      <c r="L194"/>
      <c r="M194"/>
      <c r="N194"/>
      <c r="O194" s="5"/>
    </row>
    <row r="195" spans="2:15" ht="12.75">
      <c r="B195" s="8"/>
      <c r="C195" s="8"/>
      <c r="F195"/>
      <c r="G195"/>
      <c r="H195"/>
      <c r="I195"/>
      <c r="J195"/>
      <c r="K195"/>
      <c r="L195"/>
      <c r="M195"/>
      <c r="N195"/>
      <c r="O195" s="5"/>
    </row>
    <row r="196" spans="2:15" ht="12.75">
      <c r="B196" s="8"/>
      <c r="C196" s="8"/>
      <c r="G196"/>
      <c r="H196" s="8"/>
      <c r="I196"/>
      <c r="J196" s="8"/>
      <c r="K196"/>
      <c r="L196"/>
      <c r="M196"/>
      <c r="N196"/>
      <c r="O196" s="5"/>
    </row>
    <row r="197" spans="2:15" ht="12.75">
      <c r="B197" s="8"/>
      <c r="C197" s="8"/>
      <c r="F197"/>
      <c r="G197"/>
      <c r="H197"/>
      <c r="I197"/>
      <c r="J197"/>
      <c r="K197"/>
      <c r="L197"/>
      <c r="M197"/>
      <c r="N197"/>
      <c r="O197" s="5"/>
    </row>
    <row r="198" spans="2:15" ht="12.75">
      <c r="B198" s="8"/>
      <c r="C198" s="8"/>
      <c r="F198"/>
      <c r="G198"/>
      <c r="H198"/>
      <c r="I198"/>
      <c r="J198"/>
      <c r="K198"/>
      <c r="L198"/>
      <c r="M198"/>
      <c r="N198"/>
      <c r="O198" s="5"/>
    </row>
    <row r="199" spans="2:15" ht="12.75">
      <c r="B199" s="8"/>
      <c r="C199" s="8"/>
      <c r="G199"/>
      <c r="H199" s="8"/>
      <c r="I199"/>
      <c r="J199" s="8"/>
      <c r="K199"/>
      <c r="L199"/>
      <c r="M199"/>
      <c r="N199"/>
      <c r="O199" s="5"/>
    </row>
    <row r="200" spans="2:15" ht="12.75">
      <c r="B200" s="8"/>
      <c r="C200" s="8"/>
      <c r="F200"/>
      <c r="G200"/>
      <c r="H200"/>
      <c r="I200"/>
      <c r="J200"/>
      <c r="K200"/>
      <c r="L200"/>
      <c r="M200"/>
      <c r="N200"/>
      <c r="O200" s="5"/>
    </row>
    <row r="201" spans="2:15" ht="12.75">
      <c r="B201" s="8"/>
      <c r="C201" s="8"/>
      <c r="F201"/>
      <c r="G201"/>
      <c r="H201"/>
      <c r="I201"/>
      <c r="J201"/>
      <c r="K201"/>
      <c r="L201"/>
      <c r="M201"/>
      <c r="N201"/>
      <c r="O201" s="5"/>
    </row>
    <row r="202" spans="2:15" ht="12.75">
      <c r="B202" s="8"/>
      <c r="C202" s="8"/>
      <c r="F202"/>
      <c r="G202"/>
      <c r="H202"/>
      <c r="I202"/>
      <c r="J202"/>
      <c r="K202"/>
      <c r="L202"/>
      <c r="M202"/>
      <c r="N202"/>
      <c r="O202"/>
    </row>
    <row r="203" spans="2:15" ht="12.75">
      <c r="B203" s="8"/>
      <c r="C203" s="8"/>
      <c r="F203"/>
      <c r="G203"/>
      <c r="H203"/>
      <c r="I203"/>
      <c r="J203"/>
      <c r="K203"/>
      <c r="L203"/>
      <c r="M203"/>
      <c r="N203"/>
      <c r="O203"/>
    </row>
    <row r="204" spans="2:15" ht="12.75">
      <c r="B204" s="8"/>
      <c r="C204" s="8"/>
      <c r="F204"/>
      <c r="G204"/>
      <c r="H204"/>
      <c r="I204"/>
      <c r="J204"/>
      <c r="K204"/>
      <c r="L204"/>
      <c r="M204"/>
      <c r="N204"/>
      <c r="O204" s="5"/>
    </row>
    <row r="205" spans="2:15" ht="12.75">
      <c r="B205" s="8"/>
      <c r="C205" s="8"/>
      <c r="F205"/>
      <c r="G205"/>
      <c r="H205"/>
      <c r="I205"/>
      <c r="J205"/>
      <c r="K205"/>
      <c r="L205"/>
      <c r="M205"/>
      <c r="N205"/>
      <c r="O205" s="5"/>
    </row>
    <row r="206" spans="2:15" ht="12.75">
      <c r="B206" s="8"/>
      <c r="C206" s="8"/>
      <c r="F206"/>
      <c r="G206"/>
      <c r="H206"/>
      <c r="I206"/>
      <c r="J206"/>
      <c r="K206"/>
      <c r="L206"/>
      <c r="M206"/>
      <c r="N206"/>
      <c r="O206" s="5"/>
    </row>
    <row r="207" spans="2:15" ht="12.75">
      <c r="B207" s="8"/>
      <c r="C207" s="8"/>
      <c r="F207"/>
      <c r="G207"/>
      <c r="H207"/>
      <c r="I207"/>
      <c r="J207"/>
      <c r="K207"/>
      <c r="L207"/>
      <c r="M207"/>
      <c r="N207"/>
      <c r="O207" s="5"/>
    </row>
    <row r="208" spans="2:15" ht="12.75">
      <c r="B208" s="8"/>
      <c r="C208" s="8"/>
      <c r="F208"/>
      <c r="G208"/>
      <c r="H208"/>
      <c r="I208"/>
      <c r="J208"/>
      <c r="K208"/>
      <c r="L208"/>
      <c r="M208"/>
      <c r="N208"/>
      <c r="O208"/>
    </row>
    <row r="209" spans="2:15" ht="12.75">
      <c r="B209" s="8"/>
      <c r="C209" s="8"/>
      <c r="F209"/>
      <c r="G209"/>
      <c r="H209"/>
      <c r="I209"/>
      <c r="J209"/>
      <c r="K209"/>
      <c r="L209"/>
      <c r="M209"/>
      <c r="N209"/>
      <c r="O209"/>
    </row>
    <row r="210" spans="2:15" ht="12.75">
      <c r="B210" s="8"/>
      <c r="C210" s="8"/>
      <c r="F210"/>
      <c r="G210"/>
      <c r="H210"/>
      <c r="I210"/>
      <c r="J210"/>
      <c r="K210"/>
      <c r="L210"/>
      <c r="M210"/>
      <c r="N210"/>
      <c r="O210" s="5"/>
    </row>
    <row r="211" spans="2:15" ht="12.75">
      <c r="B211" s="8"/>
      <c r="C211" s="8"/>
      <c r="F211"/>
      <c r="G211"/>
      <c r="H211"/>
      <c r="I211"/>
      <c r="J211"/>
      <c r="K211"/>
      <c r="L211"/>
      <c r="M211"/>
      <c r="N211"/>
      <c r="O211" s="5"/>
    </row>
    <row r="212" spans="2:15" ht="12.75">
      <c r="B212" s="8"/>
      <c r="C212" s="8"/>
      <c r="F212"/>
      <c r="G212"/>
      <c r="H212"/>
      <c r="I212"/>
      <c r="J212"/>
      <c r="K212"/>
      <c r="L212"/>
      <c r="M212"/>
      <c r="N212"/>
      <c r="O212" s="5"/>
    </row>
    <row r="213" spans="2:15" ht="12.75">
      <c r="B213" s="8"/>
      <c r="C213" s="8"/>
      <c r="F213"/>
      <c r="G213"/>
      <c r="H213"/>
      <c r="I213"/>
      <c r="J213"/>
      <c r="K213"/>
      <c r="L213"/>
      <c r="M213"/>
      <c r="N213"/>
      <c r="O213" s="5"/>
    </row>
    <row r="214" spans="2:15" ht="12.75">
      <c r="B214" s="8"/>
      <c r="C214" s="8"/>
      <c r="F214"/>
      <c r="G214"/>
      <c r="H214"/>
      <c r="I214"/>
      <c r="J214"/>
      <c r="K214"/>
      <c r="L214"/>
      <c r="M214"/>
      <c r="N214"/>
      <c r="O214"/>
    </row>
    <row r="215" spans="2:15" ht="12.75">
      <c r="B215" s="8"/>
      <c r="C215" s="8"/>
      <c r="G215" s="5"/>
      <c r="H215" s="8"/>
      <c r="I215" s="5"/>
      <c r="J215" s="8"/>
      <c r="K215" s="5"/>
      <c r="L215" s="5"/>
      <c r="M215" s="5"/>
      <c r="N215"/>
      <c r="O215" s="5"/>
    </row>
    <row r="216" spans="2:15" ht="12.75">
      <c r="B216" s="8"/>
      <c r="C216" s="8"/>
      <c r="G216" s="5"/>
      <c r="H216"/>
      <c r="I216" s="5"/>
      <c r="J216"/>
      <c r="K216" s="5"/>
      <c r="L216" s="5"/>
      <c r="M216" s="5"/>
      <c r="N216"/>
      <c r="O216" s="5"/>
    </row>
    <row r="217" spans="2:15" ht="12.75">
      <c r="B217" s="8"/>
      <c r="C217" s="8"/>
      <c r="F217"/>
      <c r="G217" s="5"/>
      <c r="H217"/>
      <c r="I217" s="5"/>
      <c r="J217"/>
      <c r="K217" s="5"/>
      <c r="L217" s="5"/>
      <c r="M217" s="5"/>
      <c r="N217"/>
      <c r="O217" s="5"/>
    </row>
    <row r="218" spans="2:15" ht="12.75">
      <c r="B218" s="8"/>
      <c r="C218" s="8"/>
      <c r="G218" s="5"/>
      <c r="H218"/>
      <c r="I218" s="5"/>
      <c r="J218"/>
      <c r="K218" s="5"/>
      <c r="L218" s="5"/>
      <c r="M218" s="5"/>
      <c r="N218"/>
      <c r="O218" s="5"/>
    </row>
    <row r="219" spans="2:15" ht="12.75">
      <c r="B219" s="8"/>
      <c r="C219" s="8"/>
      <c r="F219"/>
      <c r="G219" s="5"/>
      <c r="H219"/>
      <c r="I219" s="5"/>
      <c r="J219"/>
      <c r="K219" s="5"/>
      <c r="L219" s="5"/>
      <c r="M219" s="5"/>
      <c r="N219"/>
      <c r="O219" s="5"/>
    </row>
    <row r="220" spans="2:15" ht="12.75">
      <c r="B220" s="8"/>
      <c r="C220" s="8"/>
      <c r="F220"/>
      <c r="G220" s="5"/>
      <c r="H220"/>
      <c r="I220" s="5"/>
      <c r="J220"/>
      <c r="K220" s="5"/>
      <c r="L220" s="5"/>
      <c r="M220" s="5"/>
      <c r="N220"/>
      <c r="O220" s="5"/>
    </row>
    <row r="221" spans="2:15" ht="12.75">
      <c r="B221" s="8"/>
      <c r="C221" s="8"/>
      <c r="G221" s="5"/>
      <c r="H221" s="8"/>
      <c r="I221" s="5"/>
      <c r="J221" s="8"/>
      <c r="K221" s="5"/>
      <c r="L221" s="5"/>
      <c r="M221" s="5"/>
      <c r="N221"/>
      <c r="O221" s="5"/>
    </row>
    <row r="222" spans="2:15" ht="12.75">
      <c r="B222" s="8"/>
      <c r="C222" s="8"/>
      <c r="G222" s="5"/>
      <c r="H222" s="8"/>
      <c r="I222" s="5"/>
      <c r="J222" s="8"/>
      <c r="K222" s="5"/>
      <c r="L222" s="5"/>
      <c r="M222" s="5"/>
      <c r="N222"/>
      <c r="O222" s="5"/>
    </row>
    <row r="223" spans="2:15" ht="12.75">
      <c r="B223" s="8"/>
      <c r="C223" s="8"/>
      <c r="F223"/>
      <c r="G223" s="5"/>
      <c r="H223"/>
      <c r="I223" s="5"/>
      <c r="J223"/>
      <c r="K223" s="5"/>
      <c r="L223" s="5"/>
      <c r="M223" s="5"/>
      <c r="N223"/>
      <c r="O223" s="5"/>
    </row>
    <row r="224" spans="2:15" ht="12.75">
      <c r="B224" s="8"/>
      <c r="C224" s="8"/>
      <c r="G224" s="5"/>
      <c r="H224" s="8"/>
      <c r="I224" s="5"/>
      <c r="J224" s="8"/>
      <c r="K224" s="5"/>
      <c r="L224" s="5"/>
      <c r="M224" s="5"/>
      <c r="N224"/>
      <c r="O224" s="5"/>
    </row>
    <row r="225" spans="2:15" ht="12.75">
      <c r="B225" s="8"/>
      <c r="C225" s="8"/>
      <c r="F225"/>
      <c r="G225" s="5"/>
      <c r="H225" s="8"/>
      <c r="I225" s="5"/>
      <c r="J225"/>
      <c r="K225" s="5"/>
      <c r="L225" s="5"/>
      <c r="M225" s="5"/>
      <c r="N225"/>
      <c r="O225" s="5"/>
    </row>
    <row r="226" spans="2:15" ht="12.75">
      <c r="B226" s="8"/>
      <c r="C226" s="8"/>
      <c r="G226" s="5"/>
      <c r="H226"/>
      <c r="I226" s="5"/>
      <c r="J226"/>
      <c r="K226" s="5"/>
      <c r="L226" s="5"/>
      <c r="M226" s="5"/>
      <c r="N226"/>
      <c r="O226" s="5"/>
    </row>
    <row r="227" spans="2:15" ht="12.75">
      <c r="B227" s="8"/>
      <c r="C227" s="8"/>
      <c r="F227"/>
      <c r="G227" s="5"/>
      <c r="H227"/>
      <c r="I227" s="5"/>
      <c r="J227"/>
      <c r="K227" s="5"/>
      <c r="L227" s="5"/>
      <c r="M227" s="5"/>
      <c r="N227"/>
      <c r="O227" s="5"/>
    </row>
    <row r="228" spans="2:15" ht="12.75">
      <c r="B228" s="8"/>
      <c r="C228" s="8"/>
      <c r="G228" s="5"/>
      <c r="H228" s="8"/>
      <c r="I228" s="5"/>
      <c r="J228" s="8"/>
      <c r="K228" s="5"/>
      <c r="L228" s="5"/>
      <c r="M228" s="5"/>
      <c r="N228"/>
      <c r="O228" s="5"/>
    </row>
    <row r="229" spans="2:15" ht="12.75">
      <c r="B229" s="8"/>
      <c r="C229" s="8"/>
      <c r="F229"/>
      <c r="G229" s="5"/>
      <c r="H229"/>
      <c r="I229" s="5"/>
      <c r="J229"/>
      <c r="K229" s="5"/>
      <c r="L229" s="5"/>
      <c r="M229" s="5"/>
      <c r="N229"/>
      <c r="O229" s="5"/>
    </row>
    <row r="230" spans="2:15" ht="12.75">
      <c r="B230" s="8"/>
      <c r="C230" s="8"/>
      <c r="F230"/>
      <c r="G230" s="5"/>
      <c r="H230"/>
      <c r="I230" s="5"/>
      <c r="J230"/>
      <c r="K230" s="5"/>
      <c r="L230" s="5"/>
      <c r="M230" s="5"/>
      <c r="N230"/>
      <c r="O230" s="5"/>
    </row>
    <row r="231" spans="2:15" ht="12.75">
      <c r="B231" s="8"/>
      <c r="C231" s="8"/>
      <c r="G231" s="5"/>
      <c r="H231" s="8"/>
      <c r="I231" s="5"/>
      <c r="J231" s="8"/>
      <c r="K231" s="5"/>
      <c r="L231" s="5"/>
      <c r="M231" s="5"/>
      <c r="N231"/>
      <c r="O231" s="5"/>
    </row>
    <row r="232" spans="2:15" ht="12.75">
      <c r="B232" s="8"/>
      <c r="C232" s="8"/>
      <c r="F232"/>
      <c r="G232" s="5"/>
      <c r="H232"/>
      <c r="I232" s="5"/>
      <c r="J232"/>
      <c r="K232" s="5"/>
      <c r="L232" s="5"/>
      <c r="M232" s="5"/>
      <c r="N232"/>
      <c r="O232" s="5"/>
    </row>
    <row r="233" spans="2:15" ht="12.75">
      <c r="B233" s="8"/>
      <c r="C233" s="8"/>
      <c r="F233"/>
      <c r="G233" s="5"/>
      <c r="H233"/>
      <c r="I233" s="5"/>
      <c r="J233"/>
      <c r="K233" s="5"/>
      <c r="L233" s="5"/>
      <c r="M233" s="5"/>
      <c r="N233"/>
      <c r="O233" s="5"/>
    </row>
    <row r="234" spans="2:15" ht="12.75">
      <c r="B234" s="8"/>
      <c r="C234" s="8"/>
      <c r="G234" s="5"/>
      <c r="H234" s="8"/>
      <c r="I234" s="5"/>
      <c r="J234" s="8"/>
      <c r="K234" s="5"/>
      <c r="L234" s="5"/>
      <c r="M234" s="5"/>
      <c r="N234"/>
      <c r="O234" s="5"/>
    </row>
    <row r="235" spans="2:15" ht="12.75">
      <c r="B235" s="8"/>
      <c r="C235" s="8"/>
      <c r="F235"/>
      <c r="G235" s="5"/>
      <c r="H235"/>
      <c r="I235" s="5"/>
      <c r="J235"/>
      <c r="K235" s="5"/>
      <c r="L235" s="5"/>
      <c r="M235" s="5"/>
      <c r="N235"/>
      <c r="O235" s="5"/>
    </row>
    <row r="236" spans="2:15" ht="12.75">
      <c r="B236" s="8"/>
      <c r="C236" s="8"/>
      <c r="F236"/>
      <c r="G236" s="5"/>
      <c r="H236"/>
      <c r="I236" s="5"/>
      <c r="J236"/>
      <c r="K236" s="5"/>
      <c r="L236" s="5"/>
      <c r="M236" s="5"/>
      <c r="N236"/>
      <c r="O236" s="5"/>
    </row>
    <row r="237" spans="2:15" ht="12.75">
      <c r="B237" s="8"/>
      <c r="C237" s="8"/>
      <c r="F237"/>
      <c r="G237"/>
      <c r="H237"/>
      <c r="I237"/>
      <c r="J237"/>
      <c r="K237"/>
      <c r="L237"/>
      <c r="M237"/>
      <c r="N237"/>
      <c r="O237"/>
    </row>
    <row r="238" spans="2:15" ht="12.75">
      <c r="B238"/>
      <c r="C238"/>
      <c r="F238"/>
      <c r="G238" s="63"/>
      <c r="H238" s="63"/>
      <c r="I238" s="63"/>
      <c r="J238" s="63"/>
      <c r="K238" s="63"/>
      <c r="L238" s="63"/>
      <c r="M238" s="63"/>
      <c r="N238" s="5"/>
      <c r="O238" s="5"/>
    </row>
    <row r="239" spans="2:15" ht="12.75">
      <c r="B239"/>
      <c r="C239"/>
      <c r="F239"/>
      <c r="G239" s="5"/>
      <c r="H239" s="5"/>
      <c r="I239" s="5"/>
      <c r="J239" s="5"/>
      <c r="K239" s="5"/>
      <c r="L239" s="5"/>
      <c r="M239" s="5"/>
      <c r="N239" s="5"/>
      <c r="O239" s="5"/>
    </row>
    <row r="240" spans="2:15" ht="12.75">
      <c r="B240"/>
      <c r="C240"/>
      <c r="D240"/>
      <c r="E240"/>
      <c r="F240"/>
      <c r="G240"/>
      <c r="H240"/>
      <c r="I240"/>
      <c r="J240"/>
      <c r="K240"/>
      <c r="L240"/>
      <c r="M240"/>
      <c r="N240"/>
      <c r="O240"/>
    </row>
  </sheetData>
  <printOptions headings="1" horizontalCentered="1"/>
  <pageMargins left="0.25" right="0.25" top="0.5" bottom="0.5" header="0.25" footer="0.25"/>
  <pageSetup horizontalDpi="600" verticalDpi="600" orientation="portrait" pageOrder="overThenDown" scale="80" r:id="rId1"/>
  <headerFooter alignWithMargins="0">
    <oddFooter>&amp;C&amp;P, &amp;A, &amp;F</oddFooter>
  </headerFooter>
</worksheet>
</file>

<file path=xl/worksheets/sheet5.xml><?xml version="1.0" encoding="utf-8"?>
<worksheet xmlns="http://schemas.openxmlformats.org/spreadsheetml/2006/main" xmlns:r="http://schemas.openxmlformats.org/officeDocument/2006/relationships">
  <dimension ref="A1:BK51"/>
  <sheetViews>
    <sheetView workbookViewId="0" topLeftCell="B25">
      <selection activeCell="B12" sqref="B12"/>
    </sheetView>
  </sheetViews>
  <sheetFormatPr defaultColWidth="9.140625" defaultRowHeight="12.75"/>
  <cols>
    <col min="1" max="1" width="7.57421875" style="0" hidden="1" customWidth="1"/>
    <col min="2" max="2" width="16.00390625" style="0" customWidth="1"/>
    <col min="3" max="3" width="9.421875" style="0" customWidth="1"/>
    <col min="5" max="5" width="3.8515625" style="0" customWidth="1"/>
    <col min="6" max="6" width="3.421875" style="0" customWidth="1"/>
    <col min="8" max="8" width="3.140625" style="0" customWidth="1"/>
    <col min="10" max="10" width="3.140625" style="0" customWidth="1"/>
    <col min="12" max="12" width="3.421875" style="0" customWidth="1"/>
    <col min="14" max="14" width="2.421875" style="0" customWidth="1"/>
    <col min="16" max="16" width="2.8515625" style="0" hidden="1" customWidth="1"/>
    <col min="17" max="21" width="0" style="0" hidden="1" customWidth="1"/>
    <col min="22" max="23" width="9.140625" style="0" hidden="1" customWidth="1"/>
    <col min="24" max="24" width="0" style="0" hidden="1" customWidth="1"/>
  </cols>
  <sheetData>
    <row r="1" ht="12.75">
      <c r="B1" s="6" t="s">
        <v>226</v>
      </c>
    </row>
    <row r="2" ht="12.75">
      <c r="B2" s="6"/>
    </row>
    <row r="3" ht="12.75">
      <c r="B3" s="6"/>
    </row>
    <row r="4" spans="2:15" ht="12.75">
      <c r="B4" s="6" t="s">
        <v>164</v>
      </c>
      <c r="G4" s="51" t="s">
        <v>170</v>
      </c>
      <c r="H4" s="51"/>
      <c r="I4" s="51" t="s">
        <v>171</v>
      </c>
      <c r="J4" s="51"/>
      <c r="K4" s="51" t="s">
        <v>172</v>
      </c>
      <c r="L4" s="51"/>
      <c r="M4" s="51" t="s">
        <v>173</v>
      </c>
      <c r="N4" s="51"/>
      <c r="O4" s="51" t="s">
        <v>47</v>
      </c>
    </row>
    <row r="6" spans="1:24" s="77" customFormat="1" ht="12.75">
      <c r="A6" s="77" t="s">
        <v>164</v>
      </c>
      <c r="B6" s="77" t="s">
        <v>13</v>
      </c>
      <c r="C6" s="77" t="s">
        <v>244</v>
      </c>
      <c r="D6" s="77" t="s">
        <v>14</v>
      </c>
      <c r="E6" s="77" t="s">
        <v>15</v>
      </c>
      <c r="F6" s="78" t="s">
        <v>174</v>
      </c>
      <c r="G6" s="79">
        <v>0.0004850048112</v>
      </c>
      <c r="H6" s="79" t="s">
        <v>174</v>
      </c>
      <c r="I6" s="79">
        <v>0.0019900197408</v>
      </c>
      <c r="J6" s="79" t="s">
        <v>174</v>
      </c>
      <c r="K6" s="79">
        <v>0.0019100189472</v>
      </c>
      <c r="L6" s="79" t="s">
        <v>174</v>
      </c>
      <c r="M6" s="79">
        <v>0.0006600065472</v>
      </c>
      <c r="N6" s="79" t="s">
        <v>174</v>
      </c>
      <c r="O6" s="79">
        <f>AVERAGE(G6,I6,K6,M6)</f>
        <v>0.0012612625116</v>
      </c>
      <c r="P6" s="79" t="s">
        <v>174</v>
      </c>
      <c r="Q6" s="79"/>
      <c r="R6" s="79" t="s">
        <v>174</v>
      </c>
      <c r="S6" s="79"/>
      <c r="T6" s="79" t="s">
        <v>174</v>
      </c>
      <c r="U6" s="79"/>
      <c r="V6" s="78" t="s">
        <v>174</v>
      </c>
      <c r="W6" s="78"/>
      <c r="X6" s="77">
        <v>0.0012612625116000002</v>
      </c>
    </row>
    <row r="7" spans="1:24" s="77" customFormat="1" ht="12.75">
      <c r="A7" s="77" t="s">
        <v>164</v>
      </c>
      <c r="B7" s="77" t="s">
        <v>120</v>
      </c>
      <c r="C7" s="77" t="s">
        <v>244</v>
      </c>
      <c r="D7" s="77" t="s">
        <v>16</v>
      </c>
      <c r="E7" s="77" t="s">
        <v>15</v>
      </c>
      <c r="F7" s="78" t="s">
        <v>174</v>
      </c>
      <c r="G7" s="80">
        <v>30</v>
      </c>
      <c r="H7" s="80" t="s">
        <v>174</v>
      </c>
      <c r="I7" s="80">
        <v>26.2</v>
      </c>
      <c r="J7" s="80" t="s">
        <v>174</v>
      </c>
      <c r="K7" s="80">
        <v>20.4</v>
      </c>
      <c r="L7" s="78" t="s">
        <v>174</v>
      </c>
      <c r="M7" s="80">
        <v>34.5</v>
      </c>
      <c r="N7" s="78" t="s">
        <v>174</v>
      </c>
      <c r="O7" s="80">
        <f aca="true" t="shared" si="0" ref="O7:O13">AVERAGE(G7,I7,K7,M7)</f>
        <v>27.775</v>
      </c>
      <c r="P7" s="78" t="s">
        <v>174</v>
      </c>
      <c r="Q7" s="78"/>
      <c r="R7" s="78" t="s">
        <v>174</v>
      </c>
      <c r="S7" s="78"/>
      <c r="T7" s="78" t="s">
        <v>174</v>
      </c>
      <c r="U7" s="78"/>
      <c r="V7" s="78" t="s">
        <v>174</v>
      </c>
      <c r="W7" s="78"/>
      <c r="X7" s="77">
        <v>27.775</v>
      </c>
    </row>
    <row r="8" spans="1:24" s="77" customFormat="1" ht="12.75">
      <c r="A8" s="77" t="s">
        <v>164</v>
      </c>
      <c r="B8" s="77" t="s">
        <v>48</v>
      </c>
      <c r="C8" s="77" t="s">
        <v>244</v>
      </c>
      <c r="D8" s="77" t="s">
        <v>16</v>
      </c>
      <c r="E8" s="77" t="s">
        <v>15</v>
      </c>
      <c r="F8" s="78" t="s">
        <v>96</v>
      </c>
      <c r="G8" s="80">
        <v>0.72297447387925</v>
      </c>
      <c r="H8" s="80" t="s">
        <v>96</v>
      </c>
      <c r="I8" s="80">
        <v>0.7669203155328361</v>
      </c>
      <c r="J8" s="80" t="s">
        <v>96</v>
      </c>
      <c r="K8" s="80">
        <v>0.8378099894357067</v>
      </c>
      <c r="L8" s="78" t="s">
        <v>96</v>
      </c>
      <c r="M8" s="80">
        <v>0.69476925953205</v>
      </c>
      <c r="N8" s="78" t="s">
        <v>174</v>
      </c>
      <c r="O8" s="80">
        <f t="shared" si="0"/>
        <v>0.7556185095949607</v>
      </c>
      <c r="P8" s="78" t="s">
        <v>174</v>
      </c>
      <c r="Q8" s="78"/>
      <c r="R8" s="78" t="s">
        <v>174</v>
      </c>
      <c r="S8" s="78"/>
      <c r="T8" s="78" t="s">
        <v>174</v>
      </c>
      <c r="U8" s="78"/>
      <c r="V8" s="78" t="s">
        <v>174</v>
      </c>
      <c r="W8" s="78"/>
      <c r="X8" s="77">
        <v>0.7556185095949607</v>
      </c>
    </row>
    <row r="9" spans="2:23" s="77" customFormat="1" ht="12.75">
      <c r="B9" s="81" t="s">
        <v>106</v>
      </c>
      <c r="C9" s="81" t="s">
        <v>245</v>
      </c>
      <c r="D9" s="77" t="s">
        <v>54</v>
      </c>
      <c r="E9" s="77" t="s">
        <v>15</v>
      </c>
      <c r="F9" s="82" t="s">
        <v>96</v>
      </c>
      <c r="G9" s="80">
        <f>10/1.690865*(21-7)/(21-G$34)</f>
        <v>11.661670126920203</v>
      </c>
      <c r="H9" s="80" t="s">
        <v>96</v>
      </c>
      <c r="I9" s="80">
        <f>10/1.68758*(21-7)/(21-I$34)</f>
        <v>10.369878761303168</v>
      </c>
      <c r="J9" s="80" t="s">
        <v>96</v>
      </c>
      <c r="K9" s="80">
        <f>10/1.637232*(21-7)/(21-K$34)</f>
        <v>10.688772269293539</v>
      </c>
      <c r="L9" s="78" t="s">
        <v>96</v>
      </c>
      <c r="M9" s="80">
        <f>10/1.923942*(21-7)/(21-M$34)</f>
        <v>9.211046376315798</v>
      </c>
      <c r="N9" s="78"/>
      <c r="O9" s="80">
        <f t="shared" si="0"/>
        <v>10.482841883458176</v>
      </c>
      <c r="P9" s="78"/>
      <c r="Q9" s="78"/>
      <c r="R9" s="78"/>
      <c r="S9" s="78"/>
      <c r="T9" s="78"/>
      <c r="U9" s="78"/>
      <c r="V9" s="78"/>
      <c r="W9" s="78"/>
    </row>
    <row r="10" spans="1:24" s="77" customFormat="1" ht="12.75">
      <c r="A10" s="77" t="s">
        <v>164</v>
      </c>
      <c r="B10" s="77" t="s">
        <v>77</v>
      </c>
      <c r="C10" s="81" t="s">
        <v>245</v>
      </c>
      <c r="D10" s="77" t="s">
        <v>54</v>
      </c>
      <c r="E10" s="77" t="s">
        <v>15</v>
      </c>
      <c r="F10" s="82"/>
      <c r="G10" s="80">
        <f>1.4/1.690865*(21-7)/(21-G$34)</f>
        <v>1.6326338177688282</v>
      </c>
      <c r="H10" s="80" t="s">
        <v>96</v>
      </c>
      <c r="I10" s="80">
        <f>10/1.68758*(21-7)/(21-I$34)</f>
        <v>10.369878761303168</v>
      </c>
      <c r="J10" s="80" t="s">
        <v>96</v>
      </c>
      <c r="K10" s="80">
        <f>10/1.637232*(21-7)/(21-K$34)</f>
        <v>10.688772269293539</v>
      </c>
      <c r="L10" s="78" t="s">
        <v>96</v>
      </c>
      <c r="M10" s="80">
        <f>10/1.923942*(21-7)/(21-M$34)</f>
        <v>9.211046376315798</v>
      </c>
      <c r="N10" s="78" t="s">
        <v>174</v>
      </c>
      <c r="O10" s="80">
        <f t="shared" si="0"/>
        <v>7.975582806170333</v>
      </c>
      <c r="P10" s="78" t="s">
        <v>174</v>
      </c>
      <c r="Q10" s="78"/>
      <c r="R10" s="78" t="s">
        <v>174</v>
      </c>
      <c r="S10" s="78"/>
      <c r="T10" s="78" t="s">
        <v>174</v>
      </c>
      <c r="U10" s="78"/>
      <c r="V10" s="78" t="s">
        <v>174</v>
      </c>
      <c r="W10" s="78"/>
      <c r="X10" s="77">
        <v>0.7404818149402745</v>
      </c>
    </row>
    <row r="11" spans="1:24" s="77" customFormat="1" ht="12.75">
      <c r="A11" s="77" t="s">
        <v>164</v>
      </c>
      <c r="B11" s="77" t="s">
        <v>109</v>
      </c>
      <c r="C11" s="81" t="s">
        <v>245</v>
      </c>
      <c r="D11" s="77" t="s">
        <v>54</v>
      </c>
      <c r="E11" s="77" t="s">
        <v>15</v>
      </c>
      <c r="F11" s="78" t="s">
        <v>174</v>
      </c>
      <c r="G11" s="80">
        <f>4.88/1.690865*(21-7)/(21-G$34)</f>
        <v>5.690895021937059</v>
      </c>
      <c r="H11" s="80"/>
      <c r="I11" s="80">
        <f>2.65/1.68758*(21-7)/(21-I$34)</f>
        <v>2.748017871745339</v>
      </c>
      <c r="J11" s="80"/>
      <c r="K11" s="80">
        <f>2.09/1.637232*(21-7)/(21-K$34)</f>
        <v>2.2339534042823495</v>
      </c>
      <c r="L11" s="78"/>
      <c r="M11" s="80">
        <f>2.5/1.923942*(21-7)/(21-M$34)</f>
        <v>2.3027615940789494</v>
      </c>
      <c r="N11" s="78" t="s">
        <v>174</v>
      </c>
      <c r="O11" s="80">
        <f t="shared" si="0"/>
        <v>3.2439069730109242</v>
      </c>
      <c r="P11" s="78" t="s">
        <v>174</v>
      </c>
      <c r="Q11" s="78"/>
      <c r="R11" s="78" t="s">
        <v>174</v>
      </c>
      <c r="S11" s="78"/>
      <c r="T11" s="78" t="s">
        <v>174</v>
      </c>
      <c r="U11" s="78"/>
      <c r="V11" s="78" t="s">
        <v>174</v>
      </c>
      <c r="W11" s="78"/>
      <c r="X11" s="77">
        <v>2.9231692369406326</v>
      </c>
    </row>
    <row r="12" spans="1:24" s="77" customFormat="1" ht="12.75">
      <c r="A12" s="77" t="s">
        <v>164</v>
      </c>
      <c r="B12" s="77" t="s">
        <v>82</v>
      </c>
      <c r="C12" s="81" t="s">
        <v>245</v>
      </c>
      <c r="D12" s="77" t="s">
        <v>54</v>
      </c>
      <c r="E12" s="77" t="s">
        <v>15</v>
      </c>
      <c r="F12" s="78" t="s">
        <v>174</v>
      </c>
      <c r="G12" s="80">
        <f>12.7/1.690865*(21-7)/(21-G$34)</f>
        <v>14.810321061188658</v>
      </c>
      <c r="H12" s="80"/>
      <c r="I12" s="80">
        <f>4.75/1.68758*(21-7)/(21-I$34)</f>
        <v>4.925692411619004</v>
      </c>
      <c r="J12" s="80"/>
      <c r="K12" s="80">
        <f>5.25/1.637232*(21-7)/(21-K$34)</f>
        <v>5.611605441379108</v>
      </c>
      <c r="L12" s="78"/>
      <c r="M12" s="80">
        <f>4.6/1.923942*(21-7)/(21-M$34)</f>
        <v>4.237081333105268</v>
      </c>
      <c r="N12" s="78" t="s">
        <v>174</v>
      </c>
      <c r="O12" s="80">
        <f t="shared" si="0"/>
        <v>7.39617506182301</v>
      </c>
      <c r="P12" s="78" t="s">
        <v>174</v>
      </c>
      <c r="Q12" s="78"/>
      <c r="R12" s="78" t="s">
        <v>174</v>
      </c>
      <c r="S12" s="78"/>
      <c r="T12" s="78" t="s">
        <v>174</v>
      </c>
      <c r="U12" s="78"/>
      <c r="V12" s="78" t="s">
        <v>174</v>
      </c>
      <c r="W12" s="78"/>
      <c r="X12" s="77">
        <v>5.863545195221965</v>
      </c>
    </row>
    <row r="13" spans="1:24" s="77" customFormat="1" ht="12.75">
      <c r="A13" s="77" t="s">
        <v>164</v>
      </c>
      <c r="B13" s="77" t="s">
        <v>76</v>
      </c>
      <c r="C13" s="81" t="s">
        <v>245</v>
      </c>
      <c r="D13" s="77" t="s">
        <v>54</v>
      </c>
      <c r="E13" s="77" t="s">
        <v>15</v>
      </c>
      <c r="F13" s="78" t="s">
        <v>174</v>
      </c>
      <c r="G13" s="80">
        <f>93.6/1.690865*(21-7)/(21-G$34)</f>
        <v>109.1532323879731</v>
      </c>
      <c r="H13" s="80"/>
      <c r="I13" s="80">
        <f>90/1.68758*(21-7)/(21-I$34)</f>
        <v>93.3289088517285</v>
      </c>
      <c r="J13" s="80"/>
      <c r="K13" s="80">
        <f>63.3/1.637232*(21-7)/(21-K$34)</f>
        <v>67.65992846462811</v>
      </c>
      <c r="L13" s="78"/>
      <c r="M13" s="80">
        <f>110/1.923942*(21-7)/(21-M$34)</f>
        <v>101.3215101394738</v>
      </c>
      <c r="N13" s="78" t="s">
        <v>174</v>
      </c>
      <c r="O13" s="80">
        <f t="shared" si="0"/>
        <v>92.86589496095088</v>
      </c>
      <c r="P13" s="78" t="s">
        <v>174</v>
      </c>
      <c r="Q13" s="78"/>
      <c r="R13" s="78" t="s">
        <v>174</v>
      </c>
      <c r="S13" s="78"/>
      <c r="T13" s="78" t="s">
        <v>174</v>
      </c>
      <c r="U13" s="78"/>
      <c r="V13" s="78" t="s">
        <v>174</v>
      </c>
      <c r="W13" s="78"/>
      <c r="X13" s="77">
        <v>86.02565073988234</v>
      </c>
    </row>
    <row r="14" spans="1:24" s="77" customFormat="1" ht="12.75">
      <c r="A14" s="77" t="s">
        <v>164</v>
      </c>
      <c r="B14" s="77" t="s">
        <v>78</v>
      </c>
      <c r="C14" s="81" t="s">
        <v>245</v>
      </c>
      <c r="D14" s="77" t="s">
        <v>54</v>
      </c>
      <c r="E14" s="77" t="s">
        <v>15</v>
      </c>
      <c r="F14" s="82"/>
      <c r="G14" s="80">
        <f>0.4/1.690865*(21-7)/(21-G$34)</f>
        <v>0.46646680507680816</v>
      </c>
      <c r="H14" s="80"/>
      <c r="I14" s="80">
        <f>0.19/1.68758*(21-7)/(21-I$34)</f>
        <v>0.1970276964647602</v>
      </c>
      <c r="J14" s="80" t="s">
        <v>174</v>
      </c>
      <c r="K14" s="80">
        <f>0.6/1.637232*(21-7)/(21-K$34)</f>
        <v>0.6413263361576124</v>
      </c>
      <c r="L14" s="78" t="s">
        <v>174</v>
      </c>
      <c r="M14" s="80">
        <f>1/1.923942*(21-7)/(21-M$34)</f>
        <v>0.9211046376315798</v>
      </c>
      <c r="N14" s="78" t="s">
        <v>174</v>
      </c>
      <c r="O14" s="80">
        <f>AVERAGE(G14,I14,K14,M14)</f>
        <v>0.5564813688326901</v>
      </c>
      <c r="P14" s="78" t="s">
        <v>174</v>
      </c>
      <c r="Q14" s="78"/>
      <c r="R14" s="78" t="s">
        <v>174</v>
      </c>
      <c r="S14" s="78"/>
      <c r="T14" s="78" t="s">
        <v>174</v>
      </c>
      <c r="U14" s="78"/>
      <c r="V14" s="78" t="s">
        <v>174</v>
      </c>
      <c r="W14" s="78"/>
      <c r="X14" s="77">
        <v>0.35776096452130496</v>
      </c>
    </row>
    <row r="15" spans="2:23" s="77" customFormat="1" ht="12.75">
      <c r="B15" s="81" t="s">
        <v>116</v>
      </c>
      <c r="C15" s="81" t="s">
        <v>245</v>
      </c>
      <c r="D15" s="77" t="s">
        <v>54</v>
      </c>
      <c r="E15" s="77" t="s">
        <v>15</v>
      </c>
      <c r="F15" s="82" t="s">
        <v>96</v>
      </c>
      <c r="G15" s="80">
        <f>2/1.690865*(21-7)/(21-G$34)</f>
        <v>2.3323340253840406</v>
      </c>
      <c r="H15" s="80" t="s">
        <v>96</v>
      </c>
      <c r="I15" s="80">
        <f>2/1.68758*(21-7)/(21-I$34)</f>
        <v>2.0739757522606332</v>
      </c>
      <c r="J15" s="80" t="s">
        <v>96</v>
      </c>
      <c r="K15" s="80">
        <f>2/1.637232*(21-7)/(21-K$34)</f>
        <v>2.137754453858708</v>
      </c>
      <c r="L15" s="78" t="s">
        <v>96</v>
      </c>
      <c r="M15" s="80">
        <f>2/1.923942*(21-7)/(21-M$34)</f>
        <v>1.8422092752631596</v>
      </c>
      <c r="N15" s="78"/>
      <c r="O15" s="80">
        <f aca="true" t="shared" si="1" ref="O15:O21">AVERAGE(G15,I15,K15,M15)</f>
        <v>2.0965683766916356</v>
      </c>
      <c r="P15" s="78"/>
      <c r="Q15" s="78"/>
      <c r="R15" s="78"/>
      <c r="S15" s="78"/>
      <c r="T15" s="78"/>
      <c r="U15" s="78"/>
      <c r="V15" s="78"/>
      <c r="W15" s="78"/>
    </row>
    <row r="16" spans="2:23" s="77" customFormat="1" ht="12.75">
      <c r="B16" s="81" t="s">
        <v>114</v>
      </c>
      <c r="C16" s="81" t="s">
        <v>245</v>
      </c>
      <c r="D16" s="77" t="s">
        <v>54</v>
      </c>
      <c r="E16" s="77" t="s">
        <v>15</v>
      </c>
      <c r="F16" s="82" t="s">
        <v>96</v>
      </c>
      <c r="G16" s="80">
        <f>10/1.690865*(21-7)/(21-G$34)</f>
        <v>11.661670126920203</v>
      </c>
      <c r="H16" s="80" t="s">
        <v>96</v>
      </c>
      <c r="I16" s="80">
        <f>10/1.68758*(21-7)/(21-I$34)</f>
        <v>10.369878761303168</v>
      </c>
      <c r="J16" s="80" t="s">
        <v>96</v>
      </c>
      <c r="K16" s="80">
        <f>10/1.637232*(21-7)/(21-K$34)</f>
        <v>10.688772269293539</v>
      </c>
      <c r="L16" s="78" t="s">
        <v>96</v>
      </c>
      <c r="M16" s="80">
        <f>10/1.923942*(21-7)/(21-M$34)</f>
        <v>9.211046376315798</v>
      </c>
      <c r="N16" s="78"/>
      <c r="O16" s="80">
        <f t="shared" si="1"/>
        <v>10.482841883458176</v>
      </c>
      <c r="P16" s="78"/>
      <c r="Q16" s="78"/>
      <c r="R16" s="78"/>
      <c r="S16" s="78"/>
      <c r="T16" s="78"/>
      <c r="U16" s="78"/>
      <c r="V16" s="78"/>
      <c r="W16" s="78"/>
    </row>
    <row r="17" spans="2:23" s="77" customFormat="1" ht="12.75">
      <c r="B17" s="81" t="s">
        <v>107</v>
      </c>
      <c r="C17" s="81" t="s">
        <v>245</v>
      </c>
      <c r="D17" s="77" t="s">
        <v>54</v>
      </c>
      <c r="E17" s="77" t="s">
        <v>15</v>
      </c>
      <c r="F17" s="82" t="s">
        <v>96</v>
      </c>
      <c r="G17" s="80">
        <f>20/1.690865*(21-7)/(21-G$34)</f>
        <v>23.323340253840406</v>
      </c>
      <c r="H17" s="80" t="s">
        <v>96</v>
      </c>
      <c r="I17" s="80">
        <f>20/1.68758*(21-7)/(21-I$34)</f>
        <v>20.739757522606336</v>
      </c>
      <c r="J17" s="80" t="s">
        <v>96</v>
      </c>
      <c r="K17" s="80">
        <f>20/1.637232*(21-7)/(21-K$34)</f>
        <v>21.377544538587077</v>
      </c>
      <c r="L17" s="78" t="s">
        <v>96</v>
      </c>
      <c r="M17" s="80">
        <f>20/1.923942*(21-7)/(21-M$34)</f>
        <v>18.422092752631595</v>
      </c>
      <c r="N17" s="78"/>
      <c r="O17" s="80">
        <f t="shared" si="1"/>
        <v>20.965683766916353</v>
      </c>
      <c r="P17" s="78"/>
      <c r="Q17" s="78"/>
      <c r="R17" s="78"/>
      <c r="S17" s="78"/>
      <c r="T17" s="78"/>
      <c r="U17" s="78"/>
      <c r="V17" s="78"/>
      <c r="W17" s="78"/>
    </row>
    <row r="18" spans="2:23" s="77" customFormat="1" ht="12.75">
      <c r="B18" s="81" t="s">
        <v>104</v>
      </c>
      <c r="C18" s="81" t="s">
        <v>245</v>
      </c>
      <c r="D18" s="77" t="s">
        <v>54</v>
      </c>
      <c r="E18" s="77" t="s">
        <v>15</v>
      </c>
      <c r="F18" s="82" t="s">
        <v>96</v>
      </c>
      <c r="G18" s="80">
        <f>4/1.690865*(21-7)/(21-G$34)</f>
        <v>4.664668050768081</v>
      </c>
      <c r="H18" s="80" t="s">
        <v>96</v>
      </c>
      <c r="I18" s="80">
        <f>4/1.68758*(21-7)/(21-I$34)</f>
        <v>4.1479515045212665</v>
      </c>
      <c r="J18" s="80" t="s">
        <v>96</v>
      </c>
      <c r="K18" s="80">
        <f>4/1.637232*(21-7)/(21-K$34)</f>
        <v>4.275508907717416</v>
      </c>
      <c r="L18" s="78" t="s">
        <v>96</v>
      </c>
      <c r="M18" s="80">
        <f>4/1.923942*(21-7)/(21-M$34)</f>
        <v>3.684418550526319</v>
      </c>
      <c r="N18" s="78"/>
      <c r="O18" s="80">
        <f t="shared" si="1"/>
        <v>4.193136753383271</v>
      </c>
      <c r="P18" s="78"/>
      <c r="Q18" s="78"/>
      <c r="R18" s="78"/>
      <c r="S18" s="78"/>
      <c r="T18" s="78"/>
      <c r="U18" s="78"/>
      <c r="V18" s="78"/>
      <c r="W18" s="78"/>
    </row>
    <row r="19" spans="2:23" s="77" customFormat="1" ht="12.75">
      <c r="B19" s="81" t="s">
        <v>113</v>
      </c>
      <c r="C19" s="81" t="s">
        <v>245</v>
      </c>
      <c r="D19" s="77" t="s">
        <v>54</v>
      </c>
      <c r="E19" s="77" t="s">
        <v>15</v>
      </c>
      <c r="F19" s="82" t="s">
        <v>96</v>
      </c>
      <c r="G19" s="80">
        <f>10/1.690865*(21-7)/(21-G$34)</f>
        <v>11.661670126920203</v>
      </c>
      <c r="H19" s="80" t="s">
        <v>96</v>
      </c>
      <c r="I19" s="80">
        <f>10/1.68758*(21-7)/(21-I$34)</f>
        <v>10.369878761303168</v>
      </c>
      <c r="J19" s="80" t="s">
        <v>96</v>
      </c>
      <c r="K19" s="80">
        <f>10/1.637232*(21-7)/(21-K$34)</f>
        <v>10.688772269293539</v>
      </c>
      <c r="L19" s="78" t="s">
        <v>96</v>
      </c>
      <c r="M19" s="80">
        <f>10/1.923942*(21-7)/(21-M$34)</f>
        <v>9.211046376315798</v>
      </c>
      <c r="N19" s="78"/>
      <c r="O19" s="80">
        <f t="shared" si="1"/>
        <v>10.482841883458176</v>
      </c>
      <c r="P19" s="78"/>
      <c r="Q19" s="78"/>
      <c r="R19" s="78"/>
      <c r="S19" s="78"/>
      <c r="T19" s="78"/>
      <c r="U19" s="78"/>
      <c r="V19" s="78"/>
      <c r="W19" s="78"/>
    </row>
    <row r="20" spans="2:23" s="77" customFormat="1" ht="12.75">
      <c r="B20" s="81" t="s">
        <v>112</v>
      </c>
      <c r="C20" s="81" t="s">
        <v>245</v>
      </c>
      <c r="D20" s="77" t="s">
        <v>54</v>
      </c>
      <c r="E20" s="77" t="s">
        <v>15</v>
      </c>
      <c r="F20" s="82"/>
      <c r="G20" s="80">
        <f>7.97/1.690865*(21-7)/(21-G$34)</f>
        <v>9.2943510911554</v>
      </c>
      <c r="H20" s="80"/>
      <c r="I20" s="80">
        <f>4.86/1.68758*(21-7)/(21-I$34)</f>
        <v>5.03976107799334</v>
      </c>
      <c r="J20" s="80"/>
      <c r="K20" s="80">
        <f>4.95/1.637232*(21-7)/(21-K$34)</f>
        <v>5.290942273300303</v>
      </c>
      <c r="L20" s="78" t="s">
        <v>96</v>
      </c>
      <c r="M20" s="80">
        <f>6/1.923942*(21-7)/(21-M$34)</f>
        <v>5.52662782578948</v>
      </c>
      <c r="N20" s="78"/>
      <c r="O20" s="80">
        <f t="shared" si="1"/>
        <v>6.28792056705963</v>
      </c>
      <c r="P20" s="78"/>
      <c r="Q20" s="78"/>
      <c r="R20" s="78"/>
      <c r="S20" s="78"/>
      <c r="T20" s="78"/>
      <c r="U20" s="78"/>
      <c r="V20" s="78"/>
      <c r="W20" s="78"/>
    </row>
    <row r="21" spans="2:23" s="77" customFormat="1" ht="12.75">
      <c r="B21" s="81" t="s">
        <v>111</v>
      </c>
      <c r="C21" s="81" t="s">
        <v>245</v>
      </c>
      <c r="D21" s="77" t="s">
        <v>54</v>
      </c>
      <c r="E21" s="77" t="s">
        <v>15</v>
      </c>
      <c r="F21" s="82"/>
      <c r="G21" s="80">
        <f>432/1.690865*(21-7)/(21-G$34)</f>
        <v>503.7841494829528</v>
      </c>
      <c r="H21" s="80"/>
      <c r="I21" s="80">
        <f>1191.83/1.68758*(21-7)/(21-I$34)</f>
        <v>1235.9132604083954</v>
      </c>
      <c r="J21" s="80"/>
      <c r="K21" s="80">
        <f>151.24/1.637232*(21-7)/(21-K$34)</f>
        <v>161.6569918007955</v>
      </c>
      <c r="L21" s="78"/>
      <c r="M21" s="80">
        <f>427.59/1.923942*(21-7)/(21-M$34)</f>
        <v>393.85513200488725</v>
      </c>
      <c r="N21" s="78"/>
      <c r="O21" s="80">
        <f t="shared" si="1"/>
        <v>573.8023834242578</v>
      </c>
      <c r="P21" s="78"/>
      <c r="Q21" s="78"/>
      <c r="R21" s="78"/>
      <c r="S21" s="78"/>
      <c r="T21" s="78"/>
      <c r="U21" s="78"/>
      <c r="V21" s="78"/>
      <c r="W21" s="78"/>
    </row>
    <row r="22" spans="3:23" s="77" customFormat="1" ht="12.75">
      <c r="C22" s="81"/>
      <c r="F22" s="82"/>
      <c r="G22" s="80"/>
      <c r="H22" s="80"/>
      <c r="I22" s="80"/>
      <c r="J22" s="80"/>
      <c r="K22" s="80"/>
      <c r="L22" s="78"/>
      <c r="M22" s="80"/>
      <c r="N22" s="78"/>
      <c r="O22" s="78"/>
      <c r="P22" s="78"/>
      <c r="Q22" s="78"/>
      <c r="R22" s="78"/>
      <c r="S22" s="78"/>
      <c r="T22" s="78"/>
      <c r="U22" s="78"/>
      <c r="V22" s="78"/>
      <c r="W22" s="78"/>
    </row>
    <row r="23" spans="2:23" s="77" customFormat="1" ht="12.75">
      <c r="B23" s="77" t="s">
        <v>55</v>
      </c>
      <c r="C23" s="81" t="s">
        <v>245</v>
      </c>
      <c r="D23" s="77" t="s">
        <v>54</v>
      </c>
      <c r="E23" s="77" t="s">
        <v>15</v>
      </c>
      <c r="F23" s="78"/>
      <c r="G23" s="80">
        <f>G13+G11</f>
        <v>114.84412740991016</v>
      </c>
      <c r="H23" s="80"/>
      <c r="I23" s="80">
        <f>I13+I11</f>
        <v>96.07692672347383</v>
      </c>
      <c r="J23" s="80"/>
      <c r="K23" s="80">
        <f>K13+K11</f>
        <v>69.89388186891046</v>
      </c>
      <c r="L23" s="78"/>
      <c r="M23" s="80">
        <f>M13+M11</f>
        <v>103.62427173355275</v>
      </c>
      <c r="N23" s="78"/>
      <c r="O23" s="80">
        <f>AVERAGE(G23,I23,K23,M23)</f>
        <v>96.10980193396179</v>
      </c>
      <c r="P23" s="78"/>
      <c r="Q23" s="78"/>
      <c r="R23" s="78"/>
      <c r="S23" s="78"/>
      <c r="T23" s="78"/>
      <c r="U23" s="78"/>
      <c r="V23" s="78"/>
      <c r="W23" s="78"/>
    </row>
    <row r="24" spans="2:23" s="77" customFormat="1" ht="12.75">
      <c r="B24" s="77" t="s">
        <v>56</v>
      </c>
      <c r="C24" s="81" t="s">
        <v>245</v>
      </c>
      <c r="D24" s="77" t="s">
        <v>54</v>
      </c>
      <c r="E24" s="77" t="s">
        <v>15</v>
      </c>
      <c r="F24" s="78"/>
      <c r="G24" s="80">
        <f>G10+G12+G9</f>
        <v>28.10462500587769</v>
      </c>
      <c r="H24" s="80"/>
      <c r="I24" s="80">
        <f>I10+I12+I9</f>
        <v>25.665449934225343</v>
      </c>
      <c r="J24" s="80"/>
      <c r="K24" s="80">
        <f>K10+K12+K9</f>
        <v>26.989149979966186</v>
      </c>
      <c r="L24" s="78"/>
      <c r="M24" s="80">
        <f>M10+M12+M9</f>
        <v>22.659174085736865</v>
      </c>
      <c r="N24" s="78"/>
      <c r="O24" s="80">
        <f>AVERAGE(G24,I24,K24,M24)</f>
        <v>25.85459975145152</v>
      </c>
      <c r="P24" s="78"/>
      <c r="Q24" s="78"/>
      <c r="R24" s="78"/>
      <c r="S24" s="78"/>
      <c r="T24" s="78"/>
      <c r="U24" s="78"/>
      <c r="V24" s="78"/>
      <c r="W24" s="78"/>
    </row>
    <row r="26" spans="2:4" ht="12.75">
      <c r="B26" t="s">
        <v>83</v>
      </c>
      <c r="C26" s="77" t="s">
        <v>175</v>
      </c>
      <c r="D26" t="s">
        <v>244</v>
      </c>
    </row>
    <row r="27" spans="2:63" s="77" customFormat="1" ht="12.75">
      <c r="B27" s="8" t="s">
        <v>75</v>
      </c>
      <c r="C27" s="8"/>
      <c r="D27" s="8" t="s">
        <v>17</v>
      </c>
      <c r="G27" s="80">
        <v>11493</v>
      </c>
      <c r="H27" s="80"/>
      <c r="I27" s="80">
        <v>10919</v>
      </c>
      <c r="J27" s="80"/>
      <c r="K27" s="80">
        <v>10598</v>
      </c>
      <c r="L27" s="80"/>
      <c r="M27" s="80">
        <v>10684</v>
      </c>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row>
    <row r="28" spans="2:63" s="77" customFormat="1" ht="12.75">
      <c r="B28" s="8" t="s">
        <v>80</v>
      </c>
      <c r="C28" s="8"/>
      <c r="D28" s="8" t="s">
        <v>18</v>
      </c>
      <c r="G28" s="80">
        <v>13.9</v>
      </c>
      <c r="H28" s="80"/>
      <c r="I28" s="80">
        <v>12.9</v>
      </c>
      <c r="J28" s="80"/>
      <c r="K28" s="80">
        <v>13</v>
      </c>
      <c r="L28" s="80"/>
      <c r="M28" s="80">
        <v>13</v>
      </c>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row>
    <row r="29" spans="1:63" s="77" customFormat="1" ht="12.75">
      <c r="A29" s="77" t="s">
        <v>164</v>
      </c>
      <c r="B29" s="8" t="s">
        <v>81</v>
      </c>
      <c r="C29" s="8"/>
      <c r="D29" s="8" t="s">
        <v>18</v>
      </c>
      <c r="G29" s="80">
        <v>39.5</v>
      </c>
      <c r="H29" s="80"/>
      <c r="I29" s="80">
        <v>39.1</v>
      </c>
      <c r="J29" s="80"/>
      <c r="K29" s="80">
        <v>39.2</v>
      </c>
      <c r="L29" s="80"/>
      <c r="M29" s="80">
        <v>39</v>
      </c>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row>
    <row r="30" spans="2:63" s="77" customFormat="1" ht="12.75">
      <c r="B30" s="8" t="s">
        <v>74</v>
      </c>
      <c r="C30" s="8"/>
      <c r="D30" s="8" t="s">
        <v>19</v>
      </c>
      <c r="G30" s="80">
        <v>183</v>
      </c>
      <c r="H30" s="80"/>
      <c r="I30" s="80">
        <v>181</v>
      </c>
      <c r="J30" s="80"/>
      <c r="K30" s="80">
        <v>181</v>
      </c>
      <c r="L30" s="80"/>
      <c r="M30" s="80">
        <v>182</v>
      </c>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row>
    <row r="31" spans="7:63" s="77" customFormat="1" ht="12.75">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row>
    <row r="32" spans="2:63" s="77" customFormat="1" ht="12.75">
      <c r="B32" t="s">
        <v>83</v>
      </c>
      <c r="C32" s="77" t="s">
        <v>95</v>
      </c>
      <c r="D32" s="77" t="s">
        <v>245</v>
      </c>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row>
    <row r="33" spans="2:63" s="77" customFormat="1" ht="12.75">
      <c r="B33" s="8" t="s">
        <v>75</v>
      </c>
      <c r="C33" s="8"/>
      <c r="D33" s="8" t="s">
        <v>17</v>
      </c>
      <c r="G33" s="80">
        <v>10413</v>
      </c>
      <c r="H33" s="80"/>
      <c r="I33" s="80">
        <v>10672</v>
      </c>
      <c r="J33" s="80"/>
      <c r="K33" s="80">
        <v>10420</v>
      </c>
      <c r="L33" s="80"/>
      <c r="M33" s="80">
        <v>12028</v>
      </c>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row>
    <row r="34" spans="2:63" s="77" customFormat="1" ht="12.75">
      <c r="B34" s="8" t="s">
        <v>80</v>
      </c>
      <c r="C34" s="8"/>
      <c r="D34" s="8" t="s">
        <v>18</v>
      </c>
      <c r="G34" s="80">
        <v>13.9</v>
      </c>
      <c r="H34" s="80"/>
      <c r="I34" s="80">
        <v>13</v>
      </c>
      <c r="J34" s="80"/>
      <c r="K34" s="80">
        <v>13</v>
      </c>
      <c r="L34" s="80"/>
      <c r="M34" s="80">
        <v>13.1</v>
      </c>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row>
    <row r="35" spans="2:63" s="77" customFormat="1" ht="12.75">
      <c r="B35" s="8" t="s">
        <v>81</v>
      </c>
      <c r="C35" s="8"/>
      <c r="D35" s="8" t="s">
        <v>18</v>
      </c>
      <c r="G35" s="80">
        <v>39.4</v>
      </c>
      <c r="H35" s="80"/>
      <c r="I35" s="80">
        <v>38.8</v>
      </c>
      <c r="J35" s="80"/>
      <c r="K35" s="80">
        <v>37.6</v>
      </c>
      <c r="L35" s="80"/>
      <c r="M35" s="80">
        <v>39.3</v>
      </c>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row>
    <row r="36" spans="2:63" s="77" customFormat="1" ht="12.75">
      <c r="B36" s="8" t="s">
        <v>74</v>
      </c>
      <c r="C36" s="8"/>
      <c r="D36" s="8" t="s">
        <v>19</v>
      </c>
      <c r="G36" s="80">
        <v>182</v>
      </c>
      <c r="H36" s="80"/>
      <c r="I36" s="80">
        <v>182</v>
      </c>
      <c r="J36" s="80"/>
      <c r="K36" s="80">
        <v>178</v>
      </c>
      <c r="L36" s="80"/>
      <c r="M36" s="80">
        <v>184</v>
      </c>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row>
    <row r="37" spans="7:63" s="77" customFormat="1" ht="12.75">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row>
    <row r="38" spans="2:63" s="77" customFormat="1" ht="12.75">
      <c r="B38" t="s">
        <v>83</v>
      </c>
      <c r="C38" s="77" t="s">
        <v>177</v>
      </c>
      <c r="D38" s="77" t="s">
        <v>246</v>
      </c>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row>
    <row r="39" spans="2:63" s="77" customFormat="1" ht="12.75">
      <c r="B39" s="8" t="s">
        <v>75</v>
      </c>
      <c r="C39" s="8"/>
      <c r="D39" s="8" t="s">
        <v>17</v>
      </c>
      <c r="G39" s="80">
        <v>12161</v>
      </c>
      <c r="H39" s="80"/>
      <c r="I39" s="80">
        <v>11404</v>
      </c>
      <c r="J39" s="80"/>
      <c r="K39" s="80">
        <v>11370</v>
      </c>
      <c r="L39" s="80"/>
      <c r="M39" s="80">
        <v>11907</v>
      </c>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row>
    <row r="40" spans="2:63" s="77" customFormat="1" ht="12.75">
      <c r="B40" s="8" t="s">
        <v>80</v>
      </c>
      <c r="C40" s="8"/>
      <c r="D40" s="8" t="s">
        <v>18</v>
      </c>
      <c r="G40" s="80">
        <v>13.9</v>
      </c>
      <c r="H40" s="80"/>
      <c r="I40" s="80">
        <v>13</v>
      </c>
      <c r="J40" s="80"/>
      <c r="K40" s="80">
        <v>13.2</v>
      </c>
      <c r="L40" s="80"/>
      <c r="M40" s="80">
        <v>13.1</v>
      </c>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row>
    <row r="41" spans="2:63" s="77" customFormat="1" ht="12.75">
      <c r="B41" s="8" t="s">
        <v>81</v>
      </c>
      <c r="C41" s="8"/>
      <c r="D41" s="8" t="s">
        <v>18</v>
      </c>
      <c r="G41" s="80">
        <v>38.5</v>
      </c>
      <c r="H41" s="80"/>
      <c r="I41" s="80">
        <v>41.9</v>
      </c>
      <c r="J41" s="80"/>
      <c r="K41" s="80">
        <v>37.5</v>
      </c>
      <c r="L41" s="80"/>
      <c r="M41" s="80">
        <v>39</v>
      </c>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row>
    <row r="42" spans="2:63" s="77" customFormat="1" ht="12.75">
      <c r="B42" s="8" t="s">
        <v>74</v>
      </c>
      <c r="C42" s="8"/>
      <c r="D42" s="8" t="s">
        <v>19</v>
      </c>
      <c r="G42" s="80">
        <v>181</v>
      </c>
      <c r="H42" s="80"/>
      <c r="I42" s="80">
        <v>181</v>
      </c>
      <c r="J42" s="80"/>
      <c r="K42" s="80">
        <v>180</v>
      </c>
      <c r="L42" s="80"/>
      <c r="M42" s="80">
        <v>181</v>
      </c>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row>
    <row r="43" spans="7:63" s="77" customFormat="1" ht="12.75">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row>
    <row r="44" spans="2:63" s="77" customFormat="1" ht="12.75">
      <c r="B44" t="s">
        <v>83</v>
      </c>
      <c r="C44" s="77" t="s">
        <v>176</v>
      </c>
      <c r="D44" s="8" t="s">
        <v>247</v>
      </c>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row>
    <row r="45" spans="2:63" s="77" customFormat="1" ht="12.75">
      <c r="B45" s="8" t="s">
        <v>75</v>
      </c>
      <c r="C45" s="8"/>
      <c r="D45" s="8" t="s">
        <v>17</v>
      </c>
      <c r="G45" s="80">
        <v>12208</v>
      </c>
      <c r="H45" s="80"/>
      <c r="I45" s="80">
        <v>11531</v>
      </c>
      <c r="J45" s="80"/>
      <c r="K45" s="80">
        <v>11269</v>
      </c>
      <c r="L45" s="80"/>
      <c r="M45" s="80">
        <v>11631</v>
      </c>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row>
    <row r="46" spans="2:63" s="77" customFormat="1" ht="12.75">
      <c r="B46" s="8" t="s">
        <v>80</v>
      </c>
      <c r="C46" s="8"/>
      <c r="D46" s="8" t="s">
        <v>18</v>
      </c>
      <c r="G46" s="80">
        <v>13.9</v>
      </c>
      <c r="H46" s="80"/>
      <c r="I46" s="80">
        <v>13</v>
      </c>
      <c r="J46" s="80"/>
      <c r="K46" s="80">
        <v>13.2</v>
      </c>
      <c r="L46" s="80"/>
      <c r="M46" s="80">
        <v>13.2</v>
      </c>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row>
    <row r="47" spans="2:63" s="77" customFormat="1" ht="12.75">
      <c r="B47" s="8" t="s">
        <v>81</v>
      </c>
      <c r="C47" s="8"/>
      <c r="D47" s="8" t="s">
        <v>18</v>
      </c>
      <c r="G47" s="80">
        <v>40.3</v>
      </c>
      <c r="H47" s="80"/>
      <c r="I47" s="80">
        <v>39.2</v>
      </c>
      <c r="J47" s="80"/>
      <c r="K47" s="80">
        <v>39.4</v>
      </c>
      <c r="L47" s="80"/>
      <c r="M47" s="80">
        <v>39.4</v>
      </c>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row>
    <row r="48" spans="2:63" s="77" customFormat="1" ht="12.75">
      <c r="B48" s="8" t="s">
        <v>74</v>
      </c>
      <c r="C48" s="8"/>
      <c r="D48" s="8" t="s">
        <v>19</v>
      </c>
      <c r="G48" s="80">
        <v>181</v>
      </c>
      <c r="H48" s="80"/>
      <c r="I48" s="80">
        <v>180</v>
      </c>
      <c r="J48" s="80"/>
      <c r="K48" s="80">
        <v>179</v>
      </c>
      <c r="L48" s="80"/>
      <c r="M48" s="80">
        <v>183</v>
      </c>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row>
    <row r="50" spans="1:57" s="81" customFormat="1" ht="12.75">
      <c r="A50" s="81" t="s">
        <v>164</v>
      </c>
      <c r="B50" s="81" t="s">
        <v>178</v>
      </c>
      <c r="C50" s="81" t="s">
        <v>50</v>
      </c>
      <c r="D50" s="81" t="s">
        <v>18</v>
      </c>
      <c r="G50" s="82">
        <v>99.999919</v>
      </c>
      <c r="H50" s="82"/>
      <c r="I50" s="82">
        <v>99.99884</v>
      </c>
      <c r="J50" s="82"/>
      <c r="K50" s="82">
        <v>99.99943</v>
      </c>
      <c r="L50" s="82"/>
      <c r="M50" s="82">
        <v>99.99962</v>
      </c>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row>
    <row r="51" spans="1:57" s="81" customFormat="1" ht="12.75">
      <c r="A51" s="81" t="s">
        <v>164</v>
      </c>
      <c r="B51" s="81" t="s">
        <v>179</v>
      </c>
      <c r="C51" s="81" t="s">
        <v>50</v>
      </c>
      <c r="D51" s="81" t="s">
        <v>18</v>
      </c>
      <c r="G51" s="82">
        <v>99.999989</v>
      </c>
      <c r="H51" s="82"/>
      <c r="I51" s="82">
        <v>99.999987</v>
      </c>
      <c r="J51" s="82"/>
      <c r="K51" s="82">
        <v>99.999896</v>
      </c>
      <c r="L51" s="82"/>
      <c r="M51" s="82">
        <v>99.99971</v>
      </c>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row>
  </sheetData>
  <printOptions headings="1" horizontalCentered="1"/>
  <pageMargins left="0.25" right="0.25" top="0.5" bottom="0.5" header="0.25" footer="0.25"/>
  <pageSetup horizontalDpi="600" verticalDpi="600" orientation="portrait" pageOrder="overThenDown" scale="80" r:id="rId1"/>
  <headerFooter alignWithMargins="0">
    <oddFooter>&amp;C&amp;P, &amp;A, &amp;F</oddFooter>
  </headerFooter>
</worksheet>
</file>

<file path=xl/worksheets/sheet6.xml><?xml version="1.0" encoding="utf-8"?>
<worksheet xmlns="http://schemas.openxmlformats.org/spreadsheetml/2006/main" xmlns:r="http://schemas.openxmlformats.org/officeDocument/2006/relationships">
  <dimension ref="A1:U114"/>
  <sheetViews>
    <sheetView workbookViewId="0" topLeftCell="B1">
      <selection activeCell="B1" sqref="B1"/>
    </sheetView>
  </sheetViews>
  <sheetFormatPr defaultColWidth="9.140625" defaultRowHeight="12.75"/>
  <cols>
    <col min="1" max="1" width="2.28125" style="3" hidden="1" customWidth="1"/>
    <col min="2" max="2" width="22.57421875" style="2" customWidth="1"/>
    <col min="3" max="3" width="6.421875" style="2" customWidth="1"/>
    <col min="4" max="4" width="9.28125" style="2" customWidth="1"/>
    <col min="5" max="5" width="6.421875" style="2" customWidth="1"/>
    <col min="6" max="6" width="2.8515625" style="3" customWidth="1"/>
    <col min="7" max="7" width="10.28125" style="4" customWidth="1"/>
    <col min="8" max="8" width="4.00390625" style="4" customWidth="1"/>
    <col min="9" max="9" width="10.7109375" style="3" customWidth="1"/>
    <col min="10" max="10" width="4.28125" style="3" customWidth="1"/>
    <col min="11" max="11" width="8.8515625" style="3" customWidth="1"/>
    <col min="12" max="12" width="11.8515625" style="3" customWidth="1"/>
    <col min="13" max="13" width="14.00390625" style="3" customWidth="1"/>
    <col min="14" max="14" width="15.00390625" style="3" customWidth="1"/>
    <col min="15" max="15" width="7.00390625" style="3" customWidth="1"/>
    <col min="16" max="16" width="6.7109375" style="3" customWidth="1"/>
    <col min="17" max="17" width="6.8515625" style="3" customWidth="1"/>
    <col min="18" max="18" width="9.00390625" style="3" customWidth="1"/>
    <col min="19" max="19" width="9.28125" style="3" customWidth="1"/>
    <col min="20" max="20" width="1.57421875" style="3" customWidth="1"/>
    <col min="21" max="21" width="14.28125" style="3" customWidth="1"/>
    <col min="22" max="22" width="16.140625" style="3" customWidth="1"/>
    <col min="23" max="16384" width="8.8515625" style="3" customWidth="1"/>
  </cols>
  <sheetData>
    <row r="1" spans="2:21" ht="12.75">
      <c r="B1" s="26" t="s">
        <v>228</v>
      </c>
      <c r="C1" s="26"/>
      <c r="D1" s="9"/>
      <c r="E1" s="9"/>
      <c r="F1" s="27"/>
      <c r="G1" s="28"/>
      <c r="H1" s="28"/>
      <c r="I1" s="27"/>
      <c r="J1" s="27"/>
      <c r="K1" s="27"/>
      <c r="L1" s="27"/>
      <c r="M1" s="27"/>
      <c r="N1" s="27"/>
      <c r="O1" s="27"/>
      <c r="P1" s="27"/>
      <c r="Q1" s="27"/>
      <c r="R1" s="27"/>
      <c r="S1" s="27"/>
      <c r="T1" s="27"/>
      <c r="U1" s="27"/>
    </row>
    <row r="2" spans="2:21" ht="12.75">
      <c r="B2" s="9"/>
      <c r="C2" s="9"/>
      <c r="D2" s="9"/>
      <c r="E2" s="9"/>
      <c r="F2" s="27"/>
      <c r="G2" s="28"/>
      <c r="H2" s="28"/>
      <c r="I2" s="27"/>
      <c r="J2" s="27"/>
      <c r="K2" s="27"/>
      <c r="L2" s="27"/>
      <c r="M2" s="27"/>
      <c r="N2" s="27"/>
      <c r="O2" s="27"/>
      <c r="P2" s="27"/>
      <c r="Q2" s="27"/>
      <c r="R2" s="27"/>
      <c r="S2" s="27"/>
      <c r="T2" s="27"/>
      <c r="U2" s="27"/>
    </row>
    <row r="3" spans="2:21" ht="12.75">
      <c r="B3" s="9"/>
      <c r="C3" s="9"/>
      <c r="D3" s="9"/>
      <c r="E3" s="9"/>
      <c r="F3" s="27"/>
      <c r="G3" s="28"/>
      <c r="H3" s="28"/>
      <c r="I3" s="27"/>
      <c r="J3" s="27"/>
      <c r="K3" s="27"/>
      <c r="L3" s="27"/>
      <c r="M3" s="27"/>
      <c r="N3" s="27"/>
      <c r="O3" s="27"/>
      <c r="P3" s="27"/>
      <c r="Q3" s="27"/>
      <c r="R3" s="27"/>
      <c r="S3" s="27"/>
      <c r="T3" s="27"/>
      <c r="U3" s="27"/>
    </row>
    <row r="4" spans="1:21" ht="12.75">
      <c r="A4" s="3" t="s">
        <v>84</v>
      </c>
      <c r="B4" s="26" t="str">
        <f>'emiss 1'!B6</f>
        <v>346C10</v>
      </c>
      <c r="C4" s="26"/>
      <c r="D4" s="9"/>
      <c r="E4" s="9"/>
      <c r="F4" s="27"/>
      <c r="I4" s="27"/>
      <c r="J4" s="27"/>
      <c r="K4" s="27"/>
      <c r="L4" s="27"/>
      <c r="M4" s="27"/>
      <c r="N4" s="27"/>
      <c r="O4" s="27"/>
      <c r="P4" s="27"/>
      <c r="Q4" s="27"/>
      <c r="R4" s="27"/>
      <c r="S4" s="27"/>
      <c r="T4" s="27"/>
      <c r="U4" s="27"/>
    </row>
    <row r="5" spans="2:21" ht="12.75">
      <c r="B5" s="9"/>
      <c r="C5" s="9"/>
      <c r="D5" s="9"/>
      <c r="E5" s="9"/>
      <c r="F5" s="27"/>
      <c r="G5" s="29"/>
      <c r="H5" s="29"/>
      <c r="I5" s="29"/>
      <c r="J5" s="29"/>
      <c r="K5" s="29"/>
      <c r="L5" s="29"/>
      <c r="M5" s="29"/>
      <c r="N5" s="29"/>
      <c r="O5" s="27"/>
      <c r="P5" s="27"/>
      <c r="Q5" s="27"/>
      <c r="R5" s="50"/>
      <c r="S5" s="27"/>
      <c r="T5" s="27"/>
      <c r="U5" s="27"/>
    </row>
    <row r="6" spans="2:19" s="50" customFormat="1" ht="12.75">
      <c r="B6" s="50" t="s">
        <v>227</v>
      </c>
      <c r="F6" s="48"/>
      <c r="G6" s="59"/>
      <c r="H6" s="59"/>
      <c r="I6" s="59"/>
      <c r="J6" s="59"/>
      <c r="K6" s="59"/>
      <c r="L6" s="59"/>
      <c r="M6" s="59"/>
      <c r="N6" s="59"/>
      <c r="S6" s="54"/>
    </row>
    <row r="7" spans="2:21" ht="12.75">
      <c r="B7" s="9"/>
      <c r="C7" s="9"/>
      <c r="D7" s="9"/>
      <c r="E7" s="9"/>
      <c r="F7"/>
      <c r="G7"/>
      <c r="H7"/>
      <c r="I7"/>
      <c r="J7"/>
      <c r="K7"/>
      <c r="L7"/>
      <c r="M7"/>
      <c r="N7" s="64"/>
      <c r="O7" s="40"/>
      <c r="P7" s="40"/>
      <c r="Q7" s="40"/>
      <c r="R7" s="63"/>
      <c r="S7" s="27"/>
      <c r="T7" s="27"/>
      <c r="U7" s="27"/>
    </row>
    <row r="8" spans="2:21" ht="12.75">
      <c r="B8" s="9"/>
      <c r="C8" s="9"/>
      <c r="D8" s="9"/>
      <c r="E8" s="9"/>
      <c r="F8"/>
      <c r="G8"/>
      <c r="H8"/>
      <c r="I8"/>
      <c r="J8"/>
      <c r="K8"/>
      <c r="L8"/>
      <c r="M8"/>
      <c r="N8" s="63"/>
      <c r="O8" s="40"/>
      <c r="P8" s="40"/>
      <c r="Q8" s="40"/>
      <c r="R8" s="63"/>
      <c r="S8" s="27"/>
      <c r="T8" s="27"/>
      <c r="U8" s="27"/>
    </row>
    <row r="9" spans="2:21" ht="12.75">
      <c r="B9" s="9"/>
      <c r="C9" s="9"/>
      <c r="D9" s="9"/>
      <c r="E9" s="9"/>
      <c r="F9" s="29"/>
      <c r="G9" s="61"/>
      <c r="H9" s="61"/>
      <c r="I9" s="61"/>
      <c r="J9" s="61"/>
      <c r="K9" s="61"/>
      <c r="L9" s="61"/>
      <c r="M9" s="62"/>
      <c r="N9" s="63"/>
      <c r="O9" s="62"/>
      <c r="P9" s="62"/>
      <c r="Q9" s="62"/>
      <c r="R9" s="63"/>
      <c r="S9" s="27"/>
      <c r="T9" s="27"/>
      <c r="U9" s="27"/>
    </row>
    <row r="10" spans="2:21" ht="12.75">
      <c r="B10" s="9"/>
      <c r="C10" s="9"/>
      <c r="D10" s="9"/>
      <c r="E10" s="9"/>
      <c r="F10" s="27"/>
      <c r="G10" s="61"/>
      <c r="H10" s="61"/>
      <c r="I10" s="62"/>
      <c r="J10" s="62"/>
      <c r="K10" s="62"/>
      <c r="L10" s="62"/>
      <c r="M10" s="62"/>
      <c r="N10" s="63"/>
      <c r="O10" s="62"/>
      <c r="P10" s="62"/>
      <c r="Q10" s="62"/>
      <c r="R10" s="63"/>
      <c r="S10" s="27"/>
      <c r="T10" s="27"/>
      <c r="U10" s="27"/>
    </row>
    <row r="11" spans="2:21" ht="12.75">
      <c r="B11" s="9"/>
      <c r="C11" s="9"/>
      <c r="D11" s="9"/>
      <c r="E11" s="9"/>
      <c r="F11" s="27"/>
      <c r="G11" s="61"/>
      <c r="H11" s="61"/>
      <c r="I11" s="62"/>
      <c r="J11" s="62"/>
      <c r="K11" s="62"/>
      <c r="L11" s="62"/>
      <c r="M11" s="62"/>
      <c r="N11" s="63"/>
      <c r="O11" s="62"/>
      <c r="P11" s="62"/>
      <c r="Q11" s="62"/>
      <c r="R11" s="63"/>
      <c r="S11" s="27"/>
      <c r="T11" s="27"/>
      <c r="U11" s="27"/>
    </row>
    <row r="12" spans="2:21" ht="12.75">
      <c r="B12" s="9"/>
      <c r="C12" s="9"/>
      <c r="D12" s="9"/>
      <c r="E12" s="9"/>
      <c r="F12" s="27"/>
      <c r="G12" s="61"/>
      <c r="H12" s="61"/>
      <c r="I12" s="62"/>
      <c r="J12" s="62"/>
      <c r="K12" s="62"/>
      <c r="L12" s="62"/>
      <c r="M12" s="62"/>
      <c r="N12" s="63"/>
      <c r="O12" s="62"/>
      <c r="P12" s="62"/>
      <c r="Q12" s="62"/>
      <c r="R12" s="63"/>
      <c r="S12" s="27"/>
      <c r="T12" s="27"/>
      <c r="U12" s="27"/>
    </row>
    <row r="13" spans="2:21" ht="12.75">
      <c r="B13" s="9"/>
      <c r="C13" s="9"/>
      <c r="D13" s="9"/>
      <c r="E13" s="9"/>
      <c r="F13" s="27"/>
      <c r="G13" s="61"/>
      <c r="H13" s="61"/>
      <c r="I13" s="62"/>
      <c r="J13" s="62"/>
      <c r="K13" s="62"/>
      <c r="L13" s="62"/>
      <c r="M13" s="62"/>
      <c r="N13" s="63"/>
      <c r="O13" s="62"/>
      <c r="P13" s="62"/>
      <c r="Q13" s="62"/>
      <c r="R13" s="63"/>
      <c r="S13" s="27"/>
      <c r="T13" s="27"/>
      <c r="U13" s="27"/>
    </row>
    <row r="14" spans="2:21" ht="12.75">
      <c r="B14" s="9"/>
      <c r="C14" s="9"/>
      <c r="D14" s="9"/>
      <c r="E14" s="9"/>
      <c r="F14" s="27"/>
      <c r="G14" s="61"/>
      <c r="H14" s="61"/>
      <c r="I14" s="62"/>
      <c r="J14" s="62"/>
      <c r="K14" s="62"/>
      <c r="L14" s="62"/>
      <c r="M14" s="62"/>
      <c r="N14" s="63"/>
      <c r="O14" s="62"/>
      <c r="P14" s="62"/>
      <c r="Q14" s="62"/>
      <c r="R14" s="63"/>
      <c r="S14" s="27"/>
      <c r="T14" s="27"/>
      <c r="U14" s="27"/>
    </row>
    <row r="15" spans="2:21" ht="12.75">
      <c r="B15" s="9"/>
      <c r="C15" s="9"/>
      <c r="D15" s="9"/>
      <c r="E15" s="9"/>
      <c r="F15" s="27"/>
      <c r="G15" s="61"/>
      <c r="H15" s="61"/>
      <c r="I15" s="62"/>
      <c r="J15" s="62"/>
      <c r="K15" s="62"/>
      <c r="L15" s="62"/>
      <c r="M15" s="62"/>
      <c r="N15" s="63"/>
      <c r="O15" s="62"/>
      <c r="P15" s="62"/>
      <c r="Q15" s="62"/>
      <c r="R15" s="63"/>
      <c r="S15" s="27"/>
      <c r="T15" s="27"/>
      <c r="U15" s="27"/>
    </row>
    <row r="16" spans="2:21" ht="12.75">
      <c r="B16" s="9"/>
      <c r="C16" s="9"/>
      <c r="D16" s="9"/>
      <c r="E16" s="9"/>
      <c r="F16" s="27"/>
      <c r="G16" s="61"/>
      <c r="H16" s="61"/>
      <c r="I16" s="62"/>
      <c r="J16" s="62"/>
      <c r="K16" s="62"/>
      <c r="L16" s="62"/>
      <c r="M16" s="62"/>
      <c r="N16" s="63"/>
      <c r="O16" s="62"/>
      <c r="P16" s="62"/>
      <c r="Q16" s="62"/>
      <c r="R16" s="63"/>
      <c r="S16" s="27"/>
      <c r="T16" s="27"/>
      <c r="U16" s="27"/>
    </row>
    <row r="17" spans="2:21" ht="12.75">
      <c r="B17" s="9"/>
      <c r="C17" s="9"/>
      <c r="D17" s="9"/>
      <c r="E17" s="9"/>
      <c r="F17" s="27"/>
      <c r="G17" s="61"/>
      <c r="H17" s="61"/>
      <c r="I17" s="61"/>
      <c r="J17" s="61"/>
      <c r="K17" s="61"/>
      <c r="L17" s="61"/>
      <c r="M17" s="62"/>
      <c r="N17" s="63"/>
      <c r="O17" s="62"/>
      <c r="P17" s="62"/>
      <c r="Q17" s="62"/>
      <c r="R17" s="63"/>
      <c r="S17" s="27"/>
      <c r="T17" s="27"/>
      <c r="U17" s="27"/>
    </row>
    <row r="18" spans="2:21" ht="12.75">
      <c r="B18" s="9"/>
      <c r="C18" s="9"/>
      <c r="D18" s="9"/>
      <c r="E18" s="9"/>
      <c r="F18" s="27"/>
      <c r="G18" s="61"/>
      <c r="H18" s="61"/>
      <c r="I18" s="61"/>
      <c r="J18" s="61"/>
      <c r="K18" s="61"/>
      <c r="L18" s="61"/>
      <c r="M18" s="62"/>
      <c r="N18" s="63"/>
      <c r="O18" s="62"/>
      <c r="P18" s="62"/>
      <c r="Q18" s="62"/>
      <c r="R18" s="63"/>
      <c r="S18" s="27"/>
      <c r="T18" s="27"/>
      <c r="U18" s="27"/>
    </row>
    <row r="19" spans="2:21" ht="12.75">
      <c r="B19" s="9"/>
      <c r="C19" s="9"/>
      <c r="D19" s="9"/>
      <c r="E19" s="9"/>
      <c r="F19" s="27"/>
      <c r="G19" s="61"/>
      <c r="H19" s="61"/>
      <c r="I19" s="61"/>
      <c r="J19" s="61"/>
      <c r="K19" s="61"/>
      <c r="L19" s="61"/>
      <c r="M19" s="62"/>
      <c r="N19" s="63"/>
      <c r="O19" s="62"/>
      <c r="P19" s="62"/>
      <c r="Q19" s="62"/>
      <c r="R19" s="63"/>
      <c r="S19" s="27"/>
      <c r="T19" s="27"/>
      <c r="U19" s="27"/>
    </row>
    <row r="20" spans="2:21" ht="12.75">
      <c r="B20" s="9"/>
      <c r="C20" s="9"/>
      <c r="D20" s="9"/>
      <c r="E20" s="9"/>
      <c r="F20" s="27"/>
      <c r="G20" s="61"/>
      <c r="H20" s="61"/>
      <c r="I20" s="61"/>
      <c r="J20" s="61"/>
      <c r="K20" s="61"/>
      <c r="L20" s="61"/>
      <c r="M20" s="62"/>
      <c r="N20" s="63"/>
      <c r="O20" s="62"/>
      <c r="P20" s="62"/>
      <c r="Q20" s="62"/>
      <c r="R20" s="63"/>
      <c r="S20" s="27"/>
      <c r="T20" s="27"/>
      <c r="U20" s="27"/>
    </row>
    <row r="21" spans="2:21" ht="12.75">
      <c r="B21" s="9"/>
      <c r="C21" s="9"/>
      <c r="D21" s="9"/>
      <c r="E21" s="9"/>
      <c r="F21" s="27"/>
      <c r="G21" s="61"/>
      <c r="H21" s="61"/>
      <c r="I21" s="62"/>
      <c r="J21" s="62"/>
      <c r="K21" s="62"/>
      <c r="L21" s="62"/>
      <c r="M21" s="62"/>
      <c r="N21" s="63"/>
      <c r="O21" s="62"/>
      <c r="P21" s="62"/>
      <c r="Q21" s="62"/>
      <c r="R21" s="63"/>
      <c r="S21" s="27"/>
      <c r="T21" s="27"/>
      <c r="U21" s="27"/>
    </row>
    <row r="22" spans="2:21" ht="12.75">
      <c r="B22" s="9"/>
      <c r="C22" s="9"/>
      <c r="D22" s="9"/>
      <c r="E22" s="9"/>
      <c r="F22" s="27"/>
      <c r="G22" s="61"/>
      <c r="H22" s="61"/>
      <c r="I22" s="62"/>
      <c r="J22" s="62"/>
      <c r="K22" s="62"/>
      <c r="L22" s="62"/>
      <c r="M22" s="62"/>
      <c r="N22" s="63"/>
      <c r="O22" s="62"/>
      <c r="P22" s="62"/>
      <c r="Q22" s="62"/>
      <c r="R22" s="63"/>
      <c r="S22" s="30"/>
      <c r="T22" s="30"/>
      <c r="U22" s="27"/>
    </row>
    <row r="23" spans="2:21" ht="12.75">
      <c r="B23" s="9"/>
      <c r="C23" s="9"/>
      <c r="D23" s="9"/>
      <c r="E23" s="9"/>
      <c r="F23" s="27"/>
      <c r="G23" s="61"/>
      <c r="H23" s="61"/>
      <c r="I23" s="62"/>
      <c r="J23" s="62"/>
      <c r="K23" s="62"/>
      <c r="L23" s="62"/>
      <c r="M23" s="62"/>
      <c r="N23" s="63"/>
      <c r="O23" s="62"/>
      <c r="P23" s="62"/>
      <c r="Q23" s="62"/>
      <c r="R23" s="63"/>
      <c r="S23" s="10"/>
      <c r="T23" s="10"/>
      <c r="U23" s="27"/>
    </row>
    <row r="24" spans="2:21" ht="12.75">
      <c r="B24" s="9"/>
      <c r="C24" s="9"/>
      <c r="D24" s="9"/>
      <c r="E24" s="9"/>
      <c r="F24" s="27"/>
      <c r="G24" s="61"/>
      <c r="H24" s="61"/>
      <c r="I24" s="62"/>
      <c r="J24" s="62"/>
      <c r="K24" s="62"/>
      <c r="L24" s="62"/>
      <c r="M24" s="62"/>
      <c r="N24" s="63"/>
      <c r="O24" s="62"/>
      <c r="P24" s="62"/>
      <c r="Q24" s="62"/>
      <c r="R24" s="63"/>
      <c r="S24" s="10"/>
      <c r="T24" s="10"/>
      <c r="U24" s="27"/>
    </row>
    <row r="25" spans="2:21" ht="12.75">
      <c r="B25" s="9"/>
      <c r="C25" s="45"/>
      <c r="D25" s="9"/>
      <c r="E25" s="9"/>
      <c r="F25" s="27"/>
      <c r="G25" s="61"/>
      <c r="H25" s="61"/>
      <c r="I25" s="62"/>
      <c r="J25" s="62"/>
      <c r="K25" s="62"/>
      <c r="L25" s="62"/>
      <c r="M25" s="62"/>
      <c r="N25" s="63"/>
      <c r="O25" s="62"/>
      <c r="P25" s="62"/>
      <c r="Q25" s="62"/>
      <c r="R25" s="63"/>
      <c r="S25" s="10"/>
      <c r="T25" s="10"/>
      <c r="U25" s="27"/>
    </row>
    <row r="26" spans="2:21" ht="12.75">
      <c r="B26" s="9"/>
      <c r="C26" s="9"/>
      <c r="D26" s="9"/>
      <c r="E26" s="9"/>
      <c r="F26" s="17"/>
      <c r="G26" s="61"/>
      <c r="H26" s="61"/>
      <c r="I26" s="62"/>
      <c r="J26" s="62"/>
      <c r="K26" s="62"/>
      <c r="L26" s="62"/>
      <c r="M26" s="62"/>
      <c r="N26" s="63"/>
      <c r="O26" s="62"/>
      <c r="P26" s="62"/>
      <c r="Q26" s="62"/>
      <c r="R26" s="63"/>
      <c r="S26" s="27"/>
      <c r="T26" s="27"/>
      <c r="U26" s="27"/>
    </row>
    <row r="27" spans="2:21" ht="12.75">
      <c r="B27" s="9"/>
      <c r="C27" s="9"/>
      <c r="D27" s="9"/>
      <c r="E27" s="9"/>
      <c r="F27" s="17"/>
      <c r="G27" s="61"/>
      <c r="H27" s="61"/>
      <c r="I27" s="61"/>
      <c r="J27" s="61"/>
      <c r="K27" s="61"/>
      <c r="L27" s="61"/>
      <c r="M27" s="62"/>
      <c r="N27" s="63"/>
      <c r="O27" s="62"/>
      <c r="P27" s="62"/>
      <c r="Q27" s="62"/>
      <c r="R27" s="63"/>
      <c r="S27" s="27"/>
      <c r="T27" s="27"/>
      <c r="U27" s="27"/>
    </row>
    <row r="28" spans="2:21" ht="12.75">
      <c r="B28" s="9"/>
      <c r="C28" s="9"/>
      <c r="D28" s="9"/>
      <c r="E28" s="9"/>
      <c r="F28" s="27"/>
      <c r="G28" s="61"/>
      <c r="H28" s="61"/>
      <c r="I28" s="62"/>
      <c r="J28" s="62"/>
      <c r="K28" s="62"/>
      <c r="L28" s="62"/>
      <c r="M28" s="62"/>
      <c r="N28" s="63"/>
      <c r="O28" s="62"/>
      <c r="P28" s="62"/>
      <c r="Q28" s="62"/>
      <c r="R28" s="63"/>
      <c r="S28" s="27"/>
      <c r="T28" s="27"/>
      <c r="U28" s="27"/>
    </row>
    <row r="29" spans="2:21" ht="12.75">
      <c r="B29" s="9"/>
      <c r="C29" s="9"/>
      <c r="D29" s="9"/>
      <c r="E29" s="9"/>
      <c r="F29" s="27"/>
      <c r="G29" s="10"/>
      <c r="H29" s="10"/>
      <c r="I29" s="27"/>
      <c r="J29" s="27"/>
      <c r="K29" s="27"/>
      <c r="L29" s="27"/>
      <c r="M29" s="27"/>
      <c r="N29" s="27"/>
      <c r="O29" s="27"/>
      <c r="P29" s="27"/>
      <c r="Q29" s="27"/>
      <c r="R29" s="27"/>
      <c r="S29" s="27"/>
      <c r="T29" s="27"/>
      <c r="U29" s="27"/>
    </row>
    <row r="30" spans="2:21" ht="12.75">
      <c r="B30" s="9"/>
      <c r="D30" s="9"/>
      <c r="E30" s="9"/>
      <c r="F30" s="29"/>
      <c r="G30" s="10"/>
      <c r="H30" s="10"/>
      <c r="I30" s="27"/>
      <c r="J30" s="27"/>
      <c r="K30" s="27"/>
      <c r="L30" s="27"/>
      <c r="M30" s="27"/>
      <c r="N30" s="27"/>
      <c r="O30" s="27"/>
      <c r="P30" s="27"/>
      <c r="Q30" s="27"/>
      <c r="R30" s="27"/>
      <c r="S30" s="27"/>
      <c r="T30" s="27"/>
      <c r="U30" s="27"/>
    </row>
    <row r="31" spans="2:21" ht="12.75">
      <c r="B31" s="9"/>
      <c r="D31" s="9"/>
      <c r="E31" s="9"/>
      <c r="F31" s="29"/>
      <c r="G31" s="10"/>
      <c r="H31" s="10"/>
      <c r="I31" s="27"/>
      <c r="J31" s="27"/>
      <c r="K31" s="27"/>
      <c r="L31" s="27"/>
      <c r="M31" s="27"/>
      <c r="N31" s="27"/>
      <c r="O31" s="27"/>
      <c r="P31" s="27"/>
      <c r="Q31" s="27"/>
      <c r="R31" s="27"/>
      <c r="S31" s="27"/>
      <c r="T31" s="27"/>
      <c r="U31" s="27"/>
    </row>
    <row r="32" spans="2:21" ht="12.75">
      <c r="B32" s="9"/>
      <c r="C32" s="9"/>
      <c r="D32" s="9"/>
      <c r="E32" s="9"/>
      <c r="F32" s="29"/>
      <c r="G32" s="10"/>
      <c r="H32" s="10"/>
      <c r="I32" s="27"/>
      <c r="J32" s="27"/>
      <c r="K32" s="27"/>
      <c r="L32" s="27"/>
      <c r="M32" s="27"/>
      <c r="N32" s="27"/>
      <c r="O32" s="27"/>
      <c r="P32" s="27"/>
      <c r="Q32" s="27"/>
      <c r="R32" s="27"/>
      <c r="S32" s="27"/>
      <c r="T32" s="27"/>
      <c r="U32" s="27"/>
    </row>
    <row r="33" spans="2:21" ht="12.75">
      <c r="B33" s="45"/>
      <c r="C33" s="9"/>
      <c r="D33" s="9"/>
      <c r="E33" s="9"/>
      <c r="F33" s="27"/>
      <c r="G33" s="10"/>
      <c r="H33" s="10"/>
      <c r="I33" s="27"/>
      <c r="J33" s="27"/>
      <c r="K33" s="27"/>
      <c r="L33" s="27"/>
      <c r="M33" s="27"/>
      <c r="N33" s="27"/>
      <c r="O33" s="27"/>
      <c r="P33" s="27"/>
      <c r="Q33" s="27"/>
      <c r="R33" s="27"/>
      <c r="S33" s="27"/>
      <c r="T33" s="27"/>
      <c r="U33" s="27"/>
    </row>
    <row r="34" spans="2:21" ht="12.75">
      <c r="B34" s="9"/>
      <c r="C34" s="9"/>
      <c r="D34" s="9"/>
      <c r="E34" s="9"/>
      <c r="F34" s="27"/>
      <c r="G34" s="10"/>
      <c r="H34" s="10"/>
      <c r="I34" s="27"/>
      <c r="J34" s="27"/>
      <c r="K34" s="27"/>
      <c r="L34" s="27"/>
      <c r="M34" s="27"/>
      <c r="N34" s="30"/>
      <c r="O34" s="27"/>
      <c r="P34" s="27"/>
      <c r="Q34" s="27"/>
      <c r="R34" s="30"/>
      <c r="S34" s="30"/>
      <c r="T34" s="27"/>
      <c r="U34" s="27"/>
    </row>
    <row r="35" spans="2:21" ht="12.75">
      <c r="B35" s="9"/>
      <c r="C35" s="9"/>
      <c r="D35" s="9"/>
      <c r="E35" s="9"/>
      <c r="F35" s="27"/>
      <c r="G35" s="10"/>
      <c r="H35" s="10"/>
      <c r="I35" s="27"/>
      <c r="J35" s="27"/>
      <c r="K35" s="27"/>
      <c r="L35" s="27"/>
      <c r="M35" s="27"/>
      <c r="N35" s="30"/>
      <c r="O35" s="27"/>
      <c r="P35" s="27"/>
      <c r="Q35" s="27"/>
      <c r="R35" s="30"/>
      <c r="S35" s="30"/>
      <c r="T35" s="27"/>
      <c r="U35" s="27"/>
    </row>
    <row r="36" spans="2:21" ht="12.75">
      <c r="B36" s="9"/>
      <c r="C36" s="9"/>
      <c r="D36" s="9"/>
      <c r="E36" s="9"/>
      <c r="F36" s="27"/>
      <c r="G36" s="10"/>
      <c r="H36" s="10"/>
      <c r="I36" s="27"/>
      <c r="J36" s="27"/>
      <c r="K36" s="27"/>
      <c r="L36" s="27"/>
      <c r="M36" s="27"/>
      <c r="N36" s="30"/>
      <c r="O36" s="27"/>
      <c r="P36" s="27"/>
      <c r="Q36" s="27"/>
      <c r="R36" s="30"/>
      <c r="S36" s="30"/>
      <c r="T36" s="27"/>
      <c r="U36" s="27"/>
    </row>
    <row r="37" spans="2:21" ht="12.75">
      <c r="B37" s="9"/>
      <c r="C37" s="9"/>
      <c r="D37" s="9"/>
      <c r="E37" s="9"/>
      <c r="F37" s="27"/>
      <c r="G37" s="10"/>
      <c r="H37" s="10"/>
      <c r="I37" s="27"/>
      <c r="J37" s="27"/>
      <c r="K37" s="27"/>
      <c r="L37" s="27"/>
      <c r="M37" s="27"/>
      <c r="N37" s="30"/>
      <c r="O37" s="27"/>
      <c r="P37" s="27"/>
      <c r="Q37" s="27"/>
      <c r="R37" s="30"/>
      <c r="S37" s="30"/>
      <c r="T37" s="27"/>
      <c r="U37" s="27"/>
    </row>
    <row r="38" spans="2:21" ht="12.75">
      <c r="B38" s="9"/>
      <c r="C38" s="9"/>
      <c r="D38" s="9"/>
      <c r="E38" s="9"/>
      <c r="F38" s="27"/>
      <c r="G38" s="10"/>
      <c r="H38" s="10"/>
      <c r="I38" s="27"/>
      <c r="J38" s="27"/>
      <c r="K38" s="27"/>
      <c r="L38" s="27"/>
      <c r="M38" s="27"/>
      <c r="N38" s="30"/>
      <c r="O38" s="27"/>
      <c r="P38" s="27"/>
      <c r="Q38" s="27"/>
      <c r="R38" s="30"/>
      <c r="S38" s="30"/>
      <c r="T38" s="27"/>
      <c r="U38" s="27"/>
    </row>
    <row r="39" spans="2:21" ht="12.75">
      <c r="B39" s="9"/>
      <c r="C39" s="9"/>
      <c r="D39" s="9"/>
      <c r="E39" s="9"/>
      <c r="F39" s="27"/>
      <c r="G39" s="10"/>
      <c r="H39" s="10"/>
      <c r="I39" s="27"/>
      <c r="J39" s="27"/>
      <c r="K39" s="27"/>
      <c r="L39" s="27"/>
      <c r="M39" s="27"/>
      <c r="N39" s="30"/>
      <c r="O39" s="27"/>
      <c r="P39" s="27"/>
      <c r="Q39" s="27"/>
      <c r="R39" s="30"/>
      <c r="S39" s="30"/>
      <c r="T39" s="27"/>
      <c r="U39" s="27"/>
    </row>
    <row r="40" spans="2:21" ht="12.75">
      <c r="B40" s="9"/>
      <c r="C40" s="9"/>
      <c r="D40" s="9"/>
      <c r="E40" s="9"/>
      <c r="F40" s="27"/>
      <c r="G40" s="10"/>
      <c r="H40" s="10"/>
      <c r="I40" s="27"/>
      <c r="J40" s="27"/>
      <c r="K40" s="27"/>
      <c r="L40" s="27"/>
      <c r="M40" s="27"/>
      <c r="N40" s="30"/>
      <c r="O40" s="27"/>
      <c r="P40" s="27"/>
      <c r="Q40" s="27"/>
      <c r="R40" s="30"/>
      <c r="S40" s="30"/>
      <c r="T40" s="27"/>
      <c r="U40" s="27"/>
    </row>
    <row r="41" spans="2:21" ht="12.75">
      <c r="B41" s="9"/>
      <c r="C41" s="9"/>
      <c r="D41" s="9"/>
      <c r="E41" s="9"/>
      <c r="F41" s="27"/>
      <c r="G41" s="10"/>
      <c r="H41" s="10"/>
      <c r="I41" s="27"/>
      <c r="J41" s="27"/>
      <c r="K41" s="27"/>
      <c r="L41" s="27"/>
      <c r="M41" s="27"/>
      <c r="N41" s="30"/>
      <c r="O41" s="27"/>
      <c r="P41" s="27"/>
      <c r="Q41" s="27"/>
      <c r="R41" s="30"/>
      <c r="S41" s="30"/>
      <c r="T41" s="27"/>
      <c r="U41" s="27"/>
    </row>
    <row r="42" spans="2:21" ht="12.75">
      <c r="B42" s="9"/>
      <c r="C42" s="9"/>
      <c r="D42" s="9"/>
      <c r="E42" s="9"/>
      <c r="F42" s="27"/>
      <c r="G42" s="10"/>
      <c r="H42" s="10"/>
      <c r="I42" s="27"/>
      <c r="J42" s="27"/>
      <c r="K42" s="27"/>
      <c r="L42" s="27"/>
      <c r="M42" s="27"/>
      <c r="N42" s="30"/>
      <c r="O42" s="27"/>
      <c r="P42" s="27"/>
      <c r="Q42" s="27"/>
      <c r="R42" s="30"/>
      <c r="S42" s="30"/>
      <c r="T42" s="27"/>
      <c r="U42" s="27"/>
    </row>
    <row r="43" spans="2:21" ht="12.75">
      <c r="B43" s="9"/>
      <c r="C43" s="9"/>
      <c r="D43" s="9"/>
      <c r="E43" s="9"/>
      <c r="F43" s="27"/>
      <c r="G43" s="28"/>
      <c r="H43" s="28"/>
      <c r="I43" s="27"/>
      <c r="J43" s="27"/>
      <c r="K43" s="27"/>
      <c r="L43" s="27"/>
      <c r="M43" s="27"/>
      <c r="N43" s="30"/>
      <c r="O43" s="27"/>
      <c r="P43" s="27"/>
      <c r="Q43" s="27"/>
      <c r="R43" s="30"/>
      <c r="S43" s="30"/>
      <c r="T43" s="27"/>
      <c r="U43" s="27"/>
    </row>
    <row r="44" spans="2:21" ht="12.75">
      <c r="B44" s="9"/>
      <c r="C44" s="26"/>
      <c r="D44" s="9"/>
      <c r="E44" s="9"/>
      <c r="F44" s="27"/>
      <c r="G44" s="28"/>
      <c r="H44" s="28"/>
      <c r="I44" s="27"/>
      <c r="J44" s="27"/>
      <c r="K44" s="27"/>
      <c r="L44" s="27"/>
      <c r="M44" s="27"/>
      <c r="N44" s="30"/>
      <c r="O44" s="27"/>
      <c r="P44" s="27"/>
      <c r="Q44" s="27"/>
      <c r="R44" s="30"/>
      <c r="S44" s="30"/>
      <c r="T44" s="27"/>
      <c r="U44" s="27"/>
    </row>
    <row r="45" spans="2:21" ht="12.75">
      <c r="B45" s="9"/>
      <c r="C45" s="9"/>
      <c r="D45" s="9"/>
      <c r="E45" s="9"/>
      <c r="F45" s="27"/>
      <c r="G45" s="28"/>
      <c r="H45" s="28"/>
      <c r="I45" s="27"/>
      <c r="J45" s="27"/>
      <c r="K45" s="27"/>
      <c r="L45" s="27"/>
      <c r="M45" s="27"/>
      <c r="N45" s="30"/>
      <c r="O45" s="27"/>
      <c r="P45" s="27"/>
      <c r="Q45" s="27"/>
      <c r="R45" s="30"/>
      <c r="S45" s="30"/>
      <c r="T45" s="27"/>
      <c r="U45" s="27"/>
    </row>
    <row r="46" spans="2:21" ht="12.75">
      <c r="B46" s="9"/>
      <c r="C46" s="9"/>
      <c r="D46" s="9"/>
      <c r="E46" s="9"/>
      <c r="F46" s="27"/>
      <c r="G46" s="28"/>
      <c r="H46" s="28"/>
      <c r="I46" s="27"/>
      <c r="J46" s="27"/>
      <c r="K46" s="27"/>
      <c r="L46" s="27"/>
      <c r="M46" s="27"/>
      <c r="N46" s="30"/>
      <c r="O46" s="27"/>
      <c r="P46" s="27"/>
      <c r="Q46" s="27"/>
      <c r="R46" s="30"/>
      <c r="S46" s="30"/>
      <c r="T46" s="27"/>
      <c r="U46" s="27"/>
    </row>
    <row r="47" spans="2:21" ht="12.75">
      <c r="B47" s="9"/>
      <c r="C47" s="9"/>
      <c r="D47" s="9"/>
      <c r="E47" s="9"/>
      <c r="F47" s="27"/>
      <c r="G47" s="28"/>
      <c r="H47" s="28"/>
      <c r="I47" s="27"/>
      <c r="J47" s="27"/>
      <c r="K47" s="27"/>
      <c r="L47" s="27"/>
      <c r="M47" s="27"/>
      <c r="N47" s="30"/>
      <c r="O47" s="27"/>
      <c r="P47" s="27"/>
      <c r="Q47" s="27"/>
      <c r="R47" s="30"/>
      <c r="S47" s="30"/>
      <c r="T47" s="27"/>
      <c r="U47" s="27"/>
    </row>
    <row r="48" spans="2:21" ht="12.75">
      <c r="B48" s="9"/>
      <c r="C48" s="9"/>
      <c r="D48" s="9"/>
      <c r="E48" s="9"/>
      <c r="F48" s="27"/>
      <c r="G48" s="28"/>
      <c r="H48" s="28"/>
      <c r="I48" s="27"/>
      <c r="J48" s="27"/>
      <c r="K48" s="27"/>
      <c r="L48" s="27"/>
      <c r="M48" s="27"/>
      <c r="N48" s="30"/>
      <c r="O48" s="27"/>
      <c r="P48" s="27"/>
      <c r="Q48" s="27"/>
      <c r="R48" s="30"/>
      <c r="S48" s="30"/>
      <c r="T48" s="27"/>
      <c r="U48" s="27"/>
    </row>
    <row r="49" spans="2:21" ht="12.75">
      <c r="B49" s="9"/>
      <c r="C49" s="9"/>
      <c r="D49" s="9"/>
      <c r="E49" s="9"/>
      <c r="F49" s="27"/>
      <c r="G49" s="28"/>
      <c r="H49" s="28"/>
      <c r="I49" s="27"/>
      <c r="J49" s="27"/>
      <c r="K49" s="27"/>
      <c r="L49" s="27"/>
      <c r="M49" s="27"/>
      <c r="N49" s="30"/>
      <c r="O49" s="27"/>
      <c r="P49" s="27"/>
      <c r="Q49" s="27"/>
      <c r="R49" s="30"/>
      <c r="S49" s="30"/>
      <c r="T49" s="27"/>
      <c r="U49" s="27"/>
    </row>
    <row r="50" spans="2:21" ht="12.75">
      <c r="B50" s="9"/>
      <c r="C50" s="9"/>
      <c r="D50" s="9"/>
      <c r="E50" s="9"/>
      <c r="F50" s="27"/>
      <c r="G50" s="28"/>
      <c r="H50" s="28"/>
      <c r="I50" s="27"/>
      <c r="J50" s="27"/>
      <c r="K50" s="27"/>
      <c r="L50" s="27"/>
      <c r="M50" s="27"/>
      <c r="N50" s="30"/>
      <c r="O50" s="27"/>
      <c r="P50" s="27"/>
      <c r="Q50" s="27"/>
      <c r="R50" s="30"/>
      <c r="S50" s="30"/>
      <c r="T50" s="27"/>
      <c r="U50" s="27"/>
    </row>
    <row r="51" spans="2:21" ht="12.75">
      <c r="B51" s="9"/>
      <c r="C51" s="9"/>
      <c r="D51" s="9"/>
      <c r="E51" s="9"/>
      <c r="F51" s="27"/>
      <c r="G51" s="28"/>
      <c r="H51" s="28"/>
      <c r="I51" s="27"/>
      <c r="J51" s="27"/>
      <c r="K51" s="27"/>
      <c r="L51" s="27"/>
      <c r="M51" s="27"/>
      <c r="N51" s="30"/>
      <c r="O51" s="27"/>
      <c r="P51" s="27"/>
      <c r="Q51" s="27"/>
      <c r="R51" s="30"/>
      <c r="S51" s="30"/>
      <c r="T51" s="27"/>
      <c r="U51" s="27"/>
    </row>
    <row r="52" spans="2:21" ht="12.75">
      <c r="B52" s="9"/>
      <c r="C52" s="9"/>
      <c r="D52" s="9"/>
      <c r="E52" s="9"/>
      <c r="F52" s="27"/>
      <c r="G52" s="28"/>
      <c r="H52" s="28"/>
      <c r="I52" s="27"/>
      <c r="J52" s="27"/>
      <c r="K52" s="27"/>
      <c r="L52" s="27"/>
      <c r="M52" s="27"/>
      <c r="N52" s="30"/>
      <c r="O52" s="27"/>
      <c r="P52" s="27"/>
      <c r="Q52" s="27"/>
      <c r="R52" s="30"/>
      <c r="S52" s="30"/>
      <c r="T52" s="27"/>
      <c r="U52" s="27"/>
    </row>
    <row r="53" spans="2:21" ht="12.75">
      <c r="B53" s="9"/>
      <c r="C53" s="9"/>
      <c r="D53" s="9"/>
      <c r="E53" s="9"/>
      <c r="F53" s="27"/>
      <c r="G53" s="28"/>
      <c r="H53" s="28"/>
      <c r="I53" s="27"/>
      <c r="J53" s="27"/>
      <c r="K53" s="27"/>
      <c r="L53" s="27"/>
      <c r="M53" s="27"/>
      <c r="N53" s="30"/>
      <c r="O53" s="27"/>
      <c r="P53" s="27"/>
      <c r="Q53" s="27"/>
      <c r="R53" s="30"/>
      <c r="S53" s="30"/>
      <c r="T53" s="27"/>
      <c r="U53" s="27"/>
    </row>
    <row r="55" spans="2:19" s="27" customFormat="1" ht="12.75">
      <c r="B55" s="9"/>
      <c r="C55" s="9"/>
      <c r="D55" s="9"/>
      <c r="E55" s="9"/>
      <c r="G55" s="28"/>
      <c r="H55" s="28"/>
      <c r="S55" s="30"/>
    </row>
    <row r="56" spans="2:19" s="27" customFormat="1" ht="12.75">
      <c r="B56" s="9"/>
      <c r="C56" s="9"/>
      <c r="D56" s="9"/>
      <c r="E56" s="9"/>
      <c r="G56" s="28"/>
      <c r="H56" s="28"/>
      <c r="S56" s="30"/>
    </row>
    <row r="60" spans="1:19" ht="12.75">
      <c r="A60" s="3" t="s">
        <v>84</v>
      </c>
      <c r="B60" s="26" t="str">
        <f>cond!C3</f>
        <v>346C10</v>
      </c>
      <c r="C60" s="26" t="str">
        <f>cond!C10</f>
        <v>GB Trial Burn</v>
      </c>
      <c r="D60" s="9"/>
      <c r="E60" s="9"/>
      <c r="F60" s="27"/>
      <c r="I60" s="27"/>
      <c r="J60" s="27"/>
      <c r="K60" s="27"/>
      <c r="L60" s="27"/>
      <c r="M60" s="27"/>
      <c r="N60" s="27"/>
      <c r="O60" s="27"/>
      <c r="P60" s="27"/>
      <c r="Q60" s="27"/>
      <c r="R60" s="27"/>
      <c r="S60" s="27"/>
    </row>
    <row r="61" spans="2:19" ht="12.75">
      <c r="B61" s="9"/>
      <c r="C61" s="9"/>
      <c r="D61" s="9"/>
      <c r="E61" s="9"/>
      <c r="F61" s="27"/>
      <c r="G61" s="29"/>
      <c r="H61" s="29"/>
      <c r="I61" s="29"/>
      <c r="J61" s="29"/>
      <c r="K61" s="29"/>
      <c r="L61" s="29"/>
      <c r="O61" s="27"/>
      <c r="P61" s="27"/>
      <c r="Q61" s="27"/>
      <c r="R61" s="50"/>
      <c r="S61" s="27"/>
    </row>
    <row r="62" spans="1:19" ht="12.75">
      <c r="A62" s="50"/>
      <c r="B62" s="50"/>
      <c r="C62" s="50"/>
      <c r="D62" s="50"/>
      <c r="E62" s="50"/>
      <c r="F62" s="48"/>
      <c r="G62" s="59"/>
      <c r="H62" s="59"/>
      <c r="I62" s="59"/>
      <c r="J62" s="59"/>
      <c r="K62" s="59"/>
      <c r="L62" s="59"/>
      <c r="O62" s="50"/>
      <c r="P62" s="50"/>
      <c r="Q62" s="50"/>
      <c r="R62" s="50"/>
      <c r="S62" s="54"/>
    </row>
    <row r="63" spans="2:19" ht="12.75">
      <c r="B63" s="9"/>
      <c r="C63" s="9"/>
      <c r="D63" s="9"/>
      <c r="E63" s="9"/>
      <c r="F63"/>
      <c r="G63"/>
      <c r="H63"/>
      <c r="I63"/>
      <c r="J63"/>
      <c r="K63"/>
      <c r="L63" s="64"/>
      <c r="O63" s="40"/>
      <c r="P63" s="40"/>
      <c r="Q63" s="40"/>
      <c r="R63" s="63"/>
      <c r="S63" s="27"/>
    </row>
    <row r="64" spans="2:19" ht="12.75">
      <c r="B64" s="9"/>
      <c r="C64" s="9"/>
      <c r="D64" s="9"/>
      <c r="E64" s="9"/>
      <c r="F64"/>
      <c r="G64"/>
      <c r="H64"/>
      <c r="I64"/>
      <c r="J64"/>
      <c r="K64"/>
      <c r="L64" s="63"/>
      <c r="O64" s="40"/>
      <c r="P64" s="40"/>
      <c r="Q64" s="40"/>
      <c r="R64" s="63"/>
      <c r="S64" s="27"/>
    </row>
    <row r="65" spans="2:19" ht="12.75">
      <c r="B65" s="9"/>
      <c r="C65" s="9"/>
      <c r="D65" s="9"/>
      <c r="E65" s="9"/>
      <c r="F65" s="29"/>
      <c r="G65" s="69"/>
      <c r="H65" s="61"/>
      <c r="I65" s="69"/>
      <c r="J65" s="61"/>
      <c r="K65" s="34"/>
      <c r="L65" s="63"/>
      <c r="O65" s="62"/>
      <c r="P65" s="62"/>
      <c r="Q65" s="62"/>
      <c r="R65" s="63"/>
      <c r="S65" s="27"/>
    </row>
    <row r="66" spans="2:19" ht="12.75">
      <c r="B66" s="9"/>
      <c r="C66" s="9"/>
      <c r="D66" s="9"/>
      <c r="E66" s="9"/>
      <c r="F66" s="27"/>
      <c r="G66" s="69"/>
      <c r="H66" s="61"/>
      <c r="I66" s="34"/>
      <c r="J66" s="61"/>
      <c r="K66" s="34"/>
      <c r="L66" s="63"/>
      <c r="O66" s="62"/>
      <c r="P66" s="62"/>
      <c r="Q66" s="62"/>
      <c r="R66" s="63"/>
      <c r="S66" s="27"/>
    </row>
    <row r="67" spans="2:19" ht="12.75">
      <c r="B67" s="9"/>
      <c r="C67" s="9"/>
      <c r="D67" s="9"/>
      <c r="E67" s="9"/>
      <c r="F67" s="27"/>
      <c r="G67" s="69"/>
      <c r="H67" s="61"/>
      <c r="I67" s="34"/>
      <c r="J67" s="61"/>
      <c r="K67" s="34"/>
      <c r="L67" s="63"/>
      <c r="O67" s="62"/>
      <c r="P67" s="62"/>
      <c r="Q67" s="62"/>
      <c r="R67" s="63"/>
      <c r="S67" s="27"/>
    </row>
    <row r="68" spans="2:19" ht="12.75">
      <c r="B68" s="9"/>
      <c r="C68" s="9"/>
      <c r="D68" s="9"/>
      <c r="E68" s="9"/>
      <c r="F68" s="27"/>
      <c r="G68" s="69"/>
      <c r="H68" s="61"/>
      <c r="I68" s="25"/>
      <c r="J68" s="24"/>
      <c r="K68" s="25"/>
      <c r="L68" s="63"/>
      <c r="O68" s="62"/>
      <c r="P68" s="62"/>
      <c r="Q68" s="62"/>
      <c r="R68" s="63"/>
      <c r="S68" s="27"/>
    </row>
    <row r="69" spans="2:19" ht="12.75">
      <c r="B69" s="9"/>
      <c r="C69" s="9"/>
      <c r="D69" s="9"/>
      <c r="E69" s="9"/>
      <c r="F69" s="27"/>
      <c r="G69" s="69"/>
      <c r="H69" s="61"/>
      <c r="I69" s="25"/>
      <c r="J69" s="24"/>
      <c r="K69" s="25"/>
      <c r="L69" s="63"/>
      <c r="O69" s="62"/>
      <c r="P69" s="62"/>
      <c r="Q69" s="62"/>
      <c r="R69" s="63"/>
      <c r="S69" s="27"/>
    </row>
    <row r="70" spans="2:19" ht="12.75">
      <c r="B70" s="9"/>
      <c r="C70" s="9"/>
      <c r="D70" s="9"/>
      <c r="E70" s="9"/>
      <c r="F70" s="17"/>
      <c r="G70" s="69"/>
      <c r="H70" s="61"/>
      <c r="I70" s="25"/>
      <c r="J70" s="24"/>
      <c r="K70" s="25"/>
      <c r="L70" s="63"/>
      <c r="O70" s="62"/>
      <c r="P70" s="62"/>
      <c r="Q70" s="62"/>
      <c r="R70" s="63"/>
      <c r="S70" s="27"/>
    </row>
    <row r="71" spans="2:19" ht="12.75">
      <c r="B71" s="9"/>
      <c r="C71" s="9"/>
      <c r="D71" s="9"/>
      <c r="E71" s="9"/>
      <c r="F71" s="17"/>
      <c r="G71" s="69"/>
      <c r="H71" s="61"/>
      <c r="I71" s="25"/>
      <c r="J71" s="24"/>
      <c r="K71" s="25"/>
      <c r="L71" s="63"/>
      <c r="O71" s="62"/>
      <c r="P71" s="62"/>
      <c r="Q71" s="62"/>
      <c r="R71" s="63"/>
      <c r="S71" s="27"/>
    </row>
    <row r="72" spans="2:19" ht="12.75">
      <c r="B72" s="9"/>
      <c r="C72" s="9"/>
      <c r="D72" s="9"/>
      <c r="E72" s="9"/>
      <c r="F72" s="27"/>
      <c r="G72" s="69"/>
      <c r="H72" s="61"/>
      <c r="I72" s="34"/>
      <c r="J72" s="61"/>
      <c r="K72" s="25"/>
      <c r="L72" s="63"/>
      <c r="O72" s="62"/>
      <c r="P72" s="62"/>
      <c r="Q72" s="62"/>
      <c r="R72" s="63"/>
      <c r="S72" s="27"/>
    </row>
    <row r="73" spans="2:19" ht="12.75">
      <c r="B73" s="9"/>
      <c r="C73" s="9"/>
      <c r="D73" s="9"/>
      <c r="E73" s="9"/>
      <c r="F73" s="17"/>
      <c r="G73" s="69"/>
      <c r="H73" s="61"/>
      <c r="I73" s="69"/>
      <c r="J73" s="61"/>
      <c r="K73" s="25"/>
      <c r="L73" s="63"/>
      <c r="O73" s="62"/>
      <c r="P73" s="62"/>
      <c r="Q73" s="62"/>
      <c r="R73" s="63"/>
      <c r="S73" s="27"/>
    </row>
    <row r="74" spans="2:19" ht="12.75">
      <c r="B74" s="9"/>
      <c r="C74" s="9"/>
      <c r="D74" s="9"/>
      <c r="E74" s="9"/>
      <c r="F74" s="27"/>
      <c r="G74" s="69"/>
      <c r="H74" s="61"/>
      <c r="I74" s="61"/>
      <c r="J74" s="61"/>
      <c r="K74" s="18"/>
      <c r="L74" s="63"/>
      <c r="O74" s="62"/>
      <c r="P74" s="62"/>
      <c r="Q74" s="62"/>
      <c r="R74" s="63"/>
      <c r="S74" s="27"/>
    </row>
    <row r="75" spans="2:19" ht="12.75">
      <c r="B75" s="9"/>
      <c r="C75" s="9"/>
      <c r="D75" s="9"/>
      <c r="E75" s="9"/>
      <c r="F75" s="27"/>
      <c r="G75" s="69"/>
      <c r="H75" s="61"/>
      <c r="I75" s="61"/>
      <c r="J75" s="61"/>
      <c r="K75" s="18"/>
      <c r="L75" s="63"/>
      <c r="O75" s="62"/>
      <c r="P75" s="62"/>
      <c r="Q75" s="62"/>
      <c r="R75" s="63"/>
      <c r="S75" s="27"/>
    </row>
    <row r="76" spans="2:19" ht="12.75">
      <c r="B76" s="9"/>
      <c r="C76" s="9"/>
      <c r="D76" s="9"/>
      <c r="E76" s="9"/>
      <c r="F76" s="27"/>
      <c r="G76" s="69"/>
      <c r="H76" s="61"/>
      <c r="I76" s="61"/>
      <c r="J76" s="61"/>
      <c r="K76" s="18"/>
      <c r="L76" s="63"/>
      <c r="O76" s="62"/>
      <c r="P76" s="62"/>
      <c r="Q76" s="62"/>
      <c r="R76" s="63"/>
      <c r="S76" s="27"/>
    </row>
    <row r="77" spans="2:19" ht="12.75">
      <c r="B77" s="9"/>
      <c r="C77" s="9"/>
      <c r="D77" s="9"/>
      <c r="E77" s="9"/>
      <c r="F77" s="27"/>
      <c r="G77" s="69"/>
      <c r="H77" s="61"/>
      <c r="I77" s="61"/>
      <c r="J77" s="61"/>
      <c r="K77" s="18"/>
      <c r="L77" s="63"/>
      <c r="O77" s="62"/>
      <c r="P77" s="62"/>
      <c r="Q77" s="62"/>
      <c r="R77" s="63"/>
      <c r="S77" s="27"/>
    </row>
    <row r="78" spans="2:19" ht="12.75">
      <c r="B78" s="9"/>
      <c r="C78" s="9"/>
      <c r="D78" s="9"/>
      <c r="E78" s="9"/>
      <c r="F78" s="27"/>
      <c r="G78" s="69"/>
      <c r="H78" s="61"/>
      <c r="I78" s="60"/>
      <c r="J78" s="24"/>
      <c r="K78" s="25"/>
      <c r="L78" s="63"/>
      <c r="O78" s="62"/>
      <c r="P78" s="62"/>
      <c r="Q78" s="62"/>
      <c r="R78" s="63"/>
      <c r="S78" s="27"/>
    </row>
    <row r="79" spans="2:19" ht="12.75">
      <c r="B79" s="9"/>
      <c r="C79" s="9"/>
      <c r="D79" s="9"/>
      <c r="E79" s="9"/>
      <c r="F79" s="27"/>
      <c r="G79" s="69"/>
      <c r="H79" s="61"/>
      <c r="I79" s="24"/>
      <c r="J79" s="62"/>
      <c r="K79" s="18"/>
      <c r="L79" s="63"/>
      <c r="O79" s="62"/>
      <c r="P79" s="62"/>
      <c r="Q79" s="62"/>
      <c r="R79" s="63"/>
      <c r="S79" s="30"/>
    </row>
    <row r="80" spans="2:19" ht="12.75">
      <c r="B80" s="9"/>
      <c r="C80" s="9"/>
      <c r="D80" s="9"/>
      <c r="E80" s="9"/>
      <c r="F80" s="61"/>
      <c r="G80" s="69"/>
      <c r="H80" s="61"/>
      <c r="I80" s="60"/>
      <c r="J80" s="24"/>
      <c r="K80" s="25"/>
      <c r="L80" s="63"/>
      <c r="O80" s="62"/>
      <c r="P80" s="62"/>
      <c r="Q80" s="62"/>
      <c r="R80" s="63"/>
      <c r="S80" s="10"/>
    </row>
    <row r="81" spans="2:19" ht="12.75">
      <c r="B81" s="9"/>
      <c r="C81" s="9"/>
      <c r="D81" s="9"/>
      <c r="E81" s="9"/>
      <c r="F81" s="61"/>
      <c r="G81" s="69"/>
      <c r="H81" s="61"/>
      <c r="I81" s="60"/>
      <c r="J81" s="24"/>
      <c r="K81" s="25"/>
      <c r="L81" s="63"/>
      <c r="O81" s="62"/>
      <c r="P81" s="62"/>
      <c r="Q81" s="62"/>
      <c r="R81" s="63"/>
      <c r="S81" s="10"/>
    </row>
    <row r="82" spans="2:19" ht="12.75">
      <c r="B82" s="9"/>
      <c r="C82" s="45"/>
      <c r="D82" s="9"/>
      <c r="E82" s="9"/>
      <c r="F82" s="61"/>
      <c r="G82" s="69"/>
      <c r="H82" s="61"/>
      <c r="I82" s="60"/>
      <c r="J82" s="24"/>
      <c r="K82" s="25"/>
      <c r="L82" s="63"/>
      <c r="O82" s="62"/>
      <c r="P82" s="62"/>
      <c r="Q82" s="62"/>
      <c r="R82" s="63"/>
      <c r="S82" s="10"/>
    </row>
    <row r="83" spans="2:19" ht="12.75">
      <c r="B83" s="9"/>
      <c r="C83" s="9"/>
      <c r="D83" s="9"/>
      <c r="E83" s="9"/>
      <c r="F83" s="24"/>
      <c r="G83" s="69"/>
      <c r="H83" s="61"/>
      <c r="I83" s="60"/>
      <c r="J83" s="24"/>
      <c r="K83" s="25"/>
      <c r="L83" s="63"/>
      <c r="O83" s="62"/>
      <c r="P83" s="62"/>
      <c r="Q83" s="62"/>
      <c r="R83" s="63"/>
      <c r="S83" s="27"/>
    </row>
    <row r="84" spans="2:19" ht="12.75">
      <c r="B84" s="9"/>
      <c r="C84" s="9"/>
      <c r="D84" s="9"/>
      <c r="E84" s="9"/>
      <c r="F84" s="24"/>
      <c r="G84" s="69"/>
      <c r="H84" s="61"/>
      <c r="I84" s="60"/>
      <c r="J84" s="61"/>
      <c r="K84" s="25"/>
      <c r="L84" s="63"/>
      <c r="O84" s="62"/>
      <c r="P84" s="62"/>
      <c r="Q84" s="62"/>
      <c r="R84" s="63"/>
      <c r="S84" s="27"/>
    </row>
    <row r="85" spans="2:19" ht="12.75">
      <c r="B85" s="9"/>
      <c r="C85" s="9"/>
      <c r="D85" s="9"/>
      <c r="E85" s="9"/>
      <c r="F85" s="27"/>
      <c r="G85" s="69"/>
      <c r="H85" s="61"/>
      <c r="I85" s="24"/>
      <c r="J85" s="62"/>
      <c r="K85" s="18"/>
      <c r="L85" s="63"/>
      <c r="O85" s="62"/>
      <c r="P85" s="62"/>
      <c r="Q85" s="62"/>
      <c r="R85" s="63"/>
      <c r="S85" s="27"/>
    </row>
    <row r="86" spans="2:19" ht="12.75">
      <c r="B86" s="9"/>
      <c r="C86" s="9"/>
      <c r="D86" s="9"/>
      <c r="E86" s="9"/>
      <c r="F86" s="27"/>
      <c r="G86" s="10"/>
      <c r="H86" s="10"/>
      <c r="I86" s="27"/>
      <c r="J86" s="27"/>
      <c r="K86" s="27"/>
      <c r="L86" s="27"/>
      <c r="O86" s="27"/>
      <c r="P86" s="27"/>
      <c r="Q86" s="27"/>
      <c r="R86" s="27"/>
      <c r="S86" s="27"/>
    </row>
    <row r="87" spans="2:19" ht="12.75">
      <c r="B87" s="9"/>
      <c r="D87" s="9"/>
      <c r="E87" s="9"/>
      <c r="F87" s="29"/>
      <c r="G87" s="10"/>
      <c r="H87" s="10"/>
      <c r="I87" s="27"/>
      <c r="J87" s="27"/>
      <c r="K87" s="27"/>
      <c r="L87" s="40"/>
      <c r="O87" s="27"/>
      <c r="P87" s="27"/>
      <c r="Q87" s="27"/>
      <c r="R87" s="27"/>
      <c r="S87" s="27"/>
    </row>
    <row r="88" spans="2:19" ht="12.75">
      <c r="B88" s="9"/>
      <c r="D88" s="9"/>
      <c r="E88" s="9"/>
      <c r="F88" s="29"/>
      <c r="G88" s="10"/>
      <c r="H88" s="10"/>
      <c r="I88" s="27"/>
      <c r="J88" s="27"/>
      <c r="K88" s="27"/>
      <c r="L88" s="30"/>
      <c r="O88" s="27"/>
      <c r="P88" s="27"/>
      <c r="Q88" s="27"/>
      <c r="R88" s="27"/>
      <c r="S88" s="27"/>
    </row>
    <row r="89" spans="2:19" ht="12.75">
      <c r="B89" s="9"/>
      <c r="C89" s="9"/>
      <c r="D89" s="9"/>
      <c r="E89" s="9"/>
      <c r="F89" s="29"/>
      <c r="G89" s="10"/>
      <c r="H89" s="10"/>
      <c r="I89" s="27"/>
      <c r="J89" s="27"/>
      <c r="K89" s="27"/>
      <c r="L89" s="30"/>
      <c r="O89" s="27"/>
      <c r="P89" s="27"/>
      <c r="Q89" s="27"/>
      <c r="R89" s="27"/>
      <c r="S89" s="27"/>
    </row>
    <row r="90" spans="2:19" ht="12.75">
      <c r="B90" s="45"/>
      <c r="C90" s="9"/>
      <c r="D90" s="9"/>
      <c r="E90" s="9"/>
      <c r="F90" s="27"/>
      <c r="G90" s="10"/>
      <c r="H90" s="10"/>
      <c r="I90" s="27"/>
      <c r="J90" s="27"/>
      <c r="K90" s="27"/>
      <c r="L90" s="30"/>
      <c r="O90" s="27"/>
      <c r="P90" s="27"/>
      <c r="Q90" s="40"/>
      <c r="R90" s="27"/>
      <c r="S90" s="27"/>
    </row>
    <row r="91" spans="2:19" ht="12.75">
      <c r="B91" s="9"/>
      <c r="C91" s="9"/>
      <c r="D91" s="9"/>
      <c r="E91" s="9"/>
      <c r="F91" s="29"/>
      <c r="G91" s="30"/>
      <c r="H91" s="61"/>
      <c r="I91" s="30"/>
      <c r="J91" s="61"/>
      <c r="K91" s="30"/>
      <c r="L91" s="40"/>
      <c r="O91" s="27"/>
      <c r="P91" s="27"/>
      <c r="Q91" s="27"/>
      <c r="R91" s="30"/>
      <c r="S91" s="30"/>
    </row>
    <row r="92" spans="2:19" ht="12.75">
      <c r="B92" s="9"/>
      <c r="C92" s="9"/>
      <c r="D92" s="9"/>
      <c r="E92" s="9"/>
      <c r="F92" s="27"/>
      <c r="G92" s="30"/>
      <c r="H92" s="61"/>
      <c r="I92" s="30"/>
      <c r="J92" s="62"/>
      <c r="K92" s="30"/>
      <c r="L92" s="30"/>
      <c r="O92" s="27"/>
      <c r="P92" s="27"/>
      <c r="Q92" s="27"/>
      <c r="R92" s="30"/>
      <c r="S92" s="30"/>
    </row>
    <row r="93" spans="2:19" ht="12.75">
      <c r="B93" s="9"/>
      <c r="C93" s="9"/>
      <c r="D93" s="9"/>
      <c r="E93" s="9"/>
      <c r="F93" s="27"/>
      <c r="G93" s="30"/>
      <c r="H93" s="61"/>
      <c r="I93" s="30"/>
      <c r="J93" s="62"/>
      <c r="K93" s="30"/>
      <c r="L93" s="40"/>
      <c r="O93" s="27"/>
      <c r="P93" s="27"/>
      <c r="Q93" s="27"/>
      <c r="R93" s="30"/>
      <c r="S93" s="30"/>
    </row>
    <row r="94" spans="2:19" ht="12.75">
      <c r="B94" s="9"/>
      <c r="C94" s="9"/>
      <c r="D94" s="9"/>
      <c r="E94" s="9"/>
      <c r="F94" s="27"/>
      <c r="G94" s="30"/>
      <c r="H94" s="61"/>
      <c r="I94" s="30"/>
      <c r="J94" s="18"/>
      <c r="K94" s="30"/>
      <c r="L94" s="30"/>
      <c r="O94" s="27"/>
      <c r="P94" s="27"/>
      <c r="Q94" s="27"/>
      <c r="R94" s="30"/>
      <c r="S94" s="30"/>
    </row>
    <row r="95" spans="2:19" ht="12.75">
      <c r="B95" s="9"/>
      <c r="C95" s="9"/>
      <c r="D95" s="9"/>
      <c r="E95" s="9"/>
      <c r="F95" s="27"/>
      <c r="G95" s="30"/>
      <c r="H95" s="61"/>
      <c r="I95" s="30"/>
      <c r="J95" s="18"/>
      <c r="K95" s="30"/>
      <c r="L95" s="30"/>
      <c r="O95" s="27"/>
      <c r="P95" s="27"/>
      <c r="Q95" s="27"/>
      <c r="R95" s="30"/>
      <c r="S95" s="30"/>
    </row>
    <row r="96" spans="2:19" ht="12.75">
      <c r="B96" s="9"/>
      <c r="C96" s="9"/>
      <c r="D96" s="9"/>
      <c r="E96" s="9"/>
      <c r="F96" s="17"/>
      <c r="G96" s="30"/>
      <c r="H96" s="61"/>
      <c r="I96" s="30"/>
      <c r="J96" s="18"/>
      <c r="K96" s="30"/>
      <c r="L96" s="40"/>
      <c r="O96" s="27"/>
      <c r="P96" s="27"/>
      <c r="Q96" s="27"/>
      <c r="R96" s="30"/>
      <c r="S96" s="30"/>
    </row>
    <row r="97" spans="2:19" ht="12.75">
      <c r="B97" s="9"/>
      <c r="C97" s="9"/>
      <c r="D97" s="9"/>
      <c r="E97" s="9"/>
      <c r="F97" s="17"/>
      <c r="G97" s="30"/>
      <c r="H97" s="61"/>
      <c r="I97" s="30"/>
      <c r="J97" s="18"/>
      <c r="K97" s="30"/>
      <c r="L97" s="30"/>
      <c r="O97" s="27"/>
      <c r="P97" s="27"/>
      <c r="Q97" s="27"/>
      <c r="R97" s="30"/>
      <c r="S97" s="30"/>
    </row>
    <row r="98" spans="2:19" ht="12.75">
      <c r="B98" s="9"/>
      <c r="C98" s="9"/>
      <c r="D98" s="9"/>
      <c r="E98" s="9"/>
      <c r="F98" s="27"/>
      <c r="G98" s="30"/>
      <c r="H98" s="61"/>
      <c r="I98" s="30"/>
      <c r="J98" s="62"/>
      <c r="K98" s="30"/>
      <c r="L98" s="40"/>
      <c r="O98" s="27"/>
      <c r="P98" s="27"/>
      <c r="Q98" s="27"/>
      <c r="R98" s="30"/>
      <c r="S98" s="30"/>
    </row>
    <row r="99" spans="2:19" ht="12.75">
      <c r="B99" s="9"/>
      <c r="C99" s="9"/>
      <c r="D99" s="9"/>
      <c r="E99" s="9"/>
      <c r="F99" s="17"/>
      <c r="G99" s="30"/>
      <c r="H99" s="61"/>
      <c r="I99" s="30"/>
      <c r="J99" s="61"/>
      <c r="K99" s="30"/>
      <c r="L99" s="40"/>
      <c r="O99" s="27"/>
      <c r="P99" s="27"/>
      <c r="Q99" s="27"/>
      <c r="R99" s="30"/>
      <c r="S99" s="30"/>
    </row>
    <row r="100" spans="2:19" ht="12.75">
      <c r="B100" s="9"/>
      <c r="C100" s="9"/>
      <c r="D100" s="9"/>
      <c r="E100" s="9"/>
      <c r="F100" s="27"/>
      <c r="G100" s="30"/>
      <c r="H100" s="61"/>
      <c r="I100" s="30"/>
      <c r="J100" s="61"/>
      <c r="K100" s="30"/>
      <c r="L100" s="40"/>
      <c r="O100" s="27"/>
      <c r="P100" s="27"/>
      <c r="Q100" s="27"/>
      <c r="R100" s="30"/>
      <c r="S100" s="30"/>
    </row>
    <row r="101" spans="2:19" ht="12.75">
      <c r="B101" s="9"/>
      <c r="C101" s="9"/>
      <c r="D101" s="9"/>
      <c r="E101" s="9"/>
      <c r="F101" s="27"/>
      <c r="G101" s="30"/>
      <c r="H101" s="61"/>
      <c r="I101" s="30"/>
      <c r="J101" s="61"/>
      <c r="K101" s="30"/>
      <c r="L101" s="40"/>
      <c r="O101" s="27"/>
      <c r="P101" s="27"/>
      <c r="Q101" s="27"/>
      <c r="R101" s="30"/>
      <c r="S101" s="30"/>
    </row>
    <row r="102" spans="2:19" ht="12.75">
      <c r="B102" s="9"/>
      <c r="C102" s="26"/>
      <c r="D102" s="9"/>
      <c r="E102" s="9"/>
      <c r="F102" s="27"/>
      <c r="G102" s="30"/>
      <c r="H102" s="61"/>
      <c r="I102" s="30"/>
      <c r="J102" s="61"/>
      <c r="K102" s="30"/>
      <c r="L102" s="40"/>
      <c r="O102" s="27"/>
      <c r="P102" s="27"/>
      <c r="Q102" s="27"/>
      <c r="R102" s="30"/>
      <c r="S102" s="30"/>
    </row>
    <row r="103" spans="2:19" ht="12.75">
      <c r="B103" s="9"/>
      <c r="C103" s="9"/>
      <c r="D103" s="9"/>
      <c r="E103" s="9"/>
      <c r="F103" s="27"/>
      <c r="G103" s="30"/>
      <c r="H103" s="61"/>
      <c r="I103" s="30"/>
      <c r="J103" s="61"/>
      <c r="K103" s="30"/>
      <c r="L103" s="40"/>
      <c r="O103" s="27"/>
      <c r="P103" s="27"/>
      <c r="Q103" s="27"/>
      <c r="R103" s="30"/>
      <c r="S103" s="30"/>
    </row>
    <row r="104" spans="2:19" ht="12.75">
      <c r="B104" s="9"/>
      <c r="C104" s="9"/>
      <c r="D104" s="9"/>
      <c r="E104" s="9"/>
      <c r="F104" s="27"/>
      <c r="G104" s="30"/>
      <c r="H104" s="61"/>
      <c r="I104" s="30"/>
      <c r="J104" s="24"/>
      <c r="K104" s="30"/>
      <c r="L104" s="30"/>
      <c r="O104" s="27"/>
      <c r="P104" s="27"/>
      <c r="Q104" s="27"/>
      <c r="R104" s="30"/>
      <c r="S104" s="30"/>
    </row>
    <row r="105" spans="2:19" ht="12.75">
      <c r="B105" s="9"/>
      <c r="C105" s="9"/>
      <c r="D105" s="9"/>
      <c r="E105" s="9"/>
      <c r="F105" s="27"/>
      <c r="G105" s="30"/>
      <c r="H105" s="61"/>
      <c r="I105" s="30"/>
      <c r="J105" s="62"/>
      <c r="K105" s="30"/>
      <c r="L105" s="40"/>
      <c r="O105" s="27"/>
      <c r="P105" s="27"/>
      <c r="Q105" s="27"/>
      <c r="R105" s="30"/>
      <c r="S105" s="30"/>
    </row>
    <row r="106" spans="2:19" ht="12.75">
      <c r="B106" s="9"/>
      <c r="C106" s="9"/>
      <c r="D106" s="9"/>
      <c r="E106" s="9"/>
      <c r="F106" s="61"/>
      <c r="G106" s="30"/>
      <c r="H106" s="61"/>
      <c r="I106" s="30"/>
      <c r="J106" s="24"/>
      <c r="K106" s="30"/>
      <c r="L106" s="30"/>
      <c r="O106" s="27"/>
      <c r="P106" s="27"/>
      <c r="Q106" s="27"/>
      <c r="R106" s="30"/>
      <c r="S106" s="30"/>
    </row>
    <row r="107" spans="2:19" ht="12.75">
      <c r="B107" s="9"/>
      <c r="C107" s="9"/>
      <c r="D107" s="9"/>
      <c r="E107" s="9"/>
      <c r="F107" s="61"/>
      <c r="G107" s="30"/>
      <c r="H107" s="61"/>
      <c r="I107" s="30"/>
      <c r="J107" s="24"/>
      <c r="K107" s="30"/>
      <c r="L107" s="30"/>
      <c r="O107" s="27"/>
      <c r="P107" s="27"/>
      <c r="Q107" s="27"/>
      <c r="R107" s="30"/>
      <c r="S107" s="30"/>
    </row>
    <row r="108" spans="2:19" ht="12.75">
      <c r="B108" s="9"/>
      <c r="C108" s="9"/>
      <c r="D108" s="9"/>
      <c r="E108" s="9"/>
      <c r="F108" s="61"/>
      <c r="G108" s="30"/>
      <c r="H108" s="61"/>
      <c r="I108" s="30"/>
      <c r="J108" s="24"/>
      <c r="K108" s="30"/>
      <c r="L108" s="30"/>
      <c r="O108" s="27"/>
      <c r="P108" s="27"/>
      <c r="Q108" s="27"/>
      <c r="R108" s="30"/>
      <c r="S108" s="30"/>
    </row>
    <row r="109" spans="2:19" ht="12.75">
      <c r="B109" s="9"/>
      <c r="C109" s="9"/>
      <c r="D109" s="9"/>
      <c r="E109" s="9"/>
      <c r="F109" s="24"/>
      <c r="G109" s="30"/>
      <c r="H109" s="61"/>
      <c r="I109" s="30"/>
      <c r="J109" s="24"/>
      <c r="K109" s="30"/>
      <c r="L109" s="30"/>
      <c r="O109" s="27"/>
      <c r="P109" s="27"/>
      <c r="Q109" s="27"/>
      <c r="R109" s="30"/>
      <c r="S109" s="30"/>
    </row>
    <row r="110" spans="2:19" ht="12.75">
      <c r="B110" s="9"/>
      <c r="C110" s="9"/>
      <c r="D110" s="9"/>
      <c r="E110" s="9"/>
      <c r="F110" s="24"/>
      <c r="G110" s="30"/>
      <c r="H110" s="61"/>
      <c r="I110" s="30"/>
      <c r="J110" s="61"/>
      <c r="K110" s="30"/>
      <c r="L110" s="30"/>
      <c r="O110" s="27"/>
      <c r="P110" s="27"/>
      <c r="Q110" s="27"/>
      <c r="R110" s="30"/>
      <c r="S110" s="30"/>
    </row>
    <row r="111" spans="2:19" ht="12.75">
      <c r="B111" s="9"/>
      <c r="C111" s="9"/>
      <c r="D111" s="9"/>
      <c r="E111" s="9"/>
      <c r="F111" s="27"/>
      <c r="G111" s="30"/>
      <c r="H111" s="61"/>
      <c r="I111" s="30"/>
      <c r="J111" s="62"/>
      <c r="K111" s="30"/>
      <c r="L111" s="40"/>
      <c r="O111" s="27"/>
      <c r="P111" s="27"/>
      <c r="Q111" s="27"/>
      <c r="R111" s="30"/>
      <c r="S111" s="30"/>
    </row>
    <row r="112" spans="4:5" ht="12.75">
      <c r="D112" s="9"/>
      <c r="E112" s="9"/>
    </row>
    <row r="113" spans="1:19" ht="12.75">
      <c r="A113" s="27"/>
      <c r="B113" s="9"/>
      <c r="C113" s="9"/>
      <c r="D113" s="9"/>
      <c r="E113" s="9"/>
      <c r="F113" s="27"/>
      <c r="G113" s="70"/>
      <c r="H113" s="70"/>
      <c r="I113" s="70"/>
      <c r="J113" s="70"/>
      <c r="K113" s="70"/>
      <c r="L113" s="40"/>
      <c r="O113" s="27"/>
      <c r="P113" s="27"/>
      <c r="Q113" s="27"/>
      <c r="R113" s="27"/>
      <c r="S113" s="30"/>
    </row>
    <row r="114" spans="1:19" ht="12.75">
      <c r="A114" s="27"/>
      <c r="B114" s="9"/>
      <c r="C114" s="9"/>
      <c r="D114" s="9"/>
      <c r="E114" s="9"/>
      <c r="F114" s="27"/>
      <c r="G114" s="70"/>
      <c r="H114" s="70"/>
      <c r="I114" s="70"/>
      <c r="J114" s="70"/>
      <c r="K114" s="70"/>
      <c r="L114" s="40"/>
      <c r="O114" s="27"/>
      <c r="P114" s="27"/>
      <c r="Q114" s="27"/>
      <c r="R114" s="27"/>
      <c r="S114" s="30"/>
    </row>
  </sheetData>
  <printOptions headings="1" horizontalCentered="1"/>
  <pageMargins left="0.25" right="0.25" top="0.5" bottom="0.5" header="0.25" footer="0.25"/>
  <pageSetup horizontalDpi="600" verticalDpi="600" orientation="landscape" pageOrder="overThenDown" scale="70" r:id="rId1"/>
  <headerFooter alignWithMargins="0">
    <oddFooter>&amp;C&amp;P, &amp;A, &amp;F</oddFooter>
  </headerFooter>
</worksheet>
</file>

<file path=xl/worksheets/sheet7.xml><?xml version="1.0" encoding="utf-8"?>
<worksheet xmlns="http://schemas.openxmlformats.org/spreadsheetml/2006/main" xmlns:r="http://schemas.openxmlformats.org/officeDocument/2006/relationships">
  <dimension ref="B1:B5"/>
  <sheetViews>
    <sheetView workbookViewId="0" topLeftCell="B1">
      <selection activeCell="B3" sqref="B3"/>
    </sheetView>
  </sheetViews>
  <sheetFormatPr defaultColWidth="9.140625" defaultRowHeight="12.75"/>
  <cols>
    <col min="1" max="1" width="9.140625" style="0" hidden="1" customWidth="1"/>
  </cols>
  <sheetData>
    <row r="1" ht="12.75">
      <c r="B1" s="6" t="s">
        <v>229</v>
      </c>
    </row>
    <row r="3" ht="12.75">
      <c r="B3" s="6" t="s">
        <v>164</v>
      </c>
    </row>
    <row r="5" ht="12.75">
      <c r="B5" t="s">
        <v>180</v>
      </c>
    </row>
  </sheetData>
  <printOptions headings="1" horizontalCentered="1"/>
  <pageMargins left="0.25" right="0.25" top="0.5" bottom="0.5" header="0.25" footer="0.25"/>
  <pageSetup horizontalDpi="600" verticalDpi="600" orientation="landscape" pageOrder="overThenDown" scale="70" r:id="rId1"/>
  <headerFooter alignWithMargins="0">
    <oddFooter>&amp;C&amp;P, &amp;A, &amp;F</oddFooter>
  </headerFooter>
</worksheet>
</file>

<file path=xl/worksheets/sheet8.xml><?xml version="1.0" encoding="utf-8"?>
<worksheet xmlns="http://schemas.openxmlformats.org/spreadsheetml/2006/main" xmlns:r="http://schemas.openxmlformats.org/officeDocument/2006/relationships">
  <dimension ref="A1:F34"/>
  <sheetViews>
    <sheetView workbookViewId="0" topLeftCell="B1">
      <selection activeCell="B15" sqref="B15"/>
    </sheetView>
  </sheetViews>
  <sheetFormatPr defaultColWidth="9.140625" defaultRowHeight="12.75"/>
  <cols>
    <col min="1" max="1" width="3.8515625" style="0" hidden="1" customWidth="1"/>
    <col min="2" max="2" width="37.421875" style="0" customWidth="1"/>
    <col min="4" max="4" width="3.140625" style="0" customWidth="1"/>
    <col min="5" max="5" width="12.28125" style="0" customWidth="1"/>
    <col min="6" max="6" width="12.421875" style="0" customWidth="1"/>
  </cols>
  <sheetData>
    <row r="1" spans="2:6" ht="12.75">
      <c r="B1" s="6" t="s">
        <v>63</v>
      </c>
      <c r="C1" s="12"/>
      <c r="D1" s="12"/>
      <c r="E1" s="12"/>
      <c r="F1" s="12"/>
    </row>
    <row r="2" spans="2:6" ht="12.75">
      <c r="B2" s="12"/>
      <c r="C2" s="12"/>
      <c r="D2" s="12"/>
      <c r="E2" s="12"/>
      <c r="F2" s="12"/>
    </row>
    <row r="3" spans="1:6" ht="12.75">
      <c r="A3" t="s">
        <v>84</v>
      </c>
      <c r="B3" s="6" t="str">
        <f>'feed 1'!B4</f>
        <v>346C10</v>
      </c>
      <c r="C3" s="12" t="str">
        <f>cond!C10</f>
        <v>GB Trial Burn</v>
      </c>
      <c r="D3" s="12"/>
      <c r="E3" t="s">
        <v>47</v>
      </c>
      <c r="F3" s="12"/>
    </row>
    <row r="4" spans="2:6" ht="12.75">
      <c r="B4" s="12"/>
      <c r="C4" s="12"/>
      <c r="D4" s="12"/>
      <c r="F4" s="12"/>
    </row>
    <row r="5" spans="2:6" ht="14.25">
      <c r="B5" s="12" t="s">
        <v>150</v>
      </c>
      <c r="C5" s="7" t="s">
        <v>53</v>
      </c>
      <c r="D5" s="7"/>
      <c r="E5">
        <v>1049</v>
      </c>
      <c r="F5" s="12"/>
    </row>
    <row r="6" spans="2:6" ht="14.25">
      <c r="B6" s="12" t="s">
        <v>121</v>
      </c>
      <c r="C6" s="7" t="s">
        <v>53</v>
      </c>
      <c r="D6" s="7"/>
      <c r="E6">
        <v>2022</v>
      </c>
      <c r="F6" s="12"/>
    </row>
    <row r="7" spans="2:5" s="12" customFormat="1" ht="12.75">
      <c r="B7" s="12" t="s">
        <v>122</v>
      </c>
      <c r="C7" s="12" t="s">
        <v>123</v>
      </c>
      <c r="E7">
        <v>-1</v>
      </c>
    </row>
    <row r="8" spans="2:5" s="12" customFormat="1" ht="12.75">
      <c r="B8" s="12" t="s">
        <v>124</v>
      </c>
      <c r="C8" s="12" t="s">
        <v>123</v>
      </c>
      <c r="E8">
        <v>20</v>
      </c>
    </row>
    <row r="9" spans="2:5" s="12" customFormat="1" ht="12.75">
      <c r="B9" s="12" t="s">
        <v>126</v>
      </c>
      <c r="C9" s="12" t="s">
        <v>125</v>
      </c>
      <c r="E9">
        <v>220</v>
      </c>
    </row>
    <row r="10" spans="2:5" ht="12.75">
      <c r="B10" t="s">
        <v>139</v>
      </c>
      <c r="C10" s="12" t="s">
        <v>123</v>
      </c>
      <c r="E10">
        <v>1.5</v>
      </c>
    </row>
    <row r="11" spans="2:5" ht="12.75">
      <c r="B11" t="s">
        <v>127</v>
      </c>
      <c r="C11" t="s">
        <v>125</v>
      </c>
      <c r="E11">
        <v>1150</v>
      </c>
    </row>
    <row r="12" spans="2:5" ht="12.75">
      <c r="B12" t="s">
        <v>128</v>
      </c>
      <c r="E12">
        <v>8</v>
      </c>
    </row>
    <row r="13" spans="2:5" ht="12.75">
      <c r="B13" t="s">
        <v>129</v>
      </c>
      <c r="E13">
        <v>8.5</v>
      </c>
    </row>
    <row r="15" spans="2:5" ht="12.75">
      <c r="B15" s="6"/>
      <c r="C15" s="12"/>
      <c r="D15" s="12"/>
      <c r="E15" s="12"/>
    </row>
    <row r="16" spans="2:4" ht="12.75">
      <c r="B16" s="12"/>
      <c r="C16" s="12"/>
      <c r="D16" s="12"/>
    </row>
    <row r="17" spans="2:4" ht="14.25">
      <c r="B17" s="12"/>
      <c r="C17" s="7"/>
      <c r="D17" s="7"/>
    </row>
    <row r="18" spans="2:4" ht="14.25">
      <c r="B18" s="12"/>
      <c r="C18" s="7"/>
      <c r="D18" s="7"/>
    </row>
    <row r="19" spans="2:4" ht="12.75">
      <c r="B19" s="12"/>
      <c r="C19" s="12"/>
      <c r="D19" s="12"/>
    </row>
    <row r="20" spans="2:4" ht="12.75">
      <c r="B20" s="12"/>
      <c r="C20" s="12"/>
      <c r="D20" s="12"/>
    </row>
    <row r="21" spans="2:4" ht="12.75">
      <c r="B21" s="12"/>
      <c r="C21" s="12"/>
      <c r="D21" s="12"/>
    </row>
    <row r="28" spans="2:5" ht="12.75">
      <c r="B28" s="6"/>
      <c r="C28" s="12"/>
      <c r="D28" s="12"/>
      <c r="E28" s="12"/>
    </row>
    <row r="29" spans="2:4" ht="12.75">
      <c r="B29" s="12"/>
      <c r="C29" s="12"/>
      <c r="D29" s="12"/>
    </row>
    <row r="30" spans="2:4" ht="14.25">
      <c r="B30" s="12"/>
      <c r="C30" s="7"/>
      <c r="D30" s="7"/>
    </row>
    <row r="31" spans="2:4" ht="14.25">
      <c r="B31" s="12"/>
      <c r="C31" s="7"/>
      <c r="D31" s="7"/>
    </row>
    <row r="32" spans="2:4" ht="12.75">
      <c r="B32" s="12"/>
      <c r="C32" s="12"/>
      <c r="D32" s="12"/>
    </row>
    <row r="33" spans="2:4" ht="12.75">
      <c r="B33" s="12"/>
      <c r="C33" s="12"/>
      <c r="D33" s="12"/>
    </row>
    <row r="34" spans="2:4" ht="12.75">
      <c r="B34" s="12"/>
      <c r="C34" s="12"/>
      <c r="D34" s="12"/>
    </row>
  </sheetData>
  <printOptions headings="1" horizontalCentered="1"/>
  <pageMargins left="0.25" right="0.25" top="0.5" bottom="0.5" header="0.25" footer="0.25"/>
  <pageSetup horizontalDpi="600" verticalDpi="600" orientation="portrait" pageOrder="overThenDown" scale="80" r:id="rId1"/>
  <headerFooter alignWithMargins="0">
    <oddFooter>&amp;C&amp;P, &amp;A, &amp;F</oddFooter>
  </headerFooter>
</worksheet>
</file>

<file path=xl/worksheets/sheet9.xml><?xml version="1.0" encoding="utf-8"?>
<worksheet xmlns="http://schemas.openxmlformats.org/spreadsheetml/2006/main" xmlns:r="http://schemas.openxmlformats.org/officeDocument/2006/relationships">
  <dimension ref="A1:AE12"/>
  <sheetViews>
    <sheetView workbookViewId="0" topLeftCell="C1">
      <selection activeCell="C1" sqref="C1"/>
    </sheetView>
  </sheetViews>
  <sheetFormatPr defaultColWidth="9.140625" defaultRowHeight="12.75"/>
  <cols>
    <col min="1" max="2" width="7.57421875" style="0" hidden="1" customWidth="1"/>
    <col min="3" max="3" width="29.57421875" style="0" customWidth="1"/>
  </cols>
  <sheetData>
    <row r="1" ht="12.75">
      <c r="C1" s="6" t="s">
        <v>242</v>
      </c>
    </row>
    <row r="2" ht="12.75">
      <c r="C2" s="6"/>
    </row>
    <row r="3" ht="12.75">
      <c r="C3" s="16" t="s">
        <v>164</v>
      </c>
    </row>
    <row r="5" spans="1:31" s="81" customFormat="1" ht="12.75">
      <c r="A5" s="81" t="s">
        <v>164</v>
      </c>
      <c r="B5" s="81" t="s">
        <v>230</v>
      </c>
      <c r="C5" s="81" t="s">
        <v>235</v>
      </c>
      <c r="D5" s="81" t="s">
        <v>231</v>
      </c>
      <c r="E5" s="82">
        <v>1050</v>
      </c>
      <c r="F5" s="82">
        <v>1049</v>
      </c>
      <c r="G5" s="82">
        <v>1050</v>
      </c>
      <c r="H5" s="82">
        <v>1051</v>
      </c>
      <c r="I5" s="82"/>
      <c r="J5" s="82"/>
      <c r="K5" s="82"/>
      <c r="L5" s="82"/>
      <c r="M5" s="82"/>
      <c r="N5" s="82"/>
      <c r="O5" s="82"/>
      <c r="P5" s="82"/>
      <c r="Q5" s="82"/>
      <c r="R5" s="82"/>
      <c r="S5" s="82"/>
      <c r="T5" s="82"/>
      <c r="U5" s="82"/>
      <c r="V5" s="82"/>
      <c r="W5" s="82"/>
      <c r="X5" s="82"/>
      <c r="Y5" s="82"/>
      <c r="Z5" s="82"/>
      <c r="AA5" s="82"/>
      <c r="AB5" s="82"/>
      <c r="AC5" s="82"/>
      <c r="AD5" s="82"/>
      <c r="AE5" s="82"/>
    </row>
    <row r="6" spans="1:31" s="81" customFormat="1" ht="12.75">
      <c r="A6" s="81" t="s">
        <v>164</v>
      </c>
      <c r="B6" s="81" t="s">
        <v>232</v>
      </c>
      <c r="C6" s="81" t="s">
        <v>236</v>
      </c>
      <c r="D6" s="81" t="s">
        <v>231</v>
      </c>
      <c r="E6" s="82">
        <v>2006</v>
      </c>
      <c r="F6" s="82">
        <v>1998</v>
      </c>
      <c r="G6" s="82">
        <v>1998</v>
      </c>
      <c r="H6" s="82">
        <v>1998</v>
      </c>
      <c r="I6" s="82"/>
      <c r="J6" s="82"/>
      <c r="K6" s="82"/>
      <c r="L6" s="82"/>
      <c r="M6" s="82"/>
      <c r="N6" s="82"/>
      <c r="O6" s="82"/>
      <c r="P6" s="82"/>
      <c r="Q6" s="82"/>
      <c r="R6" s="82"/>
      <c r="S6" s="82"/>
      <c r="T6" s="82"/>
      <c r="U6" s="82"/>
      <c r="V6" s="82"/>
      <c r="W6" s="82"/>
      <c r="X6" s="82"/>
      <c r="Y6" s="82"/>
      <c r="Z6" s="82"/>
      <c r="AA6" s="82"/>
      <c r="AB6" s="82"/>
      <c r="AC6" s="82"/>
      <c r="AD6" s="82"/>
      <c r="AE6" s="82"/>
    </row>
    <row r="7" spans="1:22" s="81" customFormat="1" ht="12.75">
      <c r="A7" s="81" t="s">
        <v>164</v>
      </c>
      <c r="B7" s="81" t="s">
        <v>233</v>
      </c>
      <c r="C7" s="81" t="s">
        <v>238</v>
      </c>
      <c r="D7" s="81" t="s">
        <v>231</v>
      </c>
      <c r="E7" s="82">
        <v>179</v>
      </c>
      <c r="F7" s="82">
        <v>177</v>
      </c>
      <c r="G7" s="82">
        <v>178</v>
      </c>
      <c r="H7" s="82">
        <v>180</v>
      </c>
      <c r="I7" s="82"/>
      <c r="J7" s="82"/>
      <c r="K7" s="82"/>
      <c r="L7" s="82"/>
      <c r="M7" s="82"/>
      <c r="N7" s="82"/>
      <c r="O7" s="82"/>
      <c r="P7" s="82"/>
      <c r="Q7" s="82"/>
      <c r="R7" s="82"/>
      <c r="S7" s="82"/>
      <c r="T7" s="82"/>
      <c r="U7" s="82"/>
      <c r="V7" s="82"/>
    </row>
    <row r="8" spans="1:22" s="81" customFormat="1" ht="12.75">
      <c r="A8" s="81" t="s">
        <v>164</v>
      </c>
      <c r="B8" s="81" t="s">
        <v>232</v>
      </c>
      <c r="C8" s="81" t="s">
        <v>237</v>
      </c>
      <c r="D8" s="81" t="s">
        <v>231</v>
      </c>
      <c r="E8" s="82">
        <v>1575</v>
      </c>
      <c r="F8" s="82">
        <v>1553</v>
      </c>
      <c r="G8" s="82">
        <v>1540</v>
      </c>
      <c r="H8" s="82">
        <v>1572</v>
      </c>
      <c r="I8" s="82"/>
      <c r="J8" s="82"/>
      <c r="K8" s="82"/>
      <c r="L8" s="82"/>
      <c r="M8" s="82"/>
      <c r="N8" s="82"/>
      <c r="O8" s="82"/>
      <c r="P8" s="82"/>
      <c r="Q8" s="82"/>
      <c r="R8" s="82"/>
      <c r="S8" s="82"/>
      <c r="T8" s="82"/>
      <c r="U8" s="82"/>
      <c r="V8" s="82"/>
    </row>
    <row r="9" spans="1:23" s="81" customFormat="1" ht="12.75">
      <c r="A9" s="81" t="s">
        <v>164</v>
      </c>
      <c r="B9" s="81" t="s">
        <v>234</v>
      </c>
      <c r="C9" s="81" t="s">
        <v>239</v>
      </c>
      <c r="D9" s="81" t="s">
        <v>123</v>
      </c>
      <c r="E9" s="82">
        <v>4.1</v>
      </c>
      <c r="F9" s="82">
        <v>3.5</v>
      </c>
      <c r="G9" s="82">
        <v>3.1</v>
      </c>
      <c r="H9" s="82">
        <v>4.9</v>
      </c>
      <c r="I9" s="82"/>
      <c r="J9" s="82"/>
      <c r="K9" s="82"/>
      <c r="L9" s="82"/>
      <c r="M9" s="82"/>
      <c r="N9" s="82"/>
      <c r="O9" s="82"/>
      <c r="P9" s="82"/>
      <c r="Q9" s="82"/>
      <c r="R9" s="82"/>
      <c r="S9" s="82"/>
      <c r="T9" s="82"/>
      <c r="U9" s="82"/>
      <c r="V9" s="82"/>
      <c r="W9" s="82"/>
    </row>
    <row r="10" spans="1:23" s="81" customFormat="1" ht="12.75">
      <c r="A10" s="81" t="s">
        <v>164</v>
      </c>
      <c r="B10" s="81" t="s">
        <v>233</v>
      </c>
      <c r="C10" s="81" t="s">
        <v>124</v>
      </c>
      <c r="D10" s="81" t="s">
        <v>123</v>
      </c>
      <c r="E10" s="82">
        <v>28</v>
      </c>
      <c r="F10" s="82">
        <v>28.5</v>
      </c>
      <c r="G10" s="82">
        <v>28</v>
      </c>
      <c r="H10" s="82">
        <v>29.4</v>
      </c>
      <c r="I10" s="82"/>
      <c r="J10" s="82"/>
      <c r="K10" s="82"/>
      <c r="L10" s="82"/>
      <c r="M10" s="82"/>
      <c r="N10" s="82"/>
      <c r="O10" s="82"/>
      <c r="P10" s="82"/>
      <c r="Q10" s="82"/>
      <c r="R10" s="82"/>
      <c r="S10" s="82"/>
      <c r="T10" s="82"/>
      <c r="U10" s="82"/>
      <c r="V10" s="82"/>
      <c r="W10" s="82"/>
    </row>
    <row r="11" spans="1:22" s="81" customFormat="1" ht="12.75">
      <c r="A11" s="81" t="s">
        <v>164</v>
      </c>
      <c r="B11" s="81" t="s">
        <v>234</v>
      </c>
      <c r="C11" s="81" t="s">
        <v>240</v>
      </c>
      <c r="E11" s="82">
        <v>9.1</v>
      </c>
      <c r="F11" s="82">
        <v>8.6</v>
      </c>
      <c r="G11" s="82">
        <v>9.2</v>
      </c>
      <c r="H11" s="82">
        <v>9.8</v>
      </c>
      <c r="I11" s="82"/>
      <c r="J11" s="82"/>
      <c r="K11" s="82"/>
      <c r="L11" s="82"/>
      <c r="M11" s="82"/>
      <c r="N11" s="82"/>
      <c r="O11" s="82"/>
      <c r="P11" s="82"/>
      <c r="Q11" s="82"/>
      <c r="R11" s="82"/>
      <c r="S11" s="82"/>
      <c r="T11" s="82"/>
      <c r="U11" s="82"/>
      <c r="V11" s="82"/>
    </row>
    <row r="12" spans="1:22" s="81" customFormat="1" ht="12.75">
      <c r="A12" s="81" t="s">
        <v>164</v>
      </c>
      <c r="B12" s="81" t="s">
        <v>232</v>
      </c>
      <c r="C12" s="81" t="s">
        <v>241</v>
      </c>
      <c r="E12" s="82">
        <v>11.3</v>
      </c>
      <c r="F12" s="82">
        <v>11</v>
      </c>
      <c r="G12" s="82">
        <v>10.55</v>
      </c>
      <c r="H12" s="82">
        <v>10.6</v>
      </c>
      <c r="I12" s="82"/>
      <c r="J12" s="82"/>
      <c r="K12" s="82"/>
      <c r="L12" s="82"/>
      <c r="M12" s="82"/>
      <c r="N12" s="82"/>
      <c r="O12" s="82"/>
      <c r="P12" s="82"/>
      <c r="Q12" s="82"/>
      <c r="R12" s="82"/>
      <c r="S12" s="82"/>
      <c r="T12" s="82"/>
      <c r="U12" s="82"/>
      <c r="V12" s="82"/>
    </row>
  </sheetData>
  <printOptions headings="1" horizontalCentered="1"/>
  <pageMargins left="0.25" right="0.25" top="0.5" bottom="0.5" header="0.25" footer="0.25"/>
  <pageSetup horizontalDpi="300" verticalDpi="300" orientation="portrait" pageOrder="overThenDown" scale="80" r:id="rId1"/>
  <headerFooter alignWithMargins="0">
    <oddFooter>&amp;C&amp;P, &amp;A, &amp;F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Bruce Springsteen</dc:creator>
  <cp:keywords/>
  <dc:description/>
  <cp:lastModifiedBy>Alan Nguyen</cp:lastModifiedBy>
  <cp:lastPrinted>2004-02-20T23:42:14Z</cp:lastPrinted>
  <dcterms:created xsi:type="dcterms:W3CDTF">2000-01-10T00:44:42Z</dcterms:created>
  <dcterms:modified xsi:type="dcterms:W3CDTF">2004-02-20T23:42:21Z</dcterms:modified>
  <cp:category/>
  <cp:version/>
  <cp:contentType/>
  <cp:contentStatus/>
</cp:coreProperties>
</file>