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3" sheetId="11" r:id="rId11"/>
  </sheets>
  <definedNames>
    <definedName name="_xlnm.Print_Titles" localSheetId="9">'df c10'!$A:$B</definedName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<sst xmlns="http://schemas.openxmlformats.org/spreadsheetml/2006/main" count="1823" uniqueCount="294">
  <si>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</si>
  <si>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</si>
  <si>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</si>
  <si>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</si>
  <si>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</si>
  <si>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</si>
  <si>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</si>
  <si>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</si>
  <si>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</si>
  <si>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</si>
  <si>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</si>
  <si>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</si>
  <si>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</si>
  <si>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</si>
  <si>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</si>
  <si>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</si>
  <si>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</si>
  <si>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</si>
  <si>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</si>
  <si>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</si>
  <si>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</si>
  <si>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</si>
  <si>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</si>
  <si>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</si>
  <si>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</si>
  <si>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</si>
  <si>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</si>
  <si>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</si>
  <si>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</si>
  <si>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</si>
  <si>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</si>
  <si>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</si>
  <si>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</si>
  <si>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</si>
  <si>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</si>
  <si>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</si>
  <si>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</si>
  <si>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</si>
  <si>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</si>
  <si>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</si>
  <si>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</si>
  <si>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</si>
  <si>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</si>
  <si>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</si>
  <si>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</si>
  <si>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</si>
  <si>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</si>
  <si>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</si>
  <si>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HCl</t>
  </si>
  <si>
    <t>Cl2</t>
  </si>
  <si>
    <t>DRE</t>
  </si>
  <si>
    <t>lb/hr</t>
  </si>
  <si>
    <t>Run 3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</si>
  <si>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</si>
  <si>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</si>
  <si>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</si>
  <si>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</si>
  <si>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</si>
  <si>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</si>
  <si>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</si>
  <si>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ng/dscm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</si>
  <si>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</si>
  <si>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</si>
  <si>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</si>
  <si>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</si>
  <si>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</si>
  <si>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</si>
  <si>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</si>
  <si>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</si>
  <si>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</si>
  <si>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</si>
  <si>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</si>
  <si>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</si>
  <si>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</si>
  <si>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</si>
  <si>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</si>
  <si>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</si>
  <si>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</si>
  <si>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</si>
  <si>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</si>
  <si>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</si>
  <si>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</si>
  <si>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</si>
  <si>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</si>
  <si>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*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</si>
  <si>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</si>
  <si>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</si>
  <si>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</si>
  <si>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</si>
  <si>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</si>
  <si>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</si>
  <si>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</si>
  <si>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</si>
  <si>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</si>
  <si>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</si>
  <si>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</si>
  <si>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</si>
  <si>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</si>
  <si>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WQ/VS/PBS/DM</t>
  </si>
  <si>
    <t>n</t>
  </si>
  <si>
    <t>mg/dscf</t>
  </si>
  <si>
    <t>PM, HCl/Cl2, HF</t>
  </si>
  <si>
    <t>Total Chlorine</t>
  </si>
  <si>
    <t>Phase I ID No.</t>
  </si>
  <si>
    <t>Silver</t>
  </si>
  <si>
    <t>Aluminum</t>
  </si>
  <si>
    <t>Arsenic</t>
  </si>
  <si>
    <t>Barium</t>
  </si>
  <si>
    <t>Boron</t>
  </si>
  <si>
    <t>Cadmium</t>
  </si>
  <si>
    <t>Cobolt</t>
  </si>
  <si>
    <t>Copper</t>
  </si>
  <si>
    <t>Manganese</t>
  </si>
  <si>
    <t>Nickel</t>
  </si>
  <si>
    <t>Phosphorus</t>
  </si>
  <si>
    <t>Antimony</t>
  </si>
  <si>
    <t>Selenium</t>
  </si>
  <si>
    <t>Tin</t>
  </si>
  <si>
    <t>Thallium</t>
  </si>
  <si>
    <t>Vanadium</t>
  </si>
  <si>
    <t>Zinc</t>
  </si>
  <si>
    <t>ug/dscf</t>
  </si>
  <si>
    <t>CO (RA)</t>
  </si>
  <si>
    <t>Comb Chamb Temp</t>
  </si>
  <si>
    <t>Afterburner Temp</t>
  </si>
  <si>
    <t>Comb Cham Pressure</t>
  </si>
  <si>
    <t>in H2O</t>
  </si>
  <si>
    <t>VS Pressure Drop</t>
  </si>
  <si>
    <t>gpm</t>
  </si>
  <si>
    <t>PBS Liquor Flow</t>
  </si>
  <si>
    <t>PBS Clean Liquor pH</t>
  </si>
  <si>
    <t>Brine pH</t>
  </si>
  <si>
    <t>Liquid injection incinerator</t>
  </si>
  <si>
    <t>TRC Environmental</t>
  </si>
  <si>
    <t>Chemical agent GB</t>
  </si>
  <si>
    <t>Run 2</t>
  </si>
  <si>
    <t>CO (MHRA)</t>
  </si>
  <si>
    <t>Agent GB</t>
  </si>
  <si>
    <t xml:space="preserve">POHC </t>
  </si>
  <si>
    <t>POHC Feedrate</t>
  </si>
  <si>
    <t>Emission Rate</t>
  </si>
  <si>
    <t>&gt;</t>
  </si>
  <si>
    <t>Johnston Atoll</t>
  </si>
  <si>
    <t>Territory</t>
  </si>
  <si>
    <t>LIC</t>
  </si>
  <si>
    <t>TT0570090001</t>
  </si>
  <si>
    <t>Raytheon Engineers &amp; Construction</t>
  </si>
  <si>
    <t>JACADS Liquid Incinerator - Trial Burn Report, August 29, 1997</t>
  </si>
  <si>
    <t>344C10</t>
  </si>
  <si>
    <t>April 11, 15, 16, and 17, 1997</t>
  </si>
  <si>
    <t>Agent GB (Sarin) trial burn</t>
  </si>
  <si>
    <t>PBS pressure drop</t>
  </si>
  <si>
    <t>JACADS, LIC</t>
  </si>
  <si>
    <t>GB trial burn, April 11, 15, 16,&amp; 17, 1997</t>
  </si>
  <si>
    <t>Run 4</t>
  </si>
  <si>
    <t>Run 5</t>
  </si>
  <si>
    <t>Note: Common stack for 3 HWIs: LIC, MPF, and DFS; stack velocity &amp; temp. below is for LIC only</t>
  </si>
  <si>
    <t>JP-5</t>
  </si>
  <si>
    <t>PM, HCl/HF, metals, PCDD/PCDF, VOC/SVOC (Runs 2-5)</t>
  </si>
  <si>
    <t>RCRA</t>
  </si>
  <si>
    <t>Report Name/Date</t>
  </si>
  <si>
    <t>Report Prepare</t>
  </si>
  <si>
    <t>Testing Firm</t>
  </si>
  <si>
    <t>Testing Dates</t>
  </si>
  <si>
    <t>Condition Descr</t>
  </si>
  <si>
    <t>Content</t>
  </si>
  <si>
    <t>344C1</t>
  </si>
  <si>
    <t>Results of the RCRA Trial Burn with VX Feed for the Liquid Incinerator at the Johnston Atoll Chemical Agent Disposal System, Jun 23, 1992, prepared by Southern Research Institute, SRI-APC-92-384-7530.11.1-I-R3</t>
  </si>
  <si>
    <t>Southern Research Institute</t>
  </si>
  <si>
    <t>Cond Descr</t>
  </si>
  <si>
    <t>Trial burn, NOMINAL CONDITIONS</t>
  </si>
  <si>
    <t>March 10-16, 1992</t>
  </si>
  <si>
    <t>344C2</t>
  </si>
  <si>
    <t>Results of the RCRA Trial Burn with GB Feed fo the Liquid Incinerator at the Johnston Atoll Chemical Agent Disposal System, June 17, 1991, SRI-APC-91-190-6967-006-F-R4</t>
  </si>
  <si>
    <t>344C3</t>
  </si>
  <si>
    <t>Results of the Demonstration Test Burn for Thermal Destruction of Agent HD in the Johnston Atoll Chemical Agent Disposal System Liquid Incinerator, prepared by United Engineers and Constructors, Feburary, 1993</t>
  </si>
  <si>
    <t>United Engineers and Constructors</t>
  </si>
  <si>
    <t>SRI, METCO</t>
  </si>
  <si>
    <t>STEADY STATE CONDITIONS</t>
  </si>
  <si>
    <t>R1</t>
  </si>
  <si>
    <t>R2</t>
  </si>
  <si>
    <t>R3</t>
  </si>
  <si>
    <t>R4</t>
  </si>
  <si>
    <t/>
  </si>
  <si>
    <t>Halogens</t>
  </si>
  <si>
    <t>PAH</t>
  </si>
  <si>
    <t>SVOC</t>
  </si>
  <si>
    <t>VX-NERVE AGENT</t>
  </si>
  <si>
    <t>GB-NERVE AGENT</t>
  </si>
  <si>
    <t>HD (Mustard Agent)</t>
  </si>
  <si>
    <t>VX nerve agent</t>
  </si>
  <si>
    <t>Decon solution</t>
  </si>
  <si>
    <t>GB nerve agent</t>
  </si>
  <si>
    <t>HD mustard agent</t>
  </si>
  <si>
    <t>Feedrate</t>
  </si>
  <si>
    <t>Run 1</t>
  </si>
  <si>
    <t>Wt Fact</t>
  </si>
  <si>
    <t>Full ND</t>
  </si>
  <si>
    <t>4D 2378</t>
  </si>
  <si>
    <t>4D Other</t>
  </si>
  <si>
    <t>4D Total</t>
  </si>
  <si>
    <t>5D 12378</t>
  </si>
  <si>
    <t>5D Other</t>
  </si>
  <si>
    <t>5D Total</t>
  </si>
  <si>
    <t>6D 123478</t>
  </si>
  <si>
    <t>6D 123678</t>
  </si>
  <si>
    <t>6D 123789</t>
  </si>
  <si>
    <t>6D Other</t>
  </si>
  <si>
    <t>6D Total</t>
  </si>
  <si>
    <t>7D 1234678</t>
  </si>
  <si>
    <t>7D Other</t>
  </si>
  <si>
    <t>7D Total</t>
  </si>
  <si>
    <t>8D</t>
  </si>
  <si>
    <t>4F 2378</t>
  </si>
  <si>
    <t>4F Other</t>
  </si>
  <si>
    <t>4F Total</t>
  </si>
  <si>
    <t>5F 12378</t>
  </si>
  <si>
    <t>5F 23478</t>
  </si>
  <si>
    <t>5F Other</t>
  </si>
  <si>
    <t>5F Total</t>
  </si>
  <si>
    <t>6F 123478</t>
  </si>
  <si>
    <t>6F 123678</t>
  </si>
  <si>
    <t>6F 123789</t>
  </si>
  <si>
    <t>6F 234678</t>
  </si>
  <si>
    <t>6F Other</t>
  </si>
  <si>
    <t>6F Total</t>
  </si>
  <si>
    <t>7F 1234678</t>
  </si>
  <si>
    <t>7F 1234789</t>
  </si>
  <si>
    <t>7F Other</t>
  </si>
  <si>
    <t>7F Total</t>
  </si>
  <si>
    <t>8F</t>
  </si>
  <si>
    <t>Total PCDD/PCDF</t>
  </si>
  <si>
    <t>Condition Description</t>
  </si>
  <si>
    <t>Combustor Class</t>
  </si>
  <si>
    <t>Combustor Type</t>
  </si>
  <si>
    <t>Johnston Atoll Chemical Agent Disposal System (JACADS)</t>
  </si>
  <si>
    <t>Stack Gas Emissions 2</t>
  </si>
  <si>
    <t>Stack Gas Emissions 1</t>
  </si>
  <si>
    <t>Feedstream 1</t>
  </si>
  <si>
    <t>No information available</t>
  </si>
  <si>
    <t>Feedstream 2</t>
  </si>
  <si>
    <t>34410</t>
  </si>
  <si>
    <t>F</t>
  </si>
  <si>
    <t>34411</t>
  </si>
  <si>
    <t>34412</t>
  </si>
  <si>
    <t>34413</t>
  </si>
  <si>
    <t>Afterburner Temperature</t>
  </si>
  <si>
    <t>Primary Comb Temperature</t>
  </si>
  <si>
    <t>Quench Inlet Temperature</t>
  </si>
  <si>
    <t>WS Temperature</t>
  </si>
  <si>
    <t>PBS Pressure Drop</t>
  </si>
  <si>
    <t>DM Pressure Drop</t>
  </si>
  <si>
    <t>Quench pH</t>
  </si>
  <si>
    <t>VS pH</t>
  </si>
  <si>
    <t>Process Information 2</t>
  </si>
  <si>
    <t>Water quench, venturi scrubber, packed bed scrubber, demister.  Variable throat venturi scrubber, packed bed with steel ring packing</t>
  </si>
  <si>
    <t>Liquid injection incinerator made by T-Thermal (4' diameter, 12' high), with afterburner, LV-14 Vortex burner</t>
  </si>
  <si>
    <t>E1</t>
  </si>
  <si>
    <t>E2</t>
  </si>
  <si>
    <t>E4</t>
  </si>
  <si>
    <t>E3</t>
  </si>
  <si>
    <t>Chromium (Hex)</t>
  </si>
  <si>
    <t>Cond Dates</t>
  </si>
  <si>
    <t>December 5-6, 1990</t>
  </si>
  <si>
    <t>August 19-25, 1992</t>
  </si>
  <si>
    <t>Number of Sister Facilities</t>
  </si>
  <si>
    <t>APCS Detailed Acronym</t>
  </si>
  <si>
    <t>APCS General Class</t>
  </si>
  <si>
    <t>WQ, HEWS, LEWS</t>
  </si>
  <si>
    <t>Liq</t>
  </si>
  <si>
    <t>Misc fuel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</si>
  <si>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</si>
  <si>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</si>
  <si>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</si>
  <si>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</si>
  <si>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</si>
  <si>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</si>
  <si>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</si>
  <si>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</si>
  <si>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</si>
  <si>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c3</t>
  </si>
  <si>
    <t>Onsite Incinerator, DoD government, Chem Demil</t>
  </si>
  <si>
    <t>HC (RA)</t>
  </si>
  <si>
    <t>Feedstream Description</t>
  </si>
  <si>
    <t>Feedstream Number</t>
  </si>
  <si>
    <t>Feed Class</t>
  </si>
  <si>
    <t>F1</t>
  </si>
  <si>
    <t>Liq HW</t>
  </si>
  <si>
    <t>F2</t>
  </si>
  <si>
    <t>F3</t>
  </si>
  <si>
    <t>F4</t>
  </si>
  <si>
    <t>Cobalt</t>
  </si>
  <si>
    <t>N</t>
  </si>
  <si>
    <t>No longer burning waste; shutdown after all hazardous waste on island was treated.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</si>
</sst>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0000E+00"/>
    <numFmt numFmtId="178" formatCode="mm/dd/yy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left"/>
    </xf>
    <xf numFmtId="1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B1" sqref="B1"/>
    </sheetView>
  </sheetViews>
  <sheetFormatPr defaultColWidth="9.140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  <row r="6" ht="12.75">
      <c r="A6" t="s">
        <v>276</v>
      </c>
    </row>
    <row r="7" ht="12.75">
      <c r="A7" t="s">
        <v>277</v>
      </c>
    </row>
    <row r="8" ht="12.75">
      <c r="A8" t="s">
        <v>278</v>
      </c>
    </row>
    <row r="9" ht="12.75">
      <c r="A9" t="s">
        <v>279</v>
      </c>
    </row>
    <row r="10" ht="12.75">
      <c r="A10" t="s">
        <v>280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33"/>
  <sheetViews>
    <sheetView zoomScale="75" zoomScaleNormal="75" workbookViewId="0" topLeftCell="A1">
      <selection activeCell="B31" sqref="B3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5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5.57421875" style="51" bestFit="1" customWidth="1"/>
    <col min="11" max="11" width="9.28125" style="0" customWidth="1"/>
    <col min="13" max="13" width="9.28125" style="0" customWidth="1"/>
    <col min="14" max="14" width="5.57421875" style="0" bestFit="1" customWidth="1"/>
    <col min="16" max="16" width="9.00390625" style="0" customWidth="1"/>
    <col min="18" max="18" width="9.00390625" style="0" customWidth="1"/>
    <col min="19" max="19" width="8.57421875" style="0" customWidth="1"/>
    <col min="21" max="21" width="9.00390625" style="0" customWidth="1"/>
    <col min="23" max="23" width="9.00390625" style="0" customWidth="1"/>
  </cols>
  <sheetData>
    <row r="1" spans="1:23" ht="12.75">
      <c r="A1" s="41" t="s">
        <v>65</v>
      </c>
      <c r="B1" s="27"/>
      <c r="C1" s="27"/>
      <c r="D1" s="27"/>
      <c r="E1" s="34"/>
      <c r="F1" s="35"/>
      <c r="G1" s="34"/>
      <c r="H1" s="35"/>
      <c r="I1" s="3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9" customHeight="1">
      <c r="A2" s="27" t="s">
        <v>292</v>
      </c>
      <c r="B2" s="27"/>
      <c r="C2" s="27"/>
      <c r="D2" s="27"/>
      <c r="E2" s="34"/>
      <c r="F2" s="35"/>
      <c r="G2" s="34"/>
      <c r="H2" s="35"/>
      <c r="I2" s="3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2.75">
      <c r="A3" s="27" t="s">
        <v>20</v>
      </c>
      <c r="B3" s="27"/>
      <c r="C3" s="9" t="s">
        <v>152</v>
      </c>
      <c r="D3" s="9"/>
      <c r="E3" s="34"/>
      <c r="F3" s="35"/>
      <c r="G3" s="34"/>
      <c r="H3" s="35"/>
      <c r="I3" s="3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12.75">
      <c r="A4" s="27" t="s">
        <v>21</v>
      </c>
      <c r="B4" s="27"/>
      <c r="C4" s="9" t="s">
        <v>148</v>
      </c>
      <c r="D4" s="9"/>
      <c r="E4" s="36"/>
      <c r="F4" s="37"/>
      <c r="G4" s="36"/>
      <c r="H4" s="37"/>
      <c r="I4" s="38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12.75">
      <c r="A5" s="27" t="s">
        <v>22</v>
      </c>
      <c r="B5" s="27"/>
      <c r="C5" s="12" t="s">
        <v>153</v>
      </c>
      <c r="D5" s="12"/>
      <c r="E5" s="12"/>
      <c r="F5" s="12"/>
      <c r="G5" s="12"/>
      <c r="H5" s="12"/>
      <c r="I5" s="46"/>
      <c r="J5" s="12"/>
      <c r="K5" s="34"/>
      <c r="L5" s="1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spans="1:23" ht="12.75">
      <c r="A6" s="27"/>
      <c r="B6" s="27"/>
      <c r="C6" s="29"/>
      <c r="D6" s="29"/>
      <c r="E6" s="38"/>
      <c r="F6" s="35"/>
      <c r="G6" s="38"/>
      <c r="H6" s="35"/>
      <c r="I6" s="38"/>
      <c r="J6" s="38"/>
      <c r="K6" s="34"/>
      <c r="L6" s="38"/>
      <c r="M6" s="34"/>
      <c r="N6" s="34"/>
      <c r="O6" s="38"/>
      <c r="P6" s="34"/>
      <c r="Q6" s="38"/>
      <c r="R6" s="34"/>
      <c r="S6" s="34"/>
      <c r="T6" s="38"/>
      <c r="U6" s="34"/>
      <c r="V6" s="38"/>
      <c r="W6" s="34"/>
    </row>
    <row r="7" spans="1:23" ht="12.75">
      <c r="A7" s="27"/>
      <c r="B7" s="27"/>
      <c r="C7" s="29" t="s">
        <v>23</v>
      </c>
      <c r="D7" s="29"/>
      <c r="E7" s="39" t="s">
        <v>135</v>
      </c>
      <c r="F7" s="39"/>
      <c r="G7" s="39"/>
      <c r="H7" s="39"/>
      <c r="I7" s="11"/>
      <c r="J7" s="39" t="s">
        <v>52</v>
      </c>
      <c r="K7" s="39"/>
      <c r="L7" s="39"/>
      <c r="M7" s="39"/>
      <c r="N7" s="11"/>
      <c r="O7" s="39" t="s">
        <v>154</v>
      </c>
      <c r="P7" s="39"/>
      <c r="Q7" s="39"/>
      <c r="R7" s="39"/>
      <c r="S7" s="11"/>
      <c r="T7" s="39" t="s">
        <v>155</v>
      </c>
      <c r="U7" s="39"/>
      <c r="V7" s="39"/>
      <c r="W7" s="39"/>
    </row>
    <row r="8" spans="1:23" ht="12.75">
      <c r="A8" s="27"/>
      <c r="B8" s="27"/>
      <c r="C8" s="29" t="s">
        <v>24</v>
      </c>
      <c r="D8" s="27"/>
      <c r="E8" s="38" t="s">
        <v>25</v>
      </c>
      <c r="F8" s="37" t="s">
        <v>26</v>
      </c>
      <c r="G8" s="38" t="s">
        <v>25</v>
      </c>
      <c r="H8" s="37" t="s">
        <v>26</v>
      </c>
      <c r="I8" s="38"/>
      <c r="J8" s="38" t="s">
        <v>25</v>
      </c>
      <c r="K8" s="38" t="s">
        <v>27</v>
      </c>
      <c r="L8" s="38" t="s">
        <v>25</v>
      </c>
      <c r="M8" s="38" t="s">
        <v>27</v>
      </c>
      <c r="N8" s="34"/>
      <c r="O8" s="38" t="s">
        <v>25</v>
      </c>
      <c r="P8" s="38" t="s">
        <v>27</v>
      </c>
      <c r="Q8" s="38" t="s">
        <v>25</v>
      </c>
      <c r="R8" s="38" t="s">
        <v>27</v>
      </c>
      <c r="S8" s="34"/>
      <c r="T8" s="38" t="s">
        <v>25</v>
      </c>
      <c r="U8" s="38" t="s">
        <v>27</v>
      </c>
      <c r="V8" s="38" t="s">
        <v>25</v>
      </c>
      <c r="W8" s="38" t="s">
        <v>27</v>
      </c>
    </row>
    <row r="9" spans="1:23" ht="12.75">
      <c r="A9" s="27"/>
      <c r="B9" s="27"/>
      <c r="C9" s="29"/>
      <c r="D9" s="27"/>
      <c r="E9" s="38" t="s">
        <v>197</v>
      </c>
      <c r="F9" s="38" t="s">
        <v>197</v>
      </c>
      <c r="G9" s="38" t="s">
        <v>64</v>
      </c>
      <c r="H9" s="37" t="s">
        <v>64</v>
      </c>
      <c r="I9" s="38"/>
      <c r="J9" s="38" t="s">
        <v>197</v>
      </c>
      <c r="K9" s="38" t="s">
        <v>197</v>
      </c>
      <c r="L9" s="38" t="s">
        <v>64</v>
      </c>
      <c r="M9" s="37" t="s">
        <v>64</v>
      </c>
      <c r="N9" s="34"/>
      <c r="O9" s="38" t="s">
        <v>197</v>
      </c>
      <c r="P9" s="38" t="s">
        <v>197</v>
      </c>
      <c r="Q9" s="38" t="s">
        <v>64</v>
      </c>
      <c r="R9" s="37" t="s">
        <v>64</v>
      </c>
      <c r="S9" s="34"/>
      <c r="T9" s="38" t="s">
        <v>197</v>
      </c>
      <c r="U9" s="38" t="s">
        <v>197</v>
      </c>
      <c r="V9" s="38" t="s">
        <v>64</v>
      </c>
      <c r="W9" s="37" t="s">
        <v>64</v>
      </c>
    </row>
    <row r="10" spans="1:23" ht="12.75">
      <c r="A10" s="27" t="s">
        <v>97</v>
      </c>
      <c r="B10" s="27"/>
      <c r="C10" s="27"/>
      <c r="D10" s="27"/>
      <c r="E10" s="34"/>
      <c r="F10" s="35"/>
      <c r="G10" s="34"/>
      <c r="H10" s="35"/>
      <c r="I10" s="38"/>
      <c r="J10" s="34"/>
      <c r="K10" s="34"/>
      <c r="L10" s="34"/>
      <c r="M10" s="34"/>
      <c r="N10" s="34"/>
      <c r="O10" s="30"/>
      <c r="P10" s="34"/>
      <c r="Q10" s="34"/>
      <c r="R10" s="34"/>
      <c r="S10" s="34"/>
      <c r="T10" s="30"/>
      <c r="U10" s="34"/>
      <c r="V10" s="34"/>
      <c r="W10" s="34"/>
    </row>
    <row r="11" spans="1:23" ht="12.75">
      <c r="A11" s="27"/>
      <c r="B11" s="27" t="s">
        <v>28</v>
      </c>
      <c r="C11" s="29">
        <v>1</v>
      </c>
      <c r="D11" t="s">
        <v>96</v>
      </c>
      <c r="E11" s="63">
        <v>14</v>
      </c>
      <c r="F11" s="32">
        <f aca="true" t="shared" si="0" ref="F11:F35">IF(E11="","",E11*$C11)</f>
        <v>14</v>
      </c>
      <c r="G11" s="32">
        <f aca="true" t="shared" si="1" ref="G11:G35">IF(E11=0,"",IF(D11="nd",E11/2,E11))</f>
        <v>7</v>
      </c>
      <c r="H11" s="32">
        <f aca="true" t="shared" si="2" ref="H11:H35">IF(G11="","",G11*$C11)</f>
        <v>7</v>
      </c>
      <c r="I11" s="63" t="s">
        <v>96</v>
      </c>
      <c r="J11" s="63">
        <v>16</v>
      </c>
      <c r="K11" s="32">
        <f aca="true" t="shared" si="3" ref="K11:K35">IF(J11="","",J11*$C11)</f>
        <v>16</v>
      </c>
      <c r="L11" s="32">
        <f>IF(J11=0,"",IF(I11="nd",J11/2,J11))</f>
        <v>8</v>
      </c>
      <c r="M11" s="32">
        <f aca="true" t="shared" si="4" ref="M11:M35">IF(L11="","",L11*$C11)</f>
        <v>8</v>
      </c>
      <c r="N11" s="63" t="s">
        <v>96</v>
      </c>
      <c r="O11" s="63">
        <v>12</v>
      </c>
      <c r="P11" s="32">
        <f aca="true" t="shared" si="5" ref="P11:P35">IF(O11="","",O11*$C11)</f>
        <v>12</v>
      </c>
      <c r="Q11" s="32">
        <f>IF(O11=0,"",IF(N11="nd",O11/2,O11))</f>
        <v>6</v>
      </c>
      <c r="R11" s="32">
        <f aca="true" t="shared" si="6" ref="R11:R35">IF(Q11="","",Q11*$C11)</f>
        <v>6</v>
      </c>
      <c r="S11" s="63" t="s">
        <v>96</v>
      </c>
      <c r="T11" s="63">
        <v>9.3</v>
      </c>
      <c r="U11" s="32">
        <f aca="true" t="shared" si="7" ref="U11:U35">IF(T11="","",T11*$C11)</f>
        <v>9.3</v>
      </c>
      <c r="V11" s="32">
        <f aca="true" t="shared" si="8" ref="V11:V35">IF(T11=0,"",IF(S11="nd",T11/2,T11))</f>
        <v>4.65</v>
      </c>
      <c r="W11" s="32">
        <f aca="true" t="shared" si="9" ref="W11:W35">IF(V11="","",V11*$C11)</f>
        <v>4.65</v>
      </c>
    </row>
    <row r="12" spans="1:23" ht="12.75">
      <c r="A12" s="27"/>
      <c r="B12" s="27" t="s">
        <v>86</v>
      </c>
      <c r="C12" s="29">
        <v>0</v>
      </c>
      <c r="D12" t="s">
        <v>96</v>
      </c>
      <c r="E12" s="63">
        <v>14</v>
      </c>
      <c r="F12" s="32">
        <f t="shared" si="0"/>
        <v>0</v>
      </c>
      <c r="G12" s="32">
        <f>IF(E12=0,"",IF(D12="nd",E12/2,E12))</f>
        <v>7</v>
      </c>
      <c r="H12" s="32">
        <f t="shared" si="2"/>
        <v>0</v>
      </c>
      <c r="I12" s="63" t="s">
        <v>96</v>
      </c>
      <c r="J12" s="63">
        <v>16</v>
      </c>
      <c r="K12" s="32">
        <f t="shared" si="3"/>
        <v>0</v>
      </c>
      <c r="L12" s="32">
        <f>IF(J12=0,"",IF(I12="nd",J12/2,J12))</f>
        <v>8</v>
      </c>
      <c r="M12" s="32">
        <f t="shared" si="4"/>
        <v>0</v>
      </c>
      <c r="N12" s="63" t="s">
        <v>96</v>
      </c>
      <c r="O12" s="63">
        <v>12</v>
      </c>
      <c r="P12" s="32">
        <f t="shared" si="5"/>
        <v>0</v>
      </c>
      <c r="Q12" s="32">
        <f>IF(O12=0,"",IF(N12="nd",O12/2,O12))</f>
        <v>6</v>
      </c>
      <c r="R12" s="32">
        <f t="shared" si="6"/>
        <v>0</v>
      </c>
      <c r="S12" s="63" t="s">
        <v>96</v>
      </c>
      <c r="T12" s="63">
        <v>9.3</v>
      </c>
      <c r="U12" s="32">
        <f t="shared" si="7"/>
        <v>0</v>
      </c>
      <c r="V12" s="32">
        <f t="shared" si="8"/>
        <v>4.65</v>
      </c>
      <c r="W12" s="32">
        <f t="shared" si="9"/>
        <v>0</v>
      </c>
    </row>
    <row r="13" spans="1:23" ht="12.75">
      <c r="A13" s="27"/>
      <c r="B13" s="27" t="s">
        <v>29</v>
      </c>
      <c r="C13" s="29">
        <v>0.5</v>
      </c>
      <c r="D13" t="s">
        <v>96</v>
      </c>
      <c r="E13" s="63">
        <v>20</v>
      </c>
      <c r="F13" s="32">
        <f t="shared" si="0"/>
        <v>10</v>
      </c>
      <c r="G13" s="32">
        <f t="shared" si="1"/>
        <v>10</v>
      </c>
      <c r="H13" s="32">
        <f t="shared" si="2"/>
        <v>5</v>
      </c>
      <c r="I13" s="63" t="s">
        <v>96</v>
      </c>
      <c r="J13" s="63">
        <v>26</v>
      </c>
      <c r="K13" s="32">
        <f t="shared" si="3"/>
        <v>13</v>
      </c>
      <c r="L13" s="32">
        <f aca="true" t="shared" si="10" ref="L13:L35">IF(J13=0,"",IF(I13="nd",J13/2,J13))</f>
        <v>13</v>
      </c>
      <c r="M13" s="32">
        <f t="shared" si="4"/>
        <v>6.5</v>
      </c>
      <c r="N13" s="63" t="s">
        <v>96</v>
      </c>
      <c r="O13" s="63">
        <v>21</v>
      </c>
      <c r="P13" s="32">
        <f t="shared" si="5"/>
        <v>10.5</v>
      </c>
      <c r="Q13" s="32">
        <f aca="true" t="shared" si="11" ref="Q13:Q35">IF(O13=0,"",IF(N13="nd",O13/2,O13))</f>
        <v>10.5</v>
      </c>
      <c r="R13" s="32">
        <f t="shared" si="6"/>
        <v>5.25</v>
      </c>
      <c r="S13" s="63" t="s">
        <v>96</v>
      </c>
      <c r="T13" s="63">
        <v>14</v>
      </c>
      <c r="U13" s="32">
        <f t="shared" si="7"/>
        <v>7</v>
      </c>
      <c r="V13" s="32">
        <f t="shared" si="8"/>
        <v>7</v>
      </c>
      <c r="W13" s="32">
        <f t="shared" si="9"/>
        <v>3.5</v>
      </c>
    </row>
    <row r="14" spans="1:23" ht="12.75">
      <c r="A14" s="27"/>
      <c r="B14" s="27" t="s">
        <v>87</v>
      </c>
      <c r="C14" s="29">
        <v>0</v>
      </c>
      <c r="D14" t="s">
        <v>96</v>
      </c>
      <c r="E14" s="63">
        <v>20</v>
      </c>
      <c r="F14" s="32">
        <f t="shared" si="0"/>
        <v>0</v>
      </c>
      <c r="G14" s="32">
        <f>IF(E14=0,"",IF(D14="nd",E14/2,E14))</f>
        <v>10</v>
      </c>
      <c r="H14" s="32">
        <f t="shared" si="2"/>
        <v>0</v>
      </c>
      <c r="I14" s="63" t="s">
        <v>96</v>
      </c>
      <c r="J14" s="63">
        <v>26</v>
      </c>
      <c r="K14" s="32">
        <f t="shared" si="3"/>
        <v>0</v>
      </c>
      <c r="L14" s="32">
        <f>IF(J14=0,"",IF(I14="nd",J14/2,J14))</f>
        <v>13</v>
      </c>
      <c r="M14" s="32">
        <f t="shared" si="4"/>
        <v>0</v>
      </c>
      <c r="N14" s="63" t="s">
        <v>96</v>
      </c>
      <c r="O14" s="63">
        <v>21</v>
      </c>
      <c r="P14" s="32">
        <f t="shared" si="5"/>
        <v>0</v>
      </c>
      <c r="Q14" s="32">
        <f>IF(O14=0,"",IF(N14="nd",O14/2,O14))</f>
        <v>10.5</v>
      </c>
      <c r="R14" s="32">
        <f t="shared" si="6"/>
        <v>0</v>
      </c>
      <c r="S14" s="63" t="s">
        <v>96</v>
      </c>
      <c r="T14" s="63">
        <v>14</v>
      </c>
      <c r="U14" s="32">
        <f t="shared" si="7"/>
        <v>0</v>
      </c>
      <c r="V14" s="32">
        <f t="shared" si="8"/>
        <v>7</v>
      </c>
      <c r="W14" s="32">
        <f t="shared" si="9"/>
        <v>0</v>
      </c>
    </row>
    <row r="15" spans="1:23" ht="12.75">
      <c r="A15" s="27"/>
      <c r="B15" s="27" t="s">
        <v>30</v>
      </c>
      <c r="C15" s="29">
        <v>0.1</v>
      </c>
      <c r="D15" t="s">
        <v>96</v>
      </c>
      <c r="E15" s="63">
        <v>15</v>
      </c>
      <c r="F15" s="32">
        <f t="shared" si="0"/>
        <v>1.5</v>
      </c>
      <c r="G15" s="32">
        <f t="shared" si="1"/>
        <v>7.5</v>
      </c>
      <c r="H15" s="32">
        <f t="shared" si="2"/>
        <v>0.75</v>
      </c>
      <c r="I15" s="63" t="s">
        <v>96</v>
      </c>
      <c r="J15" s="63">
        <v>24</v>
      </c>
      <c r="K15" s="32">
        <f t="shared" si="3"/>
        <v>2.4000000000000004</v>
      </c>
      <c r="L15" s="32">
        <f t="shared" si="10"/>
        <v>12</v>
      </c>
      <c r="M15" s="32">
        <f t="shared" si="4"/>
        <v>1.2000000000000002</v>
      </c>
      <c r="N15" s="63" t="s">
        <v>96</v>
      </c>
      <c r="O15" s="63">
        <v>20</v>
      </c>
      <c r="P15" s="32">
        <f t="shared" si="5"/>
        <v>2</v>
      </c>
      <c r="Q15" s="32">
        <f t="shared" si="11"/>
        <v>10</v>
      </c>
      <c r="R15" s="32">
        <f t="shared" si="6"/>
        <v>1</v>
      </c>
      <c r="S15" s="63" t="s">
        <v>96</v>
      </c>
      <c r="T15" s="63">
        <v>19</v>
      </c>
      <c r="U15" s="32">
        <f t="shared" si="7"/>
        <v>1.9000000000000001</v>
      </c>
      <c r="V15" s="32">
        <f t="shared" si="8"/>
        <v>9.5</v>
      </c>
      <c r="W15" s="32">
        <f t="shared" si="9"/>
        <v>0.9500000000000001</v>
      </c>
    </row>
    <row r="16" spans="1:23" ht="12.75">
      <c r="A16" s="27"/>
      <c r="B16" s="27" t="s">
        <v>31</v>
      </c>
      <c r="C16" s="29">
        <v>0.1</v>
      </c>
      <c r="D16" t="s">
        <v>96</v>
      </c>
      <c r="E16" s="63">
        <v>14</v>
      </c>
      <c r="F16" s="32">
        <f t="shared" si="0"/>
        <v>1.4000000000000001</v>
      </c>
      <c r="G16" s="32">
        <f t="shared" si="1"/>
        <v>7</v>
      </c>
      <c r="H16" s="32">
        <f t="shared" si="2"/>
        <v>0.7000000000000001</v>
      </c>
      <c r="I16" s="63" t="s">
        <v>96</v>
      </c>
      <c r="J16" s="63">
        <v>21</v>
      </c>
      <c r="K16" s="32">
        <f t="shared" si="3"/>
        <v>2.1</v>
      </c>
      <c r="L16" s="32">
        <f t="shared" si="10"/>
        <v>10.5</v>
      </c>
      <c r="M16" s="32">
        <f t="shared" si="4"/>
        <v>1.05</v>
      </c>
      <c r="N16" s="63" t="s">
        <v>96</v>
      </c>
      <c r="O16" s="63">
        <v>17</v>
      </c>
      <c r="P16" s="32">
        <f t="shared" si="5"/>
        <v>1.7000000000000002</v>
      </c>
      <c r="Q16" s="32">
        <f t="shared" si="11"/>
        <v>8.5</v>
      </c>
      <c r="R16" s="32">
        <f t="shared" si="6"/>
        <v>0.8500000000000001</v>
      </c>
      <c r="S16" s="63" t="s">
        <v>96</v>
      </c>
      <c r="T16" s="63">
        <v>17</v>
      </c>
      <c r="U16" s="32">
        <f t="shared" si="7"/>
        <v>1.7000000000000002</v>
      </c>
      <c r="V16" s="32">
        <f t="shared" si="8"/>
        <v>8.5</v>
      </c>
      <c r="W16" s="32">
        <f t="shared" si="9"/>
        <v>0.8500000000000001</v>
      </c>
    </row>
    <row r="17" spans="1:23" ht="12.75">
      <c r="A17" s="27"/>
      <c r="B17" s="27" t="s">
        <v>32</v>
      </c>
      <c r="C17" s="29">
        <v>0.1</v>
      </c>
      <c r="D17" t="s">
        <v>96</v>
      </c>
      <c r="E17" s="63">
        <v>16</v>
      </c>
      <c r="F17" s="32">
        <f t="shared" si="0"/>
        <v>1.6</v>
      </c>
      <c r="G17" s="32">
        <f t="shared" si="1"/>
        <v>8</v>
      </c>
      <c r="H17" s="32">
        <f t="shared" si="2"/>
        <v>0.8</v>
      </c>
      <c r="I17" s="63" t="s">
        <v>96</v>
      </c>
      <c r="J17" s="63">
        <v>23</v>
      </c>
      <c r="K17" s="32">
        <f t="shared" si="3"/>
        <v>2.3000000000000003</v>
      </c>
      <c r="L17" s="32">
        <f t="shared" si="10"/>
        <v>11.5</v>
      </c>
      <c r="M17" s="32">
        <f t="shared" si="4"/>
        <v>1.1500000000000001</v>
      </c>
      <c r="N17" s="63" t="s">
        <v>96</v>
      </c>
      <c r="O17" s="63">
        <v>20</v>
      </c>
      <c r="P17" s="32">
        <f t="shared" si="5"/>
        <v>2</v>
      </c>
      <c r="Q17" s="32">
        <f t="shared" si="11"/>
        <v>10</v>
      </c>
      <c r="R17" s="32">
        <f t="shared" si="6"/>
        <v>1</v>
      </c>
      <c r="S17" s="63" t="s">
        <v>96</v>
      </c>
      <c r="T17" s="63">
        <v>18</v>
      </c>
      <c r="U17" s="32">
        <f t="shared" si="7"/>
        <v>1.8</v>
      </c>
      <c r="V17" s="32">
        <f t="shared" si="8"/>
        <v>9</v>
      </c>
      <c r="W17" s="32">
        <f t="shared" si="9"/>
        <v>0.9</v>
      </c>
    </row>
    <row r="18" spans="1:23" ht="12.75">
      <c r="A18" s="27"/>
      <c r="B18" s="27" t="s">
        <v>88</v>
      </c>
      <c r="C18" s="29">
        <v>0</v>
      </c>
      <c r="D18" t="s">
        <v>96</v>
      </c>
      <c r="E18" s="63">
        <v>16</v>
      </c>
      <c r="F18" s="32">
        <f t="shared" si="0"/>
        <v>0</v>
      </c>
      <c r="G18" s="32">
        <f>IF(E18=0,"",IF(D18="nd",E18/2,E18))</f>
        <v>8</v>
      </c>
      <c r="H18" s="32">
        <f t="shared" si="2"/>
        <v>0</v>
      </c>
      <c r="I18" s="63" t="s">
        <v>96</v>
      </c>
      <c r="J18" s="63">
        <v>24</v>
      </c>
      <c r="K18" s="32">
        <f t="shared" si="3"/>
        <v>0</v>
      </c>
      <c r="L18" s="32">
        <f>IF(J18=0,"",IF(I18="nd",J18/2,J18))</f>
        <v>12</v>
      </c>
      <c r="M18" s="32">
        <f t="shared" si="4"/>
        <v>0</v>
      </c>
      <c r="N18" s="63" t="s">
        <v>96</v>
      </c>
      <c r="O18" s="63">
        <v>20</v>
      </c>
      <c r="P18" s="32">
        <f t="shared" si="5"/>
        <v>0</v>
      </c>
      <c r="Q18" s="32">
        <f>IF(O18=0,"",IF(N18="nd",O18/2,O18))</f>
        <v>10</v>
      </c>
      <c r="R18" s="32">
        <f t="shared" si="6"/>
        <v>0</v>
      </c>
      <c r="S18" s="63" t="s">
        <v>96</v>
      </c>
      <c r="T18" s="63">
        <v>19</v>
      </c>
      <c r="U18" s="32">
        <f t="shared" si="7"/>
        <v>0</v>
      </c>
      <c r="V18" s="32">
        <f t="shared" si="8"/>
        <v>9.5</v>
      </c>
      <c r="W18" s="32">
        <f t="shared" si="9"/>
        <v>0</v>
      </c>
    </row>
    <row r="19" spans="1:23" ht="12.75">
      <c r="A19" s="27"/>
      <c r="B19" s="27" t="s">
        <v>33</v>
      </c>
      <c r="C19" s="29">
        <v>0.01</v>
      </c>
      <c r="D19" t="s">
        <v>96</v>
      </c>
      <c r="E19" s="63">
        <v>14</v>
      </c>
      <c r="F19" s="32">
        <f t="shared" si="0"/>
        <v>0.14</v>
      </c>
      <c r="G19" s="32">
        <f t="shared" si="1"/>
        <v>7</v>
      </c>
      <c r="H19" s="32">
        <f t="shared" si="2"/>
        <v>0.07</v>
      </c>
      <c r="I19" s="63" t="s">
        <v>96</v>
      </c>
      <c r="J19" s="63">
        <v>18</v>
      </c>
      <c r="K19" s="32">
        <f t="shared" si="3"/>
        <v>0.18</v>
      </c>
      <c r="L19" s="32">
        <f t="shared" si="10"/>
        <v>9</v>
      </c>
      <c r="M19" s="32">
        <f t="shared" si="4"/>
        <v>0.09</v>
      </c>
      <c r="N19" s="63" t="s">
        <v>96</v>
      </c>
      <c r="O19" s="63">
        <v>14</v>
      </c>
      <c r="P19" s="32">
        <f t="shared" si="5"/>
        <v>0.14</v>
      </c>
      <c r="Q19" s="32">
        <f t="shared" si="11"/>
        <v>7</v>
      </c>
      <c r="R19" s="32">
        <f t="shared" si="6"/>
        <v>0.07</v>
      </c>
      <c r="S19" s="63" t="s">
        <v>96</v>
      </c>
      <c r="T19" s="63">
        <v>14</v>
      </c>
      <c r="U19" s="32">
        <f t="shared" si="7"/>
        <v>0.14</v>
      </c>
      <c r="V19" s="32">
        <f t="shared" si="8"/>
        <v>7</v>
      </c>
      <c r="W19" s="32">
        <f t="shared" si="9"/>
        <v>0.07</v>
      </c>
    </row>
    <row r="20" spans="1:23" ht="12.75">
      <c r="A20" s="27"/>
      <c r="B20" s="27" t="s">
        <v>89</v>
      </c>
      <c r="C20" s="29">
        <v>0</v>
      </c>
      <c r="D20" t="s">
        <v>96</v>
      </c>
      <c r="E20" s="63">
        <v>14</v>
      </c>
      <c r="F20" s="32">
        <f t="shared" si="0"/>
        <v>0</v>
      </c>
      <c r="G20" s="32">
        <f>IF(E20=0,"",IF(D20="nd",E20/2,E20))</f>
        <v>7</v>
      </c>
      <c r="H20" s="32">
        <f t="shared" si="2"/>
        <v>0</v>
      </c>
      <c r="I20" s="63" t="s">
        <v>96</v>
      </c>
      <c r="J20" s="63">
        <v>18</v>
      </c>
      <c r="K20" s="32">
        <f t="shared" si="3"/>
        <v>0</v>
      </c>
      <c r="L20" s="32">
        <f>IF(J20=0,"",IF(I20="nd",J20/2,J20))</f>
        <v>9</v>
      </c>
      <c r="M20" s="32">
        <f t="shared" si="4"/>
        <v>0</v>
      </c>
      <c r="N20" s="63" t="s">
        <v>96</v>
      </c>
      <c r="O20" s="63">
        <v>14</v>
      </c>
      <c r="P20" s="32">
        <f t="shared" si="5"/>
        <v>0</v>
      </c>
      <c r="Q20" s="32">
        <f>IF(O20=0,"",IF(N20="nd",O20/2,O20))</f>
        <v>7</v>
      </c>
      <c r="R20" s="32">
        <f t="shared" si="6"/>
        <v>0</v>
      </c>
      <c r="S20" s="63" t="s">
        <v>96</v>
      </c>
      <c r="T20" s="63">
        <v>14</v>
      </c>
      <c r="U20" s="32">
        <f t="shared" si="7"/>
        <v>0</v>
      </c>
      <c r="V20" s="32">
        <f t="shared" si="8"/>
        <v>7</v>
      </c>
      <c r="W20" s="32">
        <f t="shared" si="9"/>
        <v>0</v>
      </c>
    </row>
    <row r="21" spans="1:23" ht="12.75">
      <c r="A21" s="27"/>
      <c r="B21" s="27" t="s">
        <v>34</v>
      </c>
      <c r="C21" s="29">
        <v>0.001</v>
      </c>
      <c r="D21" t="s">
        <v>96</v>
      </c>
      <c r="E21" s="63">
        <v>73</v>
      </c>
      <c r="F21" s="32">
        <f t="shared" si="0"/>
        <v>0.073</v>
      </c>
      <c r="G21" s="32">
        <f t="shared" si="1"/>
        <v>36.5</v>
      </c>
      <c r="H21" s="32">
        <f t="shared" si="2"/>
        <v>0.0365</v>
      </c>
      <c r="I21" s="63" t="s">
        <v>96</v>
      </c>
      <c r="J21" s="63">
        <v>68</v>
      </c>
      <c r="K21" s="32">
        <f t="shared" si="3"/>
        <v>0.068</v>
      </c>
      <c r="L21" s="32">
        <f t="shared" si="10"/>
        <v>34</v>
      </c>
      <c r="M21" s="32">
        <f t="shared" si="4"/>
        <v>0.034</v>
      </c>
      <c r="N21" s="63" t="s">
        <v>96</v>
      </c>
      <c r="O21" s="63">
        <v>81</v>
      </c>
      <c r="P21" s="32">
        <f t="shared" si="5"/>
        <v>0.081</v>
      </c>
      <c r="Q21" s="32">
        <f t="shared" si="11"/>
        <v>40.5</v>
      </c>
      <c r="R21" s="32">
        <f t="shared" si="6"/>
        <v>0.0405</v>
      </c>
      <c r="S21" s="63" t="s">
        <v>96</v>
      </c>
      <c r="T21" s="63">
        <v>52</v>
      </c>
      <c r="U21" s="32">
        <f t="shared" si="7"/>
        <v>0.052000000000000005</v>
      </c>
      <c r="V21" s="32">
        <f t="shared" si="8"/>
        <v>26</v>
      </c>
      <c r="W21" s="32">
        <f t="shared" si="9"/>
        <v>0.026000000000000002</v>
      </c>
    </row>
    <row r="22" spans="1:23" ht="12.75">
      <c r="A22" s="27"/>
      <c r="B22" s="27" t="s">
        <v>35</v>
      </c>
      <c r="C22" s="29">
        <v>0.1</v>
      </c>
      <c r="D22" t="s">
        <v>96</v>
      </c>
      <c r="E22" s="63">
        <v>14</v>
      </c>
      <c r="F22" s="32">
        <f t="shared" si="0"/>
        <v>1.4000000000000001</v>
      </c>
      <c r="G22" s="32">
        <f t="shared" si="1"/>
        <v>7</v>
      </c>
      <c r="H22" s="32">
        <f t="shared" si="2"/>
        <v>0.7000000000000001</v>
      </c>
      <c r="I22" s="63" t="s">
        <v>96</v>
      </c>
      <c r="J22" s="63">
        <v>14</v>
      </c>
      <c r="K22" s="32">
        <f t="shared" si="3"/>
        <v>1.4000000000000001</v>
      </c>
      <c r="L22" s="32">
        <f t="shared" si="10"/>
        <v>7</v>
      </c>
      <c r="M22" s="32">
        <f t="shared" si="4"/>
        <v>0.7000000000000001</v>
      </c>
      <c r="N22" s="63" t="s">
        <v>96</v>
      </c>
      <c r="O22" s="63">
        <v>12</v>
      </c>
      <c r="P22" s="32">
        <f t="shared" si="5"/>
        <v>1.2000000000000002</v>
      </c>
      <c r="Q22" s="32">
        <f t="shared" si="11"/>
        <v>6</v>
      </c>
      <c r="R22" s="32">
        <f t="shared" si="6"/>
        <v>0.6000000000000001</v>
      </c>
      <c r="S22" s="63" t="s">
        <v>96</v>
      </c>
      <c r="T22" s="63">
        <v>10</v>
      </c>
      <c r="U22" s="32">
        <f t="shared" si="7"/>
        <v>1</v>
      </c>
      <c r="V22" s="32">
        <f t="shared" si="8"/>
        <v>5</v>
      </c>
      <c r="W22" s="32">
        <f t="shared" si="9"/>
        <v>0.5</v>
      </c>
    </row>
    <row r="23" spans="1:23" ht="12.75">
      <c r="A23" s="27"/>
      <c r="B23" s="27" t="s">
        <v>90</v>
      </c>
      <c r="C23" s="29">
        <v>0</v>
      </c>
      <c r="D23" t="s">
        <v>96</v>
      </c>
      <c r="E23" s="63">
        <v>14</v>
      </c>
      <c r="F23" s="32">
        <f t="shared" si="0"/>
        <v>0</v>
      </c>
      <c r="G23" s="32">
        <f>IF(E23=0,"",IF(D23="nd",E23/2,E23))</f>
        <v>7</v>
      </c>
      <c r="H23" s="32">
        <f t="shared" si="2"/>
        <v>0</v>
      </c>
      <c r="I23" s="63" t="s">
        <v>96</v>
      </c>
      <c r="J23" s="63">
        <v>14</v>
      </c>
      <c r="K23" s="32">
        <f t="shared" si="3"/>
        <v>0</v>
      </c>
      <c r="L23" s="32">
        <f>IF(J23=0,"",IF(I23="nd",J23/2,J23))</f>
        <v>7</v>
      </c>
      <c r="M23" s="32">
        <f t="shared" si="4"/>
        <v>0</v>
      </c>
      <c r="N23" s="63" t="s">
        <v>96</v>
      </c>
      <c r="O23" s="63">
        <v>12</v>
      </c>
      <c r="P23" s="32">
        <f t="shared" si="5"/>
        <v>0</v>
      </c>
      <c r="Q23" s="32">
        <f>IF(O23=0,"",IF(N23="nd",O23/2,O23))</f>
        <v>6</v>
      </c>
      <c r="R23" s="32">
        <f t="shared" si="6"/>
        <v>0</v>
      </c>
      <c r="S23" s="63" t="s">
        <v>96</v>
      </c>
      <c r="T23" s="63">
        <v>10</v>
      </c>
      <c r="U23" s="32">
        <f t="shared" si="7"/>
        <v>0</v>
      </c>
      <c r="V23" s="32">
        <f t="shared" si="8"/>
        <v>5</v>
      </c>
      <c r="W23" s="32">
        <f t="shared" si="9"/>
        <v>0</v>
      </c>
    </row>
    <row r="24" spans="1:23" ht="12.75">
      <c r="A24" s="27"/>
      <c r="B24" s="27" t="s">
        <v>36</v>
      </c>
      <c r="C24" s="29">
        <v>0.05</v>
      </c>
      <c r="D24" t="s">
        <v>96</v>
      </c>
      <c r="E24" s="63">
        <v>18</v>
      </c>
      <c r="F24" s="32">
        <f t="shared" si="0"/>
        <v>0.9</v>
      </c>
      <c r="G24" s="32">
        <f t="shared" si="1"/>
        <v>9</v>
      </c>
      <c r="H24" s="32">
        <f t="shared" si="2"/>
        <v>0.45</v>
      </c>
      <c r="I24" s="63" t="s">
        <v>96</v>
      </c>
      <c r="J24" s="63">
        <v>25</v>
      </c>
      <c r="K24" s="32">
        <f t="shared" si="3"/>
        <v>1.25</v>
      </c>
      <c r="L24" s="32">
        <f t="shared" si="10"/>
        <v>12.5</v>
      </c>
      <c r="M24" s="32">
        <f t="shared" si="4"/>
        <v>0.625</v>
      </c>
      <c r="N24" s="63" t="s">
        <v>96</v>
      </c>
      <c r="O24" s="63">
        <v>16</v>
      </c>
      <c r="P24" s="32">
        <f t="shared" si="5"/>
        <v>0.8</v>
      </c>
      <c r="Q24" s="32">
        <f t="shared" si="11"/>
        <v>8</v>
      </c>
      <c r="R24" s="32">
        <f t="shared" si="6"/>
        <v>0.4</v>
      </c>
      <c r="S24" s="63" t="s">
        <v>96</v>
      </c>
      <c r="T24" s="63">
        <v>15</v>
      </c>
      <c r="U24" s="32">
        <f t="shared" si="7"/>
        <v>0.75</v>
      </c>
      <c r="V24" s="32">
        <f t="shared" si="8"/>
        <v>7.5</v>
      </c>
      <c r="W24" s="32">
        <f t="shared" si="9"/>
        <v>0.375</v>
      </c>
    </row>
    <row r="25" spans="1:23" ht="12.75">
      <c r="A25" s="27"/>
      <c r="B25" s="27" t="s">
        <v>37</v>
      </c>
      <c r="C25" s="29">
        <v>0.5</v>
      </c>
      <c r="D25" t="s">
        <v>96</v>
      </c>
      <c r="E25" s="63">
        <v>16</v>
      </c>
      <c r="F25" s="32">
        <f t="shared" si="0"/>
        <v>8</v>
      </c>
      <c r="G25" s="32">
        <f t="shared" si="1"/>
        <v>8</v>
      </c>
      <c r="H25" s="32">
        <f t="shared" si="2"/>
        <v>4</v>
      </c>
      <c r="I25" s="63" t="s">
        <v>96</v>
      </c>
      <c r="J25" s="63">
        <v>22</v>
      </c>
      <c r="K25" s="32">
        <f t="shared" si="3"/>
        <v>11</v>
      </c>
      <c r="L25" s="32">
        <f t="shared" si="10"/>
        <v>11</v>
      </c>
      <c r="M25" s="32">
        <f t="shared" si="4"/>
        <v>5.5</v>
      </c>
      <c r="N25" s="63" t="s">
        <v>96</v>
      </c>
      <c r="O25" s="63">
        <v>14</v>
      </c>
      <c r="P25" s="32">
        <f t="shared" si="5"/>
        <v>7</v>
      </c>
      <c r="Q25" s="32">
        <f t="shared" si="11"/>
        <v>7</v>
      </c>
      <c r="R25" s="32">
        <f t="shared" si="6"/>
        <v>3.5</v>
      </c>
      <c r="S25" s="63" t="s">
        <v>96</v>
      </c>
      <c r="T25" s="63">
        <v>14</v>
      </c>
      <c r="U25" s="32">
        <f t="shared" si="7"/>
        <v>7</v>
      </c>
      <c r="V25" s="32">
        <f t="shared" si="8"/>
        <v>7</v>
      </c>
      <c r="W25" s="32">
        <f t="shared" si="9"/>
        <v>3.5</v>
      </c>
    </row>
    <row r="26" spans="1:23" ht="12.75">
      <c r="A26" s="27"/>
      <c r="B26" s="27" t="s">
        <v>91</v>
      </c>
      <c r="C26" s="29">
        <v>0</v>
      </c>
      <c r="D26" t="s">
        <v>96</v>
      </c>
      <c r="E26" s="63">
        <v>18</v>
      </c>
      <c r="F26" s="32">
        <f t="shared" si="0"/>
        <v>0</v>
      </c>
      <c r="G26" s="32">
        <f>IF(E26=0,"",IF(D26="nd",E26/2,E26))</f>
        <v>9</v>
      </c>
      <c r="H26" s="32">
        <f t="shared" si="2"/>
        <v>0</v>
      </c>
      <c r="I26" s="63" t="s">
        <v>96</v>
      </c>
      <c r="J26" s="63">
        <v>25</v>
      </c>
      <c r="K26" s="32">
        <f t="shared" si="3"/>
        <v>0</v>
      </c>
      <c r="L26" s="32">
        <f>IF(J26=0,"",IF(I26="nd",J26/2,J26))</f>
        <v>12.5</v>
      </c>
      <c r="M26" s="32">
        <f t="shared" si="4"/>
        <v>0</v>
      </c>
      <c r="N26" s="63" t="s">
        <v>96</v>
      </c>
      <c r="O26" s="63">
        <v>16</v>
      </c>
      <c r="P26" s="32">
        <f t="shared" si="5"/>
        <v>0</v>
      </c>
      <c r="Q26" s="32">
        <f>IF(O26=0,"",IF(N26="nd",O26/2,O26))</f>
        <v>8</v>
      </c>
      <c r="R26" s="32">
        <f t="shared" si="6"/>
        <v>0</v>
      </c>
      <c r="S26" s="63" t="s">
        <v>96</v>
      </c>
      <c r="T26" s="63">
        <v>15</v>
      </c>
      <c r="U26" s="32">
        <f t="shared" si="7"/>
        <v>0</v>
      </c>
      <c r="V26" s="32">
        <f t="shared" si="8"/>
        <v>7.5</v>
      </c>
      <c r="W26" s="32">
        <f t="shared" si="9"/>
        <v>0</v>
      </c>
    </row>
    <row r="27" spans="1:23" ht="12.75">
      <c r="A27" s="27"/>
      <c r="B27" s="27" t="s">
        <v>38</v>
      </c>
      <c r="C27" s="29">
        <v>0.1</v>
      </c>
      <c r="D27" t="s">
        <v>96</v>
      </c>
      <c r="E27" s="63">
        <v>4</v>
      </c>
      <c r="F27" s="32">
        <f t="shared" si="0"/>
        <v>0.4</v>
      </c>
      <c r="G27" s="32">
        <f t="shared" si="1"/>
        <v>2</v>
      </c>
      <c r="H27" s="32">
        <f t="shared" si="2"/>
        <v>0.2</v>
      </c>
      <c r="I27" s="63" t="s">
        <v>96</v>
      </c>
      <c r="J27" s="63">
        <v>8.7</v>
      </c>
      <c r="K27" s="32">
        <f t="shared" si="3"/>
        <v>0.87</v>
      </c>
      <c r="L27" s="32">
        <f t="shared" si="10"/>
        <v>4.35</v>
      </c>
      <c r="M27" s="32">
        <f t="shared" si="4"/>
        <v>0.435</v>
      </c>
      <c r="N27" s="63" t="s">
        <v>96</v>
      </c>
      <c r="O27" s="63">
        <v>7.7</v>
      </c>
      <c r="P27" s="32">
        <f t="shared" si="5"/>
        <v>0.77</v>
      </c>
      <c r="Q27" s="32">
        <f t="shared" si="11"/>
        <v>3.85</v>
      </c>
      <c r="R27" s="32">
        <f t="shared" si="6"/>
        <v>0.385</v>
      </c>
      <c r="S27" s="63" t="s">
        <v>96</v>
      </c>
      <c r="T27" s="63">
        <v>6.8</v>
      </c>
      <c r="U27" s="32">
        <f t="shared" si="7"/>
        <v>0.68</v>
      </c>
      <c r="V27" s="32">
        <f t="shared" si="8"/>
        <v>3.4</v>
      </c>
      <c r="W27" s="32">
        <f t="shared" si="9"/>
        <v>0.34</v>
      </c>
    </row>
    <row r="28" spans="1:23" ht="12.75">
      <c r="A28" s="27"/>
      <c r="B28" s="27" t="s">
        <v>39</v>
      </c>
      <c r="C28" s="29">
        <v>0.1</v>
      </c>
      <c r="D28" t="s">
        <v>96</v>
      </c>
      <c r="E28" s="63">
        <v>4.2</v>
      </c>
      <c r="F28" s="32">
        <f t="shared" si="0"/>
        <v>0.42000000000000004</v>
      </c>
      <c r="G28" s="32">
        <f t="shared" si="1"/>
        <v>2.1</v>
      </c>
      <c r="H28" s="32">
        <f t="shared" si="2"/>
        <v>0.21000000000000002</v>
      </c>
      <c r="I28" s="63" t="s">
        <v>96</v>
      </c>
      <c r="J28" s="63">
        <v>9.6</v>
      </c>
      <c r="K28" s="32">
        <f t="shared" si="3"/>
        <v>0.96</v>
      </c>
      <c r="L28" s="32">
        <f t="shared" si="10"/>
        <v>4.8</v>
      </c>
      <c r="M28" s="32">
        <f t="shared" si="4"/>
        <v>0.48</v>
      </c>
      <c r="N28" s="63" t="s">
        <v>96</v>
      </c>
      <c r="O28" s="63">
        <v>8.5</v>
      </c>
      <c r="P28" s="32">
        <f t="shared" si="5"/>
        <v>0.8500000000000001</v>
      </c>
      <c r="Q28" s="32">
        <f t="shared" si="11"/>
        <v>4.25</v>
      </c>
      <c r="R28" s="32">
        <f t="shared" si="6"/>
        <v>0.42500000000000004</v>
      </c>
      <c r="S28" s="63" t="s">
        <v>96</v>
      </c>
      <c r="T28" s="63">
        <v>7.4</v>
      </c>
      <c r="U28" s="32">
        <f t="shared" si="7"/>
        <v>0.7400000000000001</v>
      </c>
      <c r="V28" s="32">
        <f t="shared" si="8"/>
        <v>3.7</v>
      </c>
      <c r="W28" s="32">
        <f t="shared" si="9"/>
        <v>0.37000000000000005</v>
      </c>
    </row>
    <row r="29" spans="1:23" ht="12.75">
      <c r="A29" s="27"/>
      <c r="B29" s="27" t="s">
        <v>40</v>
      </c>
      <c r="C29" s="29">
        <v>0.1</v>
      </c>
      <c r="D29" t="s">
        <v>96</v>
      </c>
      <c r="E29" s="63">
        <v>4.7</v>
      </c>
      <c r="F29" s="32">
        <f t="shared" si="0"/>
        <v>0.47000000000000003</v>
      </c>
      <c r="G29" s="32">
        <f t="shared" si="1"/>
        <v>2.35</v>
      </c>
      <c r="H29" s="32">
        <f t="shared" si="2"/>
        <v>0.23500000000000001</v>
      </c>
      <c r="I29" s="63" t="s">
        <v>96</v>
      </c>
      <c r="J29" s="63">
        <v>12</v>
      </c>
      <c r="K29" s="32">
        <f t="shared" si="3"/>
        <v>1.2000000000000002</v>
      </c>
      <c r="L29" s="32">
        <f t="shared" si="10"/>
        <v>6</v>
      </c>
      <c r="M29" s="32">
        <f t="shared" si="4"/>
        <v>0.6000000000000001</v>
      </c>
      <c r="N29" s="63" t="s">
        <v>96</v>
      </c>
      <c r="O29" s="63">
        <v>10</v>
      </c>
      <c r="P29" s="32">
        <f t="shared" si="5"/>
        <v>1</v>
      </c>
      <c r="Q29" s="32">
        <f t="shared" si="11"/>
        <v>5</v>
      </c>
      <c r="R29" s="32">
        <f t="shared" si="6"/>
        <v>0.5</v>
      </c>
      <c r="S29" s="63" t="s">
        <v>96</v>
      </c>
      <c r="T29" s="63">
        <v>8.9</v>
      </c>
      <c r="U29" s="32">
        <f t="shared" si="7"/>
        <v>0.8900000000000001</v>
      </c>
      <c r="V29" s="32">
        <f t="shared" si="8"/>
        <v>4.45</v>
      </c>
      <c r="W29" s="32">
        <f t="shared" si="9"/>
        <v>0.44500000000000006</v>
      </c>
    </row>
    <row r="30" spans="1:23" ht="12.75">
      <c r="A30" s="27"/>
      <c r="B30" s="27" t="s">
        <v>41</v>
      </c>
      <c r="C30" s="29">
        <v>0.1</v>
      </c>
      <c r="D30" t="s">
        <v>96</v>
      </c>
      <c r="E30" s="63">
        <v>5.8</v>
      </c>
      <c r="F30" s="32">
        <f t="shared" si="0"/>
        <v>0.58</v>
      </c>
      <c r="G30" s="32">
        <f t="shared" si="1"/>
        <v>2.9</v>
      </c>
      <c r="H30" s="32">
        <f t="shared" si="2"/>
        <v>0.29</v>
      </c>
      <c r="I30" s="63" t="s">
        <v>96</v>
      </c>
      <c r="J30" s="63">
        <v>14</v>
      </c>
      <c r="K30" s="32">
        <f t="shared" si="3"/>
        <v>1.4000000000000001</v>
      </c>
      <c r="L30" s="32">
        <f t="shared" si="10"/>
        <v>7</v>
      </c>
      <c r="M30" s="32">
        <f t="shared" si="4"/>
        <v>0.7000000000000001</v>
      </c>
      <c r="N30" s="63" t="s">
        <v>96</v>
      </c>
      <c r="O30" s="63">
        <v>13</v>
      </c>
      <c r="P30" s="32">
        <f t="shared" si="5"/>
        <v>1.3</v>
      </c>
      <c r="Q30" s="32">
        <f t="shared" si="11"/>
        <v>6.5</v>
      </c>
      <c r="R30" s="32">
        <f t="shared" si="6"/>
        <v>0.65</v>
      </c>
      <c r="S30" s="63" t="s">
        <v>96</v>
      </c>
      <c r="T30" s="63">
        <v>11</v>
      </c>
      <c r="U30" s="32">
        <f t="shared" si="7"/>
        <v>1.1</v>
      </c>
      <c r="V30" s="32">
        <f t="shared" si="8"/>
        <v>5.5</v>
      </c>
      <c r="W30" s="32">
        <f t="shared" si="9"/>
        <v>0.55</v>
      </c>
    </row>
    <row r="31" spans="1:23" ht="12.75">
      <c r="A31" s="27"/>
      <c r="B31" s="27" t="s">
        <v>92</v>
      </c>
      <c r="C31" s="29">
        <v>0</v>
      </c>
      <c r="D31" t="s">
        <v>96</v>
      </c>
      <c r="E31" s="63">
        <v>5.8</v>
      </c>
      <c r="F31" s="32">
        <f t="shared" si="0"/>
        <v>0</v>
      </c>
      <c r="G31" s="32">
        <f>IF(E31=0,"",IF(D31="nd",E31/2,E31))</f>
        <v>2.9</v>
      </c>
      <c r="H31" s="32">
        <f t="shared" si="2"/>
        <v>0</v>
      </c>
      <c r="I31" s="63" t="s">
        <v>96</v>
      </c>
      <c r="J31" s="63">
        <v>14</v>
      </c>
      <c r="K31" s="32">
        <f t="shared" si="3"/>
        <v>0</v>
      </c>
      <c r="L31" s="32">
        <f>IF(J31=0,"",IF(I31="nd",J31/2,J31))</f>
        <v>7</v>
      </c>
      <c r="M31" s="32">
        <f t="shared" si="4"/>
        <v>0</v>
      </c>
      <c r="N31" s="63" t="s">
        <v>96</v>
      </c>
      <c r="O31" s="63">
        <v>13</v>
      </c>
      <c r="P31" s="32">
        <f t="shared" si="5"/>
        <v>0</v>
      </c>
      <c r="Q31" s="32">
        <f>IF(O31=0,"",IF(N31="nd",O31/2,O31))</f>
        <v>6.5</v>
      </c>
      <c r="R31" s="32">
        <f t="shared" si="6"/>
        <v>0</v>
      </c>
      <c r="S31" s="63" t="s">
        <v>96</v>
      </c>
      <c r="T31" s="63">
        <v>11</v>
      </c>
      <c r="U31" s="32">
        <f t="shared" si="7"/>
        <v>0</v>
      </c>
      <c r="V31" s="32">
        <f t="shared" si="8"/>
        <v>5.5</v>
      </c>
      <c r="W31" s="32">
        <f t="shared" si="9"/>
        <v>0</v>
      </c>
    </row>
    <row r="32" spans="1:23" ht="12.75">
      <c r="A32" s="27"/>
      <c r="B32" s="27" t="s">
        <v>42</v>
      </c>
      <c r="C32" s="29">
        <v>0.01</v>
      </c>
      <c r="D32" t="s">
        <v>96</v>
      </c>
      <c r="E32" s="63">
        <v>7.3</v>
      </c>
      <c r="F32" s="32">
        <f t="shared" si="0"/>
        <v>0.073</v>
      </c>
      <c r="G32" s="32">
        <f t="shared" si="1"/>
        <v>3.65</v>
      </c>
      <c r="H32" s="32">
        <f t="shared" si="2"/>
        <v>0.0365</v>
      </c>
      <c r="I32" s="63" t="s">
        <v>96</v>
      </c>
      <c r="J32" s="63">
        <v>9.4</v>
      </c>
      <c r="K32" s="32">
        <f t="shared" si="3"/>
        <v>0.094</v>
      </c>
      <c r="L32" s="32">
        <f t="shared" si="10"/>
        <v>4.7</v>
      </c>
      <c r="M32" s="32">
        <f t="shared" si="4"/>
        <v>0.047</v>
      </c>
      <c r="N32" s="63" t="s">
        <v>96</v>
      </c>
      <c r="O32" s="63">
        <v>11</v>
      </c>
      <c r="P32" s="32">
        <f t="shared" si="5"/>
        <v>0.11</v>
      </c>
      <c r="Q32" s="32">
        <f t="shared" si="11"/>
        <v>5.5</v>
      </c>
      <c r="R32" s="32">
        <f t="shared" si="6"/>
        <v>0.055</v>
      </c>
      <c r="S32" s="63" t="s">
        <v>96</v>
      </c>
      <c r="T32" s="63">
        <v>7</v>
      </c>
      <c r="U32" s="32">
        <f t="shared" si="7"/>
        <v>0.07</v>
      </c>
      <c r="V32" s="32">
        <f t="shared" si="8"/>
        <v>3.5</v>
      </c>
      <c r="W32" s="32">
        <f t="shared" si="9"/>
        <v>0.035</v>
      </c>
    </row>
    <row r="33" spans="1:23" ht="12.75">
      <c r="A33" s="27"/>
      <c r="B33" s="27" t="s">
        <v>43</v>
      </c>
      <c r="C33" s="29">
        <v>0.01</v>
      </c>
      <c r="D33" t="s">
        <v>96</v>
      </c>
      <c r="E33" s="63">
        <v>8.7</v>
      </c>
      <c r="F33" s="32">
        <f t="shared" si="0"/>
        <v>0.087</v>
      </c>
      <c r="G33" s="32">
        <f t="shared" si="1"/>
        <v>4.35</v>
      </c>
      <c r="H33" s="32">
        <f t="shared" si="2"/>
        <v>0.0435</v>
      </c>
      <c r="I33" s="63" t="s">
        <v>96</v>
      </c>
      <c r="J33" s="63">
        <v>12</v>
      </c>
      <c r="K33" s="32">
        <f t="shared" si="3"/>
        <v>0.12</v>
      </c>
      <c r="L33" s="32">
        <f t="shared" si="10"/>
        <v>6</v>
      </c>
      <c r="M33" s="32">
        <f t="shared" si="4"/>
        <v>0.06</v>
      </c>
      <c r="N33" s="63" t="s">
        <v>96</v>
      </c>
      <c r="O33" s="63">
        <v>13</v>
      </c>
      <c r="P33" s="32">
        <f t="shared" si="5"/>
        <v>0.13</v>
      </c>
      <c r="Q33" s="32">
        <f t="shared" si="11"/>
        <v>6.5</v>
      </c>
      <c r="R33" s="32">
        <f t="shared" si="6"/>
        <v>0.065</v>
      </c>
      <c r="S33" s="63" t="s">
        <v>96</v>
      </c>
      <c r="T33" s="63">
        <v>8.4</v>
      </c>
      <c r="U33" s="32">
        <f t="shared" si="7"/>
        <v>0.084</v>
      </c>
      <c r="V33" s="32">
        <f t="shared" si="8"/>
        <v>4.2</v>
      </c>
      <c r="W33" s="32">
        <f t="shared" si="9"/>
        <v>0.042</v>
      </c>
    </row>
    <row r="34" spans="1:23" ht="12.75">
      <c r="A34" s="27"/>
      <c r="B34" s="27" t="s">
        <v>93</v>
      </c>
      <c r="C34" s="29">
        <v>0</v>
      </c>
      <c r="D34" t="s">
        <v>96</v>
      </c>
      <c r="E34" s="63">
        <v>8.7</v>
      </c>
      <c r="F34" s="32">
        <f t="shared" si="0"/>
        <v>0</v>
      </c>
      <c r="G34" s="32">
        <f>IF(E34=0,"",IF(D34="nd",E34/2,E34))</f>
        <v>4.35</v>
      </c>
      <c r="H34" s="32">
        <f t="shared" si="2"/>
        <v>0</v>
      </c>
      <c r="I34" s="63" t="s">
        <v>96</v>
      </c>
      <c r="J34" s="63">
        <v>12</v>
      </c>
      <c r="K34" s="32">
        <f t="shared" si="3"/>
        <v>0</v>
      </c>
      <c r="L34" s="32">
        <f>IF(J34=0,"",IF(I34="nd",J34/2,J34))</f>
        <v>6</v>
      </c>
      <c r="M34" s="32">
        <f t="shared" si="4"/>
        <v>0</v>
      </c>
      <c r="N34" s="63" t="s">
        <v>96</v>
      </c>
      <c r="O34" s="63">
        <v>13</v>
      </c>
      <c r="P34" s="32">
        <f t="shared" si="5"/>
        <v>0</v>
      </c>
      <c r="Q34" s="32">
        <f>IF(O34=0,"",IF(N34="nd",O34/2,O34))</f>
        <v>6.5</v>
      </c>
      <c r="R34" s="32">
        <f t="shared" si="6"/>
        <v>0</v>
      </c>
      <c r="S34" s="63" t="s">
        <v>96</v>
      </c>
      <c r="T34" s="63">
        <v>8.4</v>
      </c>
      <c r="U34" s="32">
        <f t="shared" si="7"/>
        <v>0</v>
      </c>
      <c r="V34" s="32">
        <f t="shared" si="8"/>
        <v>4.2</v>
      </c>
      <c r="W34" s="32">
        <f t="shared" si="9"/>
        <v>0</v>
      </c>
    </row>
    <row r="35" spans="1:23" ht="12.75">
      <c r="A35" s="27"/>
      <c r="B35" s="27" t="s">
        <v>44</v>
      </c>
      <c r="C35" s="29">
        <v>0.001</v>
      </c>
      <c r="D35" t="s">
        <v>96</v>
      </c>
      <c r="E35" s="63">
        <v>19</v>
      </c>
      <c r="F35" s="32">
        <f t="shared" si="0"/>
        <v>0.019</v>
      </c>
      <c r="G35" s="32">
        <f t="shared" si="1"/>
        <v>9.5</v>
      </c>
      <c r="H35" s="32">
        <f t="shared" si="2"/>
        <v>0.0095</v>
      </c>
      <c r="I35" s="63" t="s">
        <v>96</v>
      </c>
      <c r="J35" s="63">
        <v>34</v>
      </c>
      <c r="K35" s="32">
        <f t="shared" si="3"/>
        <v>0.034</v>
      </c>
      <c r="L35" s="32">
        <f t="shared" si="10"/>
        <v>17</v>
      </c>
      <c r="M35" s="32">
        <f t="shared" si="4"/>
        <v>0.017</v>
      </c>
      <c r="N35" s="63" t="s">
        <v>96</v>
      </c>
      <c r="O35" s="63">
        <v>26</v>
      </c>
      <c r="P35" s="32">
        <f t="shared" si="5"/>
        <v>0.026000000000000002</v>
      </c>
      <c r="Q35" s="32">
        <f t="shared" si="11"/>
        <v>13</v>
      </c>
      <c r="R35" s="32">
        <f t="shared" si="6"/>
        <v>0.013000000000000001</v>
      </c>
      <c r="S35" s="63" t="s">
        <v>96</v>
      </c>
      <c r="T35" s="63">
        <v>16</v>
      </c>
      <c r="U35" s="32">
        <f t="shared" si="7"/>
        <v>0.016</v>
      </c>
      <c r="V35" s="32">
        <f t="shared" si="8"/>
        <v>8</v>
      </c>
      <c r="W35" s="32">
        <f t="shared" si="9"/>
        <v>0.008</v>
      </c>
    </row>
    <row r="36" spans="1:23" ht="12.75">
      <c r="A36" s="27"/>
      <c r="B36" s="27"/>
      <c r="C36" s="27"/>
      <c r="D36" s="27"/>
      <c r="E36" s="32"/>
      <c r="F36" s="35"/>
      <c r="G36" s="32"/>
      <c r="H36" s="35"/>
      <c r="I36" s="52"/>
      <c r="J36" s="12"/>
      <c r="K36" s="30"/>
      <c r="L36" s="30"/>
      <c r="M36" s="30"/>
      <c r="N36" s="32"/>
      <c r="O36" s="12"/>
      <c r="P36" s="34"/>
      <c r="Q36" s="32"/>
      <c r="R36" s="34"/>
      <c r="S36" s="32"/>
      <c r="T36" s="12"/>
      <c r="U36" s="34"/>
      <c r="V36" s="32"/>
      <c r="W36" s="34"/>
    </row>
    <row r="37" spans="1:23" ht="12.75">
      <c r="A37" s="27"/>
      <c r="B37" s="27" t="s">
        <v>45</v>
      </c>
      <c r="C37" s="27"/>
      <c r="D37" s="27"/>
      <c r="E37" s="32"/>
      <c r="F37">
        <v>177.916</v>
      </c>
      <c r="G37">
        <v>177.916</v>
      </c>
      <c r="H37">
        <v>177.916</v>
      </c>
      <c r="I37"/>
      <c r="K37">
        <v>167.508</v>
      </c>
      <c r="L37">
        <v>167.508</v>
      </c>
      <c r="M37">
        <v>167.508</v>
      </c>
      <c r="P37">
        <v>160.467</v>
      </c>
      <c r="Q37">
        <v>160.467</v>
      </c>
      <c r="R37">
        <v>160.467</v>
      </c>
      <c r="S37" s="32"/>
      <c r="U37">
        <v>164.999</v>
      </c>
      <c r="V37">
        <v>164.999</v>
      </c>
      <c r="W37">
        <v>164.999</v>
      </c>
    </row>
    <row r="38" spans="1:23" ht="12.75">
      <c r="A38" s="27"/>
      <c r="B38" s="27" t="s">
        <v>57</v>
      </c>
      <c r="C38" s="27"/>
      <c r="D38" s="27"/>
      <c r="E38" s="32"/>
      <c r="F38">
        <v>9</v>
      </c>
      <c r="G38">
        <v>9</v>
      </c>
      <c r="H38">
        <v>9</v>
      </c>
      <c r="I38"/>
      <c r="K38">
        <v>9.1</v>
      </c>
      <c r="L38">
        <v>9.1</v>
      </c>
      <c r="M38">
        <v>9.1</v>
      </c>
      <c r="P38">
        <v>8.9</v>
      </c>
      <c r="Q38">
        <v>8.9</v>
      </c>
      <c r="R38">
        <v>8.9</v>
      </c>
      <c r="S38" s="32"/>
      <c r="U38">
        <v>8.9</v>
      </c>
      <c r="V38">
        <v>8.9</v>
      </c>
      <c r="W38">
        <v>8.9</v>
      </c>
    </row>
    <row r="39" spans="1:23" ht="12.75">
      <c r="A39" s="27"/>
      <c r="B39" s="27"/>
      <c r="C39" s="27"/>
      <c r="D39" s="27"/>
      <c r="E39" s="32"/>
      <c r="F39" s="12"/>
      <c r="G39" s="32"/>
      <c r="H39" s="12"/>
      <c r="I39" s="46"/>
      <c r="J39" s="32"/>
      <c r="K39" s="33"/>
      <c r="L39" s="30"/>
      <c r="M39" s="33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ht="12.75">
      <c r="A40" s="27"/>
      <c r="B40" s="27" t="s">
        <v>94</v>
      </c>
      <c r="C40" s="35"/>
      <c r="D40" s="35"/>
      <c r="E40" s="30"/>
      <c r="F40" s="31">
        <f>SUM(F11:F35)/1000</f>
        <v>0.041061999999999994</v>
      </c>
      <c r="G40" s="30">
        <f>SUM(G35,G34,G31,G26,G23,G21,G20,G18,G14,G12)/1000</f>
        <v>0.10125</v>
      </c>
      <c r="H40" s="31">
        <f>SUM(H11:H35)/1000</f>
        <v>0.020530999999999997</v>
      </c>
      <c r="I40" s="37"/>
      <c r="J40" s="30"/>
      <c r="K40" s="31">
        <f>SUM(K11:K35)/1000</f>
        <v>0.054375999999999994</v>
      </c>
      <c r="L40" s="30">
        <f>SUM(L35,L34,L31,L26,L23,L21,L20,L18,L14,L12)/1000</f>
        <v>0.1255</v>
      </c>
      <c r="M40" s="31">
        <f>SUM(M11:M35)/1000</f>
        <v>0.027187999999999997</v>
      </c>
      <c r="N40" s="35"/>
      <c r="O40" s="32"/>
      <c r="P40" s="32">
        <f>SUM(P11:P35)/1000</f>
        <v>0.041607000000000005</v>
      </c>
      <c r="Q40" s="30">
        <f>SUM(Q35,Q34,Q31,Q26,Q23,Q21,Q20,Q18,Q14,Q12)/1000</f>
        <v>0.114</v>
      </c>
      <c r="R40" s="32">
        <f>SUM(R11:R35)/1000</f>
        <v>0.020803500000000003</v>
      </c>
      <c r="S40" s="35"/>
      <c r="T40" s="32"/>
      <c r="U40" s="32">
        <f>SUM(U11:U35)/1000</f>
        <v>0.034222</v>
      </c>
      <c r="V40" s="30">
        <f>SUM(V35,V34,V31,V26,V23,V21,V20,V18,V14,V12)/1000</f>
        <v>0.08435000000000001</v>
      </c>
      <c r="W40" s="32">
        <f>SUM(W11:W35)/1000</f>
        <v>0.017111</v>
      </c>
    </row>
    <row r="41" spans="1:23" ht="12.75">
      <c r="A41" s="27"/>
      <c r="B41" s="27" t="s">
        <v>46</v>
      </c>
      <c r="C41" s="35"/>
      <c r="D41" s="30">
        <f>(F41-H41)*2/F41*100</f>
        <v>100</v>
      </c>
      <c r="E41" s="32"/>
      <c r="F41" s="31">
        <f>(F40/F37/0.0283*(21-7)/(21-F38))</f>
        <v>0.009514488527572638</v>
      </c>
      <c r="G41" s="31">
        <f>(G40/G37/0.0283*(21-7)/(21-G38))</f>
        <v>0.02346066834096561</v>
      </c>
      <c r="H41" s="31">
        <f>(H40/H37/0.0283*(21-7)/(21-H38))</f>
        <v>0.004757244263786319</v>
      </c>
      <c r="I41" s="30">
        <f>(K41-M41)*2/K41*100</f>
        <v>100</v>
      </c>
      <c r="J41" s="32"/>
      <c r="K41" s="32">
        <f>K40/K37/0.0283*(21-7)/(21-K38)</f>
        <v>0.013494796579070057</v>
      </c>
      <c r="L41" s="32">
        <f>(L40/L37/0.0283*(21-7)/(21-L38))</f>
        <v>0.03114603815420944</v>
      </c>
      <c r="M41" s="32">
        <f>M40/M37/0.0283*(21-7)/(21-M38)</f>
        <v>0.006747398289535029</v>
      </c>
      <c r="N41" s="30">
        <f>(P41-R41)*2/P41*100</f>
        <v>100</v>
      </c>
      <c r="O41" s="32"/>
      <c r="P41" s="32">
        <f>P40/P37/0.0283*(21-7)/(21-P38)</f>
        <v>0.010600757488398846</v>
      </c>
      <c r="Q41" s="32">
        <f>(Q40/Q37/0.0283*(21-7)/(21-Q38))</f>
        <v>0.029045265308180555</v>
      </c>
      <c r="R41" s="32">
        <f>R40/R37/0.0283*(21-7)/(21-R38)</f>
        <v>0.005300378744199423</v>
      </c>
      <c r="S41" s="30">
        <f>(U41-W41)*2/U41*100</f>
        <v>100</v>
      </c>
      <c r="T41" s="32"/>
      <c r="U41" s="31">
        <f>U40/U37/0.0283*(21-7)/(21-U38)</f>
        <v>0.008479696424616698</v>
      </c>
      <c r="V41" s="32">
        <f>(V40/V37/0.0283*(21-7)/(21-V38))</f>
        <v>0.020900660201520028</v>
      </c>
      <c r="W41" s="31">
        <f>W40/W37/0.0283*(21-7)/(21-W38)</f>
        <v>0.004239848212308349</v>
      </c>
    </row>
    <row r="42" spans="1:23" ht="12.75">
      <c r="A42" s="27"/>
      <c r="B42" s="27"/>
      <c r="C42" s="27"/>
      <c r="D42" s="27"/>
      <c r="E42" s="31"/>
      <c r="F42" s="35"/>
      <c r="G42" s="31"/>
      <c r="H42" s="35"/>
      <c r="I42" s="53"/>
      <c r="J42" s="31"/>
      <c r="K42" s="31"/>
      <c r="L42" s="31"/>
      <c r="M42" s="31"/>
      <c r="N42" s="31"/>
      <c r="O42" s="31"/>
      <c r="P42" s="34"/>
      <c r="Q42" s="31"/>
      <c r="R42" s="34"/>
      <c r="S42" s="31"/>
      <c r="T42" s="31"/>
      <c r="U42" s="34"/>
      <c r="V42" s="31"/>
      <c r="W42" s="34"/>
    </row>
    <row r="43" spans="1:23" ht="12.75">
      <c r="A43" s="32"/>
      <c r="B43" s="27" t="s">
        <v>58</v>
      </c>
      <c r="C43" s="35">
        <f>AVERAGE(H41,M41,R41,W41)</f>
        <v>0.00526121737745728</v>
      </c>
      <c r="D43" s="32"/>
      <c r="E43" s="32"/>
      <c r="F43" s="35"/>
      <c r="G43" s="32"/>
      <c r="H43" s="35"/>
      <c r="I43" s="52"/>
      <c r="J43" s="32"/>
      <c r="K43" s="32"/>
      <c r="L43" s="32"/>
      <c r="M43" s="32"/>
      <c r="N43" s="32"/>
      <c r="O43" s="32"/>
      <c r="P43" s="34"/>
      <c r="Q43" s="32"/>
      <c r="R43" s="34"/>
      <c r="S43" s="32"/>
      <c r="T43" s="32"/>
      <c r="U43" s="34"/>
      <c r="V43" s="32"/>
      <c r="W43" s="34"/>
    </row>
    <row r="44" spans="1:23" ht="12.75">
      <c r="A44" s="27"/>
      <c r="B44" s="27" t="s">
        <v>59</v>
      </c>
      <c r="C44" s="35">
        <f>AVERAGE(G41,L41,Q41,V41)</f>
        <v>0.02613815800121891</v>
      </c>
      <c r="D44" s="27"/>
      <c r="E44" s="34"/>
      <c r="F44" s="35"/>
      <c r="G44" s="34"/>
      <c r="H44" s="35"/>
      <c r="I44" s="38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ht="12.75">
      <c r="I45"/>
    </row>
    <row r="46" ht="12.75">
      <c r="I46"/>
    </row>
    <row r="47" ht="12.75">
      <c r="I47"/>
    </row>
    <row r="48" ht="12.75">
      <c r="I48"/>
    </row>
    <row r="49" ht="12.75">
      <c r="I49"/>
    </row>
    <row r="50" ht="12.75">
      <c r="I50"/>
    </row>
    <row r="51" ht="12.75">
      <c r="I51"/>
    </row>
    <row r="52" ht="12.75">
      <c r="I52"/>
    </row>
    <row r="53" ht="12.75">
      <c r="I53"/>
    </row>
    <row r="54" ht="12.75">
      <c r="I54"/>
    </row>
    <row r="55" ht="12.75">
      <c r="I55"/>
    </row>
    <row r="56" ht="12.75">
      <c r="I56"/>
    </row>
    <row r="57" ht="12.75">
      <c r="I57"/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9"/>
  <sheetViews>
    <sheetView workbookViewId="0" topLeftCell="C1">
      <selection activeCell="B31" sqref="B31"/>
    </sheetView>
  </sheetViews>
  <sheetFormatPr defaultColWidth="9.140625" defaultRowHeight="12.75"/>
  <cols>
    <col min="1" max="1" width="7.140625" style="0" hidden="1" customWidth="1"/>
    <col min="2" max="2" width="0.13671875" style="0" hidden="1" customWidth="1"/>
    <col min="3" max="3" width="13.8515625" style="0" customWidth="1"/>
    <col min="4" max="4" width="7.00390625" style="83" customWidth="1"/>
    <col min="5" max="5" width="6.28125" style="0" customWidth="1"/>
    <col min="7" max="7" width="8.7109375" style="66" customWidth="1"/>
    <col min="8" max="8" width="9.00390625" style="66" customWidth="1"/>
    <col min="9" max="9" width="5.57421875" style="0" bestFit="1" customWidth="1"/>
    <col min="11" max="11" width="8.7109375" style="66" customWidth="1"/>
    <col min="12" max="12" width="9.00390625" style="66" customWidth="1"/>
    <col min="13" max="13" width="5.7109375" style="0" customWidth="1"/>
    <col min="15" max="15" width="8.7109375" style="66" customWidth="1"/>
    <col min="16" max="16" width="9.00390625" style="66" customWidth="1"/>
    <col min="17" max="17" width="5.00390625" style="0" customWidth="1"/>
    <col min="19" max="19" width="8.7109375" style="66" customWidth="1"/>
    <col min="20" max="20" width="9.00390625" style="66" customWidth="1"/>
  </cols>
  <sheetData>
    <row r="1" ht="12.75">
      <c r="C1" s="6" t="s">
        <v>174</v>
      </c>
    </row>
    <row r="2" spans="6:20" ht="12.75">
      <c r="F2" s="94" t="s">
        <v>195</v>
      </c>
      <c r="G2" s="94"/>
      <c r="H2" s="94"/>
      <c r="J2" s="94" t="s">
        <v>135</v>
      </c>
      <c r="K2" s="94"/>
      <c r="L2" s="94"/>
      <c r="N2" s="94" t="s">
        <v>52</v>
      </c>
      <c r="O2" s="94"/>
      <c r="P2" s="94"/>
      <c r="R2" s="94" t="s">
        <v>154</v>
      </c>
      <c r="S2" s="94"/>
      <c r="T2" s="94"/>
    </row>
    <row r="3" spans="3:26" ht="12.75">
      <c r="C3" t="s">
        <v>60</v>
      </c>
      <c r="D3" s="83" t="s">
        <v>23</v>
      </c>
      <c r="F3" s="51" t="s">
        <v>25</v>
      </c>
      <c r="G3" s="95" t="s">
        <v>25</v>
      </c>
      <c r="H3" s="95" t="s">
        <v>27</v>
      </c>
      <c r="I3" s="51"/>
      <c r="J3" s="51" t="s">
        <v>25</v>
      </c>
      <c r="K3" s="95" t="s">
        <v>25</v>
      </c>
      <c r="L3" s="95" t="s">
        <v>27</v>
      </c>
      <c r="M3" s="51"/>
      <c r="N3" s="51" t="s">
        <v>25</v>
      </c>
      <c r="O3" s="95" t="s">
        <v>25</v>
      </c>
      <c r="P3" s="95" t="s">
        <v>27</v>
      </c>
      <c r="Q3" s="51"/>
      <c r="R3" s="51" t="s">
        <v>25</v>
      </c>
      <c r="S3" s="95" t="s">
        <v>25</v>
      </c>
      <c r="T3" s="95" t="s">
        <v>27</v>
      </c>
      <c r="U3" s="51"/>
      <c r="V3" s="51"/>
      <c r="W3" s="51"/>
      <c r="X3" s="51"/>
      <c r="Y3" s="51"/>
      <c r="Z3" s="51"/>
    </row>
    <row r="4" spans="4:26" ht="12.75">
      <c r="D4" s="83" t="s">
        <v>196</v>
      </c>
      <c r="F4" s="51" t="s">
        <v>197</v>
      </c>
      <c r="G4" s="95" t="s">
        <v>64</v>
      </c>
      <c r="H4" s="95" t="s">
        <v>64</v>
      </c>
      <c r="I4" s="51"/>
      <c r="J4" s="51" t="s">
        <v>197</v>
      </c>
      <c r="K4" s="95" t="s">
        <v>64</v>
      </c>
      <c r="L4" s="95" t="s">
        <v>64</v>
      </c>
      <c r="M4" s="51"/>
      <c r="N4" s="51" t="s">
        <v>197</v>
      </c>
      <c r="O4" s="95" t="s">
        <v>64</v>
      </c>
      <c r="P4" s="95" t="s">
        <v>64</v>
      </c>
      <c r="Q4" s="51"/>
      <c r="R4" s="51" t="s">
        <v>197</v>
      </c>
      <c r="S4" s="95" t="s">
        <v>64</v>
      </c>
      <c r="T4" s="95" t="s">
        <v>64</v>
      </c>
      <c r="U4" s="51"/>
      <c r="V4" s="51"/>
      <c r="W4" s="51"/>
      <c r="X4" s="51"/>
      <c r="Y4" s="51"/>
      <c r="Z4" s="51"/>
    </row>
    <row r="5" spans="1:44" s="80" customFormat="1" ht="12.75">
      <c r="A5" s="80" t="s">
        <v>174</v>
      </c>
      <c r="B5" s="80">
        <v>1</v>
      </c>
      <c r="C5" s="80" t="s">
        <v>198</v>
      </c>
      <c r="D5" s="84">
        <v>1</v>
      </c>
      <c r="E5" s="81">
        <v>1</v>
      </c>
      <c r="F5" s="85">
        <v>0.008156057630419355</v>
      </c>
      <c r="G5" s="85">
        <f>IF(E5=1,F5/2,F5)</f>
        <v>0.004078028815209678</v>
      </c>
      <c r="H5" s="85">
        <f>G5*$D5</f>
        <v>0.004078028815209678</v>
      </c>
      <c r="I5" s="81">
        <v>1</v>
      </c>
      <c r="J5" s="85">
        <v>0.008774702153725961</v>
      </c>
      <c r="K5" s="85">
        <f>IF(I5=1,J5/2,J5)</f>
        <v>0.004387351076862981</v>
      </c>
      <c r="L5" s="85">
        <f>K5*$D5</f>
        <v>0.004387351076862981</v>
      </c>
      <c r="M5" s="81">
        <v>1</v>
      </c>
      <c r="N5" s="85">
        <v>0.0084917007457301</v>
      </c>
      <c r="O5" s="85">
        <f>IF(M5=1,N5/2,N5)</f>
        <v>0.00424585037286505</v>
      </c>
      <c r="P5" s="85">
        <f>O5*$D5</f>
        <v>0.00424585037286505</v>
      </c>
      <c r="Q5" s="81">
        <v>1</v>
      </c>
      <c r="R5" s="85">
        <v>0.009303814149629129</v>
      </c>
      <c r="S5" s="85">
        <f>IF(Q5=1,R5/2,R5)</f>
        <v>0.0046519070748145645</v>
      </c>
      <c r="T5" s="85">
        <f>S5*$D5</f>
        <v>0.0046519070748145645</v>
      </c>
      <c r="U5" s="81"/>
      <c r="V5" s="85"/>
      <c r="W5" s="81"/>
      <c r="X5" s="85"/>
      <c r="Y5" s="81"/>
      <c r="Z5" s="85"/>
      <c r="AA5" s="81"/>
      <c r="AB5" s="85"/>
      <c r="AC5" s="81"/>
      <c r="AD5" s="86"/>
      <c r="AE5" s="81"/>
      <c r="AF5" s="86"/>
      <c r="AG5" s="81"/>
      <c r="AH5" s="86"/>
      <c r="AI5" s="81"/>
      <c r="AJ5" s="86"/>
      <c r="AK5" s="81"/>
      <c r="AL5" s="86"/>
      <c r="AM5" s="81"/>
      <c r="AN5" s="86"/>
      <c r="AO5" s="81"/>
      <c r="AP5" s="86"/>
      <c r="AQ5" s="81"/>
      <c r="AR5" s="86"/>
    </row>
    <row r="6" spans="1:44" s="80" customFormat="1" ht="12.75">
      <c r="A6" s="80" t="s">
        <v>174</v>
      </c>
      <c r="B6" s="80">
        <v>2</v>
      </c>
      <c r="C6" s="80" t="s">
        <v>199</v>
      </c>
      <c r="D6" s="84">
        <v>0</v>
      </c>
      <c r="E6" s="81"/>
      <c r="F6" s="85">
        <v>0.007567019292657568</v>
      </c>
      <c r="G6" s="85">
        <f aca="true" t="shared" si="0" ref="G6:G37">IF(E6=1,F6/2,F6)</f>
        <v>0.007567019292657568</v>
      </c>
      <c r="H6" s="85">
        <f aca="true" t="shared" si="1" ref="H6:H37">G6*$D6</f>
        <v>0</v>
      </c>
      <c r="I6" s="81"/>
      <c r="J6" s="85">
        <v>0.013872356669803448</v>
      </c>
      <c r="K6" s="85">
        <f aca="true" t="shared" si="2" ref="K6:K37">IF(I6=1,J6/2,J6)</f>
        <v>0.013872356669803448</v>
      </c>
      <c r="L6" s="85">
        <f aca="true" t="shared" si="3" ref="L6:L37">K6*$D6</f>
        <v>0</v>
      </c>
      <c r="M6" s="81"/>
      <c r="N6" s="85">
        <v>0.0051082992542699</v>
      </c>
      <c r="O6" s="85">
        <f aca="true" t="shared" si="4" ref="O6:O37">IF(M6=1,N6/2,N6)</f>
        <v>0.0051082992542699</v>
      </c>
      <c r="P6" s="85">
        <f aca="true" t="shared" si="5" ref="P6:P37">O6*$D6</f>
        <v>0</v>
      </c>
      <c r="Q6" s="81"/>
      <c r="R6" s="85">
        <v>-0.0013345833803983607</v>
      </c>
      <c r="S6" s="85">
        <f aca="true" t="shared" si="6" ref="S6:S37">IF(Q6=1,R6/2,R6)</f>
        <v>-0.0013345833803983607</v>
      </c>
      <c r="T6" s="85">
        <f aca="true" t="shared" si="7" ref="T6:T37">S6*$D6</f>
        <v>0</v>
      </c>
      <c r="U6" s="81"/>
      <c r="V6" s="85"/>
      <c r="W6" s="81"/>
      <c r="X6" s="85"/>
      <c r="Y6" s="81"/>
      <c r="Z6" s="85"/>
      <c r="AA6" s="81"/>
      <c r="AB6" s="85"/>
      <c r="AC6" s="81"/>
      <c r="AD6" s="86"/>
      <c r="AE6" s="81"/>
      <c r="AF6" s="86"/>
      <c r="AG6" s="81"/>
      <c r="AH6" s="86"/>
      <c r="AI6" s="81"/>
      <c r="AJ6" s="86"/>
      <c r="AK6" s="81"/>
      <c r="AL6" s="86"/>
      <c r="AM6" s="81"/>
      <c r="AN6" s="86"/>
      <c r="AO6" s="81"/>
      <c r="AP6" s="86"/>
      <c r="AQ6" s="81"/>
      <c r="AR6" s="86"/>
    </row>
    <row r="7" spans="1:44" s="80" customFormat="1" ht="12.75">
      <c r="A7" s="80" t="s">
        <v>174</v>
      </c>
      <c r="B7" s="80">
        <v>3</v>
      </c>
      <c r="C7" s="80" t="s">
        <v>200</v>
      </c>
      <c r="D7" s="84">
        <v>0</v>
      </c>
      <c r="E7" s="81"/>
      <c r="F7" s="85">
        <v>0.015723076923077</v>
      </c>
      <c r="G7" s="85">
        <f t="shared" si="0"/>
        <v>0.015723076923077</v>
      </c>
      <c r="H7" s="85">
        <f t="shared" si="1"/>
        <v>0</v>
      </c>
      <c r="I7" s="81"/>
      <c r="J7" s="85">
        <v>0.02264705882352941</v>
      </c>
      <c r="K7" s="85">
        <f t="shared" si="2"/>
        <v>0.02264705882352941</v>
      </c>
      <c r="L7" s="85">
        <f t="shared" si="3"/>
        <v>0</v>
      </c>
      <c r="M7" s="81"/>
      <c r="N7" s="85">
        <v>0.0136</v>
      </c>
      <c r="O7" s="85">
        <f t="shared" si="4"/>
        <v>0.0136</v>
      </c>
      <c r="P7" s="85">
        <f t="shared" si="5"/>
        <v>0</v>
      </c>
      <c r="Q7" s="81">
        <v>1</v>
      </c>
      <c r="R7" s="85">
        <v>0.007969230769230768</v>
      </c>
      <c r="S7" s="85">
        <f t="shared" si="6"/>
        <v>0.003984615384615384</v>
      </c>
      <c r="T7" s="85">
        <f t="shared" si="7"/>
        <v>0</v>
      </c>
      <c r="U7" s="81"/>
      <c r="V7" s="85"/>
      <c r="W7" s="81"/>
      <c r="X7" s="85"/>
      <c r="Y7" s="81"/>
      <c r="Z7" s="85"/>
      <c r="AA7" s="81"/>
      <c r="AB7" s="85"/>
      <c r="AC7" s="81"/>
      <c r="AD7" s="86"/>
      <c r="AE7" s="81"/>
      <c r="AF7" s="86"/>
      <c r="AG7" s="81"/>
      <c r="AH7" s="86"/>
      <c r="AI7" s="81"/>
      <c r="AJ7" s="86"/>
      <c r="AK7" s="81"/>
      <c r="AL7" s="86"/>
      <c r="AM7" s="81"/>
      <c r="AN7" s="86"/>
      <c r="AO7" s="81"/>
      <c r="AP7" s="86"/>
      <c r="AQ7" s="81"/>
      <c r="AR7" s="86"/>
    </row>
    <row r="8" spans="1:44" s="80" customFormat="1" ht="12.75">
      <c r="A8" s="80" t="s">
        <v>174</v>
      </c>
      <c r="B8" s="80">
        <v>4</v>
      </c>
      <c r="C8" s="80" t="s">
        <v>201</v>
      </c>
      <c r="D8" s="84">
        <v>0.5</v>
      </c>
      <c r="E8" s="81">
        <v>1</v>
      </c>
      <c r="F8" s="85">
        <v>0.04078028815209678</v>
      </c>
      <c r="G8" s="85">
        <f t="shared" si="0"/>
        <v>0.02039014407604839</v>
      </c>
      <c r="H8" s="85">
        <f t="shared" si="1"/>
        <v>0.010195072038024194</v>
      </c>
      <c r="I8" s="81">
        <v>1</v>
      </c>
      <c r="J8" s="85">
        <v>0.04387351076862981</v>
      </c>
      <c r="K8" s="85">
        <f t="shared" si="2"/>
        <v>0.021936755384314905</v>
      </c>
      <c r="L8" s="85">
        <f t="shared" si="3"/>
        <v>0.010968377692157453</v>
      </c>
      <c r="M8" s="81">
        <v>1</v>
      </c>
      <c r="N8" s="85">
        <v>0.042458503728650475</v>
      </c>
      <c r="O8" s="85">
        <f t="shared" si="4"/>
        <v>0.021229251864325237</v>
      </c>
      <c r="P8" s="85">
        <f t="shared" si="5"/>
        <v>0.010614625932162619</v>
      </c>
      <c r="Q8" s="81">
        <v>1</v>
      </c>
      <c r="R8" s="85">
        <v>0.04651907074814564</v>
      </c>
      <c r="S8" s="85">
        <f t="shared" si="6"/>
        <v>0.02325953537407282</v>
      </c>
      <c r="T8" s="85">
        <f t="shared" si="7"/>
        <v>0.01162976768703641</v>
      </c>
      <c r="U8" s="81"/>
      <c r="V8" s="85"/>
      <c r="W8" s="81"/>
      <c r="X8" s="85"/>
      <c r="Y8" s="81"/>
      <c r="Z8" s="85"/>
      <c r="AA8" s="81"/>
      <c r="AB8" s="85"/>
      <c r="AC8" s="81"/>
      <c r="AD8" s="86"/>
      <c r="AE8" s="81"/>
      <c r="AF8" s="86"/>
      <c r="AG8" s="81"/>
      <c r="AH8" s="86"/>
      <c r="AI8" s="81"/>
      <c r="AJ8" s="86"/>
      <c r="AK8" s="81"/>
      <c r="AL8" s="86"/>
      <c r="AM8" s="81"/>
      <c r="AN8" s="86"/>
      <c r="AO8" s="81"/>
      <c r="AP8" s="86"/>
      <c r="AQ8" s="81"/>
      <c r="AR8" s="86"/>
    </row>
    <row r="9" spans="1:44" s="80" customFormat="1" ht="12.75">
      <c r="A9" s="80" t="s">
        <v>174</v>
      </c>
      <c r="B9" s="80">
        <v>5</v>
      </c>
      <c r="C9" s="80" t="s">
        <v>202</v>
      </c>
      <c r="D9" s="84">
        <v>0</v>
      </c>
      <c r="E9" s="81"/>
      <c r="F9" s="85">
        <v>0.00445048107867245</v>
      </c>
      <c r="G9" s="85">
        <f t="shared" si="0"/>
        <v>0.00445048107867245</v>
      </c>
      <c r="H9" s="85">
        <f t="shared" si="1"/>
        <v>0</v>
      </c>
      <c r="I9" s="81"/>
      <c r="J9" s="85">
        <v>-0.0006382166509827578</v>
      </c>
      <c r="K9" s="85">
        <f t="shared" si="2"/>
        <v>-0.0006382166509827578</v>
      </c>
      <c r="L9" s="85">
        <f t="shared" si="3"/>
        <v>0</v>
      </c>
      <c r="M9" s="81"/>
      <c r="N9" s="85">
        <v>-0.00045850372865048</v>
      </c>
      <c r="O9" s="85">
        <f t="shared" si="4"/>
        <v>-0.00045850372865048</v>
      </c>
      <c r="P9" s="85">
        <f t="shared" si="5"/>
        <v>0</v>
      </c>
      <c r="Q9" s="81"/>
      <c r="R9" s="85">
        <v>-0.005595993825068715</v>
      </c>
      <c r="S9" s="85">
        <f t="shared" si="6"/>
        <v>-0.005595993825068715</v>
      </c>
      <c r="T9" s="85">
        <f t="shared" si="7"/>
        <v>0</v>
      </c>
      <c r="U9" s="81"/>
      <c r="V9" s="85"/>
      <c r="W9" s="81"/>
      <c r="X9" s="85"/>
      <c r="Y9" s="81"/>
      <c r="Z9" s="85"/>
      <c r="AA9" s="81"/>
      <c r="AB9" s="85"/>
      <c r="AC9" s="81"/>
      <c r="AD9" s="86"/>
      <c r="AE9" s="81"/>
      <c r="AF9" s="86"/>
      <c r="AG9" s="81"/>
      <c r="AH9" s="86"/>
      <c r="AI9" s="81"/>
      <c r="AJ9" s="86"/>
      <c r="AK9" s="81"/>
      <c r="AL9" s="86"/>
      <c r="AM9" s="81"/>
      <c r="AN9" s="86"/>
      <c r="AO9" s="81"/>
      <c r="AP9" s="86"/>
      <c r="AQ9" s="81"/>
      <c r="AR9" s="86"/>
    </row>
    <row r="10" spans="1:44" s="80" customFormat="1" ht="12.75">
      <c r="A10" s="80" t="s">
        <v>174</v>
      </c>
      <c r="B10" s="80">
        <v>6</v>
      </c>
      <c r="C10" s="80" t="s">
        <v>203</v>
      </c>
      <c r="D10" s="84">
        <v>0</v>
      </c>
      <c r="E10" s="81">
        <v>1</v>
      </c>
      <c r="F10" s="85">
        <v>0.04523076923076923</v>
      </c>
      <c r="G10" s="85">
        <f t="shared" si="0"/>
        <v>0.022615384615384614</v>
      </c>
      <c r="H10" s="85">
        <f t="shared" si="1"/>
        <v>0</v>
      </c>
      <c r="I10" s="81">
        <v>1</v>
      </c>
      <c r="J10" s="85">
        <v>0.043235294117647</v>
      </c>
      <c r="K10" s="85">
        <f t="shared" si="2"/>
        <v>0.0216176470588235</v>
      </c>
      <c r="L10" s="85">
        <f t="shared" si="3"/>
        <v>0</v>
      </c>
      <c r="M10" s="81">
        <v>1</v>
      </c>
      <c r="N10" s="85">
        <v>0.042</v>
      </c>
      <c r="O10" s="85">
        <f t="shared" si="4"/>
        <v>0.021</v>
      </c>
      <c r="P10" s="85">
        <f t="shared" si="5"/>
        <v>0</v>
      </c>
      <c r="Q10" s="81">
        <v>1</v>
      </c>
      <c r="R10" s="85">
        <v>0.040923076923077</v>
      </c>
      <c r="S10" s="85">
        <f t="shared" si="6"/>
        <v>0.0204615384615385</v>
      </c>
      <c r="T10" s="85">
        <f t="shared" si="7"/>
        <v>0</v>
      </c>
      <c r="U10" s="81"/>
      <c r="V10" s="85"/>
      <c r="W10" s="81"/>
      <c r="X10" s="85"/>
      <c r="Y10" s="81"/>
      <c r="Z10" s="85"/>
      <c r="AA10" s="81"/>
      <c r="AB10" s="85"/>
      <c r="AC10" s="81"/>
      <c r="AD10" s="86"/>
      <c r="AE10" s="81"/>
      <c r="AF10" s="86"/>
      <c r="AG10" s="81"/>
      <c r="AH10" s="86"/>
      <c r="AI10" s="81"/>
      <c r="AJ10" s="86"/>
      <c r="AK10" s="81"/>
      <c r="AL10" s="86"/>
      <c r="AM10" s="81"/>
      <c r="AN10" s="86"/>
      <c r="AO10" s="81"/>
      <c r="AP10" s="86"/>
      <c r="AQ10" s="81"/>
      <c r="AR10" s="86"/>
    </row>
    <row r="11" spans="1:44" s="80" customFormat="1" ht="12.75">
      <c r="A11" s="80" t="s">
        <v>174</v>
      </c>
      <c r="B11" s="80">
        <v>7</v>
      </c>
      <c r="C11" s="80" t="s">
        <v>204</v>
      </c>
      <c r="D11" s="84">
        <v>0.1</v>
      </c>
      <c r="E11" s="81">
        <v>1</v>
      </c>
      <c r="F11" s="85">
        <v>0.04078028815209678</v>
      </c>
      <c r="G11" s="85">
        <f t="shared" si="0"/>
        <v>0.02039014407604839</v>
      </c>
      <c r="H11" s="85">
        <f t="shared" si="1"/>
        <v>0.002039014407604839</v>
      </c>
      <c r="I11" s="81">
        <v>1</v>
      </c>
      <c r="J11" s="85">
        <v>0.04387351076862981</v>
      </c>
      <c r="K11" s="85">
        <f t="shared" si="2"/>
        <v>0.021936755384314905</v>
      </c>
      <c r="L11" s="85">
        <f t="shared" si="3"/>
        <v>0.0021936755384314908</v>
      </c>
      <c r="M11" s="81">
        <v>1</v>
      </c>
      <c r="N11" s="85">
        <v>0.042458503728650475</v>
      </c>
      <c r="O11" s="85">
        <f t="shared" si="4"/>
        <v>0.021229251864325237</v>
      </c>
      <c r="P11" s="85">
        <f t="shared" si="5"/>
        <v>0.002122925186432524</v>
      </c>
      <c r="Q11" s="81">
        <v>1</v>
      </c>
      <c r="R11" s="85">
        <v>0.04651907074814564</v>
      </c>
      <c r="S11" s="85">
        <f t="shared" si="6"/>
        <v>0.02325953537407282</v>
      </c>
      <c r="T11" s="85">
        <f t="shared" si="7"/>
        <v>0.002325953537407282</v>
      </c>
      <c r="U11" s="81"/>
      <c r="V11" s="85"/>
      <c r="W11" s="81"/>
      <c r="X11" s="85"/>
      <c r="Y11" s="81"/>
      <c r="Z11" s="85"/>
      <c r="AA11" s="81"/>
      <c r="AB11" s="85"/>
      <c r="AC11" s="81"/>
      <c r="AD11" s="86"/>
      <c r="AE11" s="81"/>
      <c r="AF11" s="86"/>
      <c r="AG11" s="81"/>
      <c r="AH11" s="86"/>
      <c r="AI11" s="81"/>
      <c r="AJ11" s="86"/>
      <c r="AK11" s="81"/>
      <c r="AL11" s="86"/>
      <c r="AM11" s="81"/>
      <c r="AN11" s="86"/>
      <c r="AO11" s="81"/>
      <c r="AP11" s="86"/>
      <c r="AQ11" s="81"/>
      <c r="AR11" s="86"/>
    </row>
    <row r="12" spans="1:44" s="80" customFormat="1" ht="12.75">
      <c r="A12" s="80" t="s">
        <v>174</v>
      </c>
      <c r="B12" s="80">
        <v>8</v>
      </c>
      <c r="C12" s="80" t="s">
        <v>205</v>
      </c>
      <c r="D12" s="84">
        <v>0.1</v>
      </c>
      <c r="E12" s="81">
        <v>1</v>
      </c>
      <c r="F12" s="85">
        <v>0.04078028815209678</v>
      </c>
      <c r="G12" s="85">
        <f t="shared" si="0"/>
        <v>0.02039014407604839</v>
      </c>
      <c r="H12" s="85">
        <f t="shared" si="1"/>
        <v>0.002039014407604839</v>
      </c>
      <c r="I12" s="81">
        <v>1</v>
      </c>
      <c r="J12" s="85">
        <v>0.04387351076862981</v>
      </c>
      <c r="K12" s="85">
        <f t="shared" si="2"/>
        <v>0.021936755384314905</v>
      </c>
      <c r="L12" s="85">
        <f t="shared" si="3"/>
        <v>0.0021936755384314908</v>
      </c>
      <c r="M12" s="81">
        <v>1</v>
      </c>
      <c r="N12" s="85">
        <v>0.042458503728650475</v>
      </c>
      <c r="O12" s="85">
        <f t="shared" si="4"/>
        <v>0.021229251864325237</v>
      </c>
      <c r="P12" s="85">
        <f t="shared" si="5"/>
        <v>0.002122925186432524</v>
      </c>
      <c r="Q12" s="81">
        <v>1</v>
      </c>
      <c r="R12" s="85">
        <v>0.04651907074814564</v>
      </c>
      <c r="S12" s="85">
        <f t="shared" si="6"/>
        <v>0.02325953537407282</v>
      </c>
      <c r="T12" s="85">
        <f t="shared" si="7"/>
        <v>0.002325953537407282</v>
      </c>
      <c r="U12" s="81"/>
      <c r="V12" s="85"/>
      <c r="W12" s="81"/>
      <c r="X12" s="85"/>
      <c r="Y12" s="81"/>
      <c r="Z12" s="85"/>
      <c r="AA12" s="81"/>
      <c r="AB12" s="85"/>
      <c r="AC12" s="81"/>
      <c r="AD12" s="86"/>
      <c r="AE12" s="81"/>
      <c r="AF12" s="86"/>
      <c r="AG12" s="81"/>
      <c r="AH12" s="86"/>
      <c r="AI12" s="81"/>
      <c r="AJ12" s="86"/>
      <c r="AK12" s="81"/>
      <c r="AL12" s="86"/>
      <c r="AM12" s="81"/>
      <c r="AN12" s="86"/>
      <c r="AO12" s="81"/>
      <c r="AP12" s="86"/>
      <c r="AQ12" s="81"/>
      <c r="AR12" s="86"/>
    </row>
    <row r="13" spans="1:44" s="80" customFormat="1" ht="12.75">
      <c r="A13" s="80" t="s">
        <v>174</v>
      </c>
      <c r="B13" s="80">
        <v>9</v>
      </c>
      <c r="C13" s="80" t="s">
        <v>206</v>
      </c>
      <c r="D13" s="84">
        <v>0.1</v>
      </c>
      <c r="E13" s="81">
        <v>1</v>
      </c>
      <c r="F13" s="85">
        <v>0.04078028815209678</v>
      </c>
      <c r="G13" s="85">
        <f t="shared" si="0"/>
        <v>0.02039014407604839</v>
      </c>
      <c r="H13" s="85">
        <f t="shared" si="1"/>
        <v>0.002039014407604839</v>
      </c>
      <c r="I13" s="81">
        <v>1</v>
      </c>
      <c r="J13" s="85">
        <v>0.04387351076862981</v>
      </c>
      <c r="K13" s="85">
        <f t="shared" si="2"/>
        <v>0.021936755384314905</v>
      </c>
      <c r="L13" s="85">
        <f t="shared" si="3"/>
        <v>0.0021936755384314908</v>
      </c>
      <c r="M13" s="81">
        <v>1</v>
      </c>
      <c r="N13" s="85">
        <v>0.042458503728650475</v>
      </c>
      <c r="O13" s="85">
        <f t="shared" si="4"/>
        <v>0.021229251864325237</v>
      </c>
      <c r="P13" s="85">
        <f t="shared" si="5"/>
        <v>0.002122925186432524</v>
      </c>
      <c r="Q13" s="81">
        <v>1</v>
      </c>
      <c r="R13" s="85">
        <v>0.04651907074814564</v>
      </c>
      <c r="S13" s="85">
        <f t="shared" si="6"/>
        <v>0.02325953537407282</v>
      </c>
      <c r="T13" s="85">
        <f t="shared" si="7"/>
        <v>0.002325953537407282</v>
      </c>
      <c r="U13" s="81"/>
      <c r="V13" s="85"/>
      <c r="W13" s="81"/>
      <c r="X13" s="85"/>
      <c r="Y13" s="81"/>
      <c r="Z13" s="85"/>
      <c r="AA13" s="81"/>
      <c r="AB13" s="85"/>
      <c r="AC13" s="81"/>
      <c r="AD13" s="86"/>
      <c r="AE13" s="81"/>
      <c r="AF13" s="86"/>
      <c r="AG13" s="81"/>
      <c r="AH13" s="86"/>
      <c r="AI13" s="81"/>
      <c r="AJ13" s="86"/>
      <c r="AK13" s="81"/>
      <c r="AL13" s="86"/>
      <c r="AM13" s="81"/>
      <c r="AN13" s="86"/>
      <c r="AO13" s="81"/>
      <c r="AP13" s="86"/>
      <c r="AQ13" s="81"/>
      <c r="AR13" s="86"/>
    </row>
    <row r="14" spans="1:44" s="80" customFormat="1" ht="12.75">
      <c r="A14" s="80" t="s">
        <v>174</v>
      </c>
      <c r="B14" s="80">
        <v>10</v>
      </c>
      <c r="C14" s="80" t="s">
        <v>207</v>
      </c>
      <c r="D14" s="84">
        <v>0</v>
      </c>
      <c r="E14" s="81"/>
      <c r="F14" s="85">
        <v>-0.0771100952255211</v>
      </c>
      <c r="G14" s="85">
        <f t="shared" si="0"/>
        <v>-0.0771100952255211</v>
      </c>
      <c r="H14" s="85">
        <f t="shared" si="1"/>
        <v>0</v>
      </c>
      <c r="I14" s="81"/>
      <c r="J14" s="85">
        <v>-0.08838523818824237</v>
      </c>
      <c r="K14" s="85">
        <f t="shared" si="2"/>
        <v>-0.08838523818824237</v>
      </c>
      <c r="L14" s="85">
        <f t="shared" si="3"/>
        <v>0</v>
      </c>
      <c r="M14" s="81"/>
      <c r="N14" s="85">
        <v>-0.08537551118595144</v>
      </c>
      <c r="O14" s="85">
        <f t="shared" si="4"/>
        <v>-0.08537551118595144</v>
      </c>
      <c r="P14" s="85">
        <f t="shared" si="5"/>
        <v>0</v>
      </c>
      <c r="Q14" s="81"/>
      <c r="R14" s="85">
        <v>-0.09863413532136</v>
      </c>
      <c r="S14" s="85">
        <f t="shared" si="6"/>
        <v>-0.09863413532136</v>
      </c>
      <c r="T14" s="85">
        <f t="shared" si="7"/>
        <v>0</v>
      </c>
      <c r="U14" s="81"/>
      <c r="V14" s="85"/>
      <c r="W14" s="81"/>
      <c r="X14" s="85"/>
      <c r="Y14" s="81"/>
      <c r="Z14" s="85"/>
      <c r="AA14" s="81"/>
      <c r="AB14" s="85"/>
      <c r="AC14" s="81"/>
      <c r="AD14" s="86"/>
      <c r="AE14" s="81"/>
      <c r="AF14" s="86"/>
      <c r="AG14" s="81"/>
      <c r="AH14" s="86"/>
      <c r="AI14" s="81"/>
      <c r="AJ14" s="86"/>
      <c r="AK14" s="81"/>
      <c r="AL14" s="86"/>
      <c r="AM14" s="81"/>
      <c r="AN14" s="86"/>
      <c r="AO14" s="81"/>
      <c r="AP14" s="86"/>
      <c r="AQ14" s="81"/>
      <c r="AR14" s="86"/>
    </row>
    <row r="15" spans="1:44" s="80" customFormat="1" ht="12.75">
      <c r="A15" s="80" t="s">
        <v>174</v>
      </c>
      <c r="B15" s="80">
        <v>11</v>
      </c>
      <c r="C15" s="80" t="s">
        <v>208</v>
      </c>
      <c r="D15" s="84">
        <v>0</v>
      </c>
      <c r="E15" s="81">
        <v>1</v>
      </c>
      <c r="F15" s="85">
        <v>0.04523076923076923</v>
      </c>
      <c r="G15" s="85">
        <f t="shared" si="0"/>
        <v>0.022615384615384614</v>
      </c>
      <c r="H15" s="85">
        <f t="shared" si="1"/>
        <v>0</v>
      </c>
      <c r="I15" s="81">
        <v>1</v>
      </c>
      <c r="J15" s="85">
        <v>0.043235294117647</v>
      </c>
      <c r="K15" s="85">
        <f t="shared" si="2"/>
        <v>0.0216176470588235</v>
      </c>
      <c r="L15" s="85">
        <f t="shared" si="3"/>
        <v>0</v>
      </c>
      <c r="M15" s="81">
        <v>1</v>
      </c>
      <c r="N15" s="85">
        <v>0.042</v>
      </c>
      <c r="O15" s="85">
        <f t="shared" si="4"/>
        <v>0.021</v>
      </c>
      <c r="P15" s="85">
        <f t="shared" si="5"/>
        <v>0</v>
      </c>
      <c r="Q15" s="81">
        <v>1</v>
      </c>
      <c r="R15" s="85">
        <v>0.040923076923077</v>
      </c>
      <c r="S15" s="85">
        <f t="shared" si="6"/>
        <v>0.0204615384615385</v>
      </c>
      <c r="T15" s="85">
        <f t="shared" si="7"/>
        <v>0</v>
      </c>
      <c r="U15" s="81"/>
      <c r="V15" s="85"/>
      <c r="W15" s="81"/>
      <c r="X15" s="85"/>
      <c r="Y15" s="81"/>
      <c r="Z15" s="85"/>
      <c r="AA15" s="81"/>
      <c r="AB15" s="85"/>
      <c r="AC15" s="81"/>
      <c r="AD15" s="86"/>
      <c r="AE15" s="81"/>
      <c r="AF15" s="86"/>
      <c r="AG15" s="81"/>
      <c r="AH15" s="86"/>
      <c r="AI15" s="81"/>
      <c r="AJ15" s="86"/>
      <c r="AK15" s="81"/>
      <c r="AL15" s="86"/>
      <c r="AM15" s="81"/>
      <c r="AN15" s="86"/>
      <c r="AO15" s="81"/>
      <c r="AP15" s="86"/>
      <c r="AQ15" s="81"/>
      <c r="AR15" s="86"/>
    </row>
    <row r="16" spans="1:44" s="80" customFormat="1" ht="12.75">
      <c r="A16" s="80" t="s">
        <v>174</v>
      </c>
      <c r="B16" s="80">
        <v>12</v>
      </c>
      <c r="C16" s="80" t="s">
        <v>209</v>
      </c>
      <c r="D16" s="84">
        <v>0.01</v>
      </c>
      <c r="E16" s="81">
        <v>1</v>
      </c>
      <c r="F16" s="85">
        <v>0.04078028815209678</v>
      </c>
      <c r="G16" s="85">
        <f t="shared" si="0"/>
        <v>0.02039014407604839</v>
      </c>
      <c r="H16" s="85">
        <f t="shared" si="1"/>
        <v>0.0002039014407604839</v>
      </c>
      <c r="I16" s="81">
        <v>1</v>
      </c>
      <c r="J16" s="85">
        <v>0.04387351076862981</v>
      </c>
      <c r="K16" s="85">
        <f t="shared" si="2"/>
        <v>0.021936755384314905</v>
      </c>
      <c r="L16" s="85">
        <f t="shared" si="3"/>
        <v>0.00021936755384314907</v>
      </c>
      <c r="M16" s="81">
        <v>1</v>
      </c>
      <c r="N16" s="85">
        <v>0.042458503728650475</v>
      </c>
      <c r="O16" s="85">
        <f t="shared" si="4"/>
        <v>0.021229251864325237</v>
      </c>
      <c r="P16" s="85">
        <f t="shared" si="5"/>
        <v>0.0002122925186432524</v>
      </c>
      <c r="Q16" s="81">
        <v>1</v>
      </c>
      <c r="R16" s="85">
        <v>0.04651907074814564</v>
      </c>
      <c r="S16" s="85">
        <f t="shared" si="6"/>
        <v>0.02325953537407282</v>
      </c>
      <c r="T16" s="85">
        <f t="shared" si="7"/>
        <v>0.0002325953537407282</v>
      </c>
      <c r="U16" s="81"/>
      <c r="V16" s="85"/>
      <c r="W16" s="81"/>
      <c r="X16" s="85"/>
      <c r="Y16" s="81"/>
      <c r="Z16" s="85"/>
      <c r="AA16" s="81"/>
      <c r="AB16" s="85"/>
      <c r="AC16" s="81"/>
      <c r="AD16" s="86"/>
      <c r="AE16" s="81"/>
      <c r="AF16" s="86"/>
      <c r="AG16" s="81"/>
      <c r="AH16" s="86"/>
      <c r="AI16" s="81"/>
      <c r="AJ16" s="86"/>
      <c r="AK16" s="81"/>
      <c r="AL16" s="86"/>
      <c r="AM16" s="81"/>
      <c r="AN16" s="86"/>
      <c r="AO16" s="81"/>
      <c r="AP16" s="86"/>
      <c r="AQ16" s="81"/>
      <c r="AR16" s="86"/>
    </row>
    <row r="17" spans="1:44" s="80" customFormat="1" ht="12.75">
      <c r="A17" s="80" t="s">
        <v>174</v>
      </c>
      <c r="B17" s="80">
        <v>13</v>
      </c>
      <c r="C17" s="80" t="s">
        <v>210</v>
      </c>
      <c r="D17" s="84">
        <v>0</v>
      </c>
      <c r="E17" s="81"/>
      <c r="F17" s="85">
        <v>0.00445048107867245</v>
      </c>
      <c r="G17" s="85">
        <f t="shared" si="0"/>
        <v>0.00445048107867245</v>
      </c>
      <c r="H17" s="85">
        <f t="shared" si="1"/>
        <v>0</v>
      </c>
      <c r="I17" s="81"/>
      <c r="J17" s="85">
        <v>-0.0006382166509827578</v>
      </c>
      <c r="K17" s="85">
        <f t="shared" si="2"/>
        <v>-0.0006382166509827578</v>
      </c>
      <c r="L17" s="85">
        <f t="shared" si="3"/>
        <v>0</v>
      </c>
      <c r="M17" s="81"/>
      <c r="N17" s="85">
        <v>0.0975414962713495</v>
      </c>
      <c r="O17" s="85">
        <f t="shared" si="4"/>
        <v>0.0975414962713495</v>
      </c>
      <c r="P17" s="85">
        <f t="shared" si="5"/>
        <v>0</v>
      </c>
      <c r="Q17" s="81"/>
      <c r="R17" s="85">
        <v>0.007327083098008211</v>
      </c>
      <c r="S17" s="85">
        <f t="shared" si="6"/>
        <v>0.007327083098008211</v>
      </c>
      <c r="T17" s="85">
        <f t="shared" si="7"/>
        <v>0</v>
      </c>
      <c r="U17" s="81"/>
      <c r="V17" s="85"/>
      <c r="W17" s="81"/>
      <c r="X17" s="85"/>
      <c r="Y17" s="81"/>
      <c r="Z17" s="85"/>
      <c r="AA17" s="81"/>
      <c r="AB17" s="85"/>
      <c r="AC17" s="81"/>
      <c r="AD17" s="86"/>
      <c r="AE17" s="81"/>
      <c r="AF17" s="86"/>
      <c r="AG17" s="81"/>
      <c r="AH17" s="86"/>
      <c r="AI17" s="81"/>
      <c r="AJ17" s="86"/>
      <c r="AK17" s="81"/>
      <c r="AL17" s="86"/>
      <c r="AM17" s="81"/>
      <c r="AN17" s="86"/>
      <c r="AO17" s="81"/>
      <c r="AP17" s="86"/>
      <c r="AQ17" s="81"/>
      <c r="AR17" s="86"/>
    </row>
    <row r="18" spans="1:44" s="80" customFormat="1" ht="12.75">
      <c r="A18" s="80" t="s">
        <v>174</v>
      </c>
      <c r="B18" s="80">
        <v>14</v>
      </c>
      <c r="C18" s="80" t="s">
        <v>211</v>
      </c>
      <c r="D18" s="84">
        <v>0</v>
      </c>
      <c r="E18" s="81">
        <v>1</v>
      </c>
      <c r="F18" s="85">
        <v>0.04523076923076923</v>
      </c>
      <c r="G18" s="85">
        <f t="shared" si="0"/>
        <v>0.022615384615384614</v>
      </c>
      <c r="H18" s="85">
        <f t="shared" si="1"/>
        <v>0</v>
      </c>
      <c r="I18" s="81">
        <v>1</v>
      </c>
      <c r="J18" s="85">
        <v>0.043235294117647</v>
      </c>
      <c r="K18" s="85">
        <f t="shared" si="2"/>
        <v>0.0216176470588235</v>
      </c>
      <c r="L18" s="85">
        <f t="shared" si="3"/>
        <v>0</v>
      </c>
      <c r="M18" s="81"/>
      <c r="N18" s="85">
        <v>0.14</v>
      </c>
      <c r="O18" s="85">
        <f t="shared" si="4"/>
        <v>0.14</v>
      </c>
      <c r="P18" s="85">
        <f t="shared" si="5"/>
        <v>0</v>
      </c>
      <c r="Q18" s="81"/>
      <c r="R18" s="85">
        <v>0.05384615384615385</v>
      </c>
      <c r="S18" s="85">
        <f t="shared" si="6"/>
        <v>0.05384615384615385</v>
      </c>
      <c r="T18" s="85">
        <f t="shared" si="7"/>
        <v>0</v>
      </c>
      <c r="U18" s="81"/>
      <c r="V18" s="85"/>
      <c r="W18" s="81"/>
      <c r="X18" s="85"/>
      <c r="Y18" s="81"/>
      <c r="Z18" s="85"/>
      <c r="AA18" s="81"/>
      <c r="AB18" s="85"/>
      <c r="AC18" s="81"/>
      <c r="AD18" s="86"/>
      <c r="AE18" s="81"/>
      <c r="AF18" s="86"/>
      <c r="AG18" s="81"/>
      <c r="AH18" s="86"/>
      <c r="AI18" s="81"/>
      <c r="AJ18" s="86"/>
      <c r="AK18" s="81"/>
      <c r="AL18" s="86"/>
      <c r="AM18" s="81"/>
      <c r="AN18" s="86"/>
      <c r="AO18" s="81"/>
      <c r="AP18" s="86"/>
      <c r="AQ18" s="81"/>
      <c r="AR18" s="86"/>
    </row>
    <row r="19" spans="1:44" s="80" customFormat="1" ht="12.75">
      <c r="A19" s="80" t="s">
        <v>174</v>
      </c>
      <c r="B19" s="80">
        <v>15</v>
      </c>
      <c r="C19" s="80" t="s">
        <v>212</v>
      </c>
      <c r="D19" s="84">
        <v>0.001</v>
      </c>
      <c r="E19" s="81">
        <v>1</v>
      </c>
      <c r="F19" s="85">
        <v>0.09046153846153845</v>
      </c>
      <c r="G19" s="85">
        <f t="shared" si="0"/>
        <v>0.04523076923076923</v>
      </c>
      <c r="H19" s="85">
        <f t="shared" si="1"/>
        <v>4.523076923076923E-05</v>
      </c>
      <c r="I19" s="81">
        <v>1</v>
      </c>
      <c r="J19" s="85">
        <v>0.0864705882352941</v>
      </c>
      <c r="K19" s="85">
        <f t="shared" si="2"/>
        <v>0.04323529411764705</v>
      </c>
      <c r="L19" s="85">
        <f t="shared" si="3"/>
        <v>4.3235294117647055E-05</v>
      </c>
      <c r="M19" s="81"/>
      <c r="N19" s="85">
        <v>0.112</v>
      </c>
      <c r="O19" s="85">
        <f t="shared" si="4"/>
        <v>0.112</v>
      </c>
      <c r="P19" s="85">
        <f t="shared" si="5"/>
        <v>0.000112</v>
      </c>
      <c r="Q19" s="81">
        <v>1</v>
      </c>
      <c r="R19" s="85">
        <v>0.08184615384615385</v>
      </c>
      <c r="S19" s="85">
        <f t="shared" si="6"/>
        <v>0.04092307692307692</v>
      </c>
      <c r="T19" s="85">
        <f t="shared" si="7"/>
        <v>4.0923076923076925E-05</v>
      </c>
      <c r="U19" s="81"/>
      <c r="V19" s="85"/>
      <c r="W19" s="81"/>
      <c r="X19" s="85"/>
      <c r="Y19" s="81"/>
      <c r="Z19" s="85"/>
      <c r="AA19" s="81"/>
      <c r="AB19" s="85"/>
      <c r="AC19" s="81"/>
      <c r="AD19" s="86"/>
      <c r="AE19" s="81"/>
      <c r="AF19" s="86"/>
      <c r="AG19" s="81"/>
      <c r="AH19" s="86"/>
      <c r="AI19" s="81"/>
      <c r="AJ19" s="86"/>
      <c r="AK19" s="81"/>
      <c r="AL19" s="86"/>
      <c r="AM19" s="81"/>
      <c r="AN19" s="86"/>
      <c r="AO19" s="81"/>
      <c r="AP19" s="86"/>
      <c r="AQ19" s="81"/>
      <c r="AR19" s="86"/>
    </row>
    <row r="20" spans="1:44" s="80" customFormat="1" ht="12.75">
      <c r="A20" s="80" t="s">
        <v>174</v>
      </c>
      <c r="B20" s="80">
        <v>16</v>
      </c>
      <c r="C20" s="80" t="s">
        <v>213</v>
      </c>
      <c r="D20" s="84">
        <v>0.1</v>
      </c>
      <c r="E20" s="81"/>
      <c r="F20" s="85">
        <v>0.01671991814235968</v>
      </c>
      <c r="G20" s="85">
        <f t="shared" si="0"/>
        <v>0.01671991814235968</v>
      </c>
      <c r="H20" s="85">
        <f t="shared" si="1"/>
        <v>0.001671991814235968</v>
      </c>
      <c r="I20" s="81">
        <v>1</v>
      </c>
      <c r="J20" s="85">
        <v>0.008774702153725961</v>
      </c>
      <c r="K20" s="85">
        <f t="shared" si="2"/>
        <v>0.004387351076862981</v>
      </c>
      <c r="L20" s="85">
        <f t="shared" si="3"/>
        <v>0.0004387351076862981</v>
      </c>
      <c r="M20" s="81"/>
      <c r="N20" s="85">
        <v>0.0084917007457301</v>
      </c>
      <c r="O20" s="85">
        <f t="shared" si="4"/>
        <v>0.0084917007457301</v>
      </c>
      <c r="P20" s="85">
        <f t="shared" si="5"/>
        <v>0.0008491700745730101</v>
      </c>
      <c r="Q20" s="81">
        <v>1</v>
      </c>
      <c r="R20" s="85">
        <v>0.009303814149629129</v>
      </c>
      <c r="S20" s="85">
        <f t="shared" si="6"/>
        <v>0.0046519070748145645</v>
      </c>
      <c r="T20" s="85">
        <f t="shared" si="7"/>
        <v>0.0004651907074814565</v>
      </c>
      <c r="U20" s="81"/>
      <c r="V20" s="85"/>
      <c r="W20" s="81"/>
      <c r="X20" s="85"/>
      <c r="Y20" s="81"/>
      <c r="Z20" s="85"/>
      <c r="AA20" s="81"/>
      <c r="AB20" s="85"/>
      <c r="AC20" s="81"/>
      <c r="AD20" s="86"/>
      <c r="AE20" s="81"/>
      <c r="AF20" s="86"/>
      <c r="AG20" s="81"/>
      <c r="AH20" s="86"/>
      <c r="AI20" s="81"/>
      <c r="AJ20" s="86"/>
      <c r="AK20" s="81"/>
      <c r="AL20" s="86"/>
      <c r="AM20" s="81"/>
      <c r="AN20" s="86"/>
      <c r="AO20" s="81"/>
      <c r="AP20" s="86"/>
      <c r="AQ20" s="81"/>
      <c r="AR20" s="86"/>
    </row>
    <row r="21" spans="1:44" s="80" customFormat="1" ht="12.75">
      <c r="A21" s="80" t="s">
        <v>174</v>
      </c>
      <c r="B21" s="80">
        <v>17</v>
      </c>
      <c r="C21" s="80" t="s">
        <v>214</v>
      </c>
      <c r="D21" s="84">
        <v>0</v>
      </c>
      <c r="E21" s="81"/>
      <c r="F21" s="85">
        <v>0.15774162031917877</v>
      </c>
      <c r="G21" s="85">
        <f t="shared" si="0"/>
        <v>0.15774162031917877</v>
      </c>
      <c r="H21" s="85">
        <f t="shared" si="1"/>
        <v>0</v>
      </c>
      <c r="I21" s="81"/>
      <c r="J21" s="85">
        <v>0.18063706255215636</v>
      </c>
      <c r="K21" s="85">
        <f t="shared" si="2"/>
        <v>0.18063706255215636</v>
      </c>
      <c r="L21" s="85">
        <f t="shared" si="3"/>
        <v>0</v>
      </c>
      <c r="M21" s="81"/>
      <c r="N21" s="85">
        <v>0.39150829925427</v>
      </c>
      <c r="O21" s="85">
        <f t="shared" si="4"/>
        <v>0.39150829925427</v>
      </c>
      <c r="P21" s="85">
        <f t="shared" si="5"/>
        <v>0</v>
      </c>
      <c r="Q21" s="81"/>
      <c r="R21" s="85">
        <v>0.005988493542678561</v>
      </c>
      <c r="S21" s="85">
        <f t="shared" si="6"/>
        <v>0.005988493542678561</v>
      </c>
      <c r="T21" s="85">
        <f t="shared" si="7"/>
        <v>0</v>
      </c>
      <c r="U21" s="81"/>
      <c r="V21" s="85"/>
      <c r="W21" s="81"/>
      <c r="X21" s="85"/>
      <c r="Y21" s="81"/>
      <c r="Z21" s="85"/>
      <c r="AA21" s="81"/>
      <c r="AB21" s="85"/>
      <c r="AC21" s="81"/>
      <c r="AD21" s="86"/>
      <c r="AE21" s="81"/>
      <c r="AF21" s="86"/>
      <c r="AG21" s="81"/>
      <c r="AH21" s="86"/>
      <c r="AI21" s="81"/>
      <c r="AJ21" s="86"/>
      <c r="AK21" s="81"/>
      <c r="AL21" s="86"/>
      <c r="AM21" s="81"/>
      <c r="AN21" s="86"/>
      <c r="AO21" s="81"/>
      <c r="AP21" s="86"/>
      <c r="AQ21" s="81"/>
      <c r="AR21" s="86"/>
    </row>
    <row r="22" spans="1:44" s="80" customFormat="1" ht="12.75">
      <c r="A22" s="80" t="s">
        <v>174</v>
      </c>
      <c r="B22" s="80">
        <v>18</v>
      </c>
      <c r="C22" s="80" t="s">
        <v>215</v>
      </c>
      <c r="D22" s="84">
        <v>0</v>
      </c>
      <c r="E22" s="81"/>
      <c r="F22" s="85">
        <v>0.17446153846153845</v>
      </c>
      <c r="G22" s="85">
        <f t="shared" si="0"/>
        <v>0.17446153846153845</v>
      </c>
      <c r="H22" s="85">
        <f t="shared" si="1"/>
        <v>0</v>
      </c>
      <c r="I22" s="81"/>
      <c r="J22" s="85">
        <v>0.18941176470588234</v>
      </c>
      <c r="K22" s="85">
        <f t="shared" si="2"/>
        <v>0.18941176470588234</v>
      </c>
      <c r="L22" s="85">
        <f t="shared" si="3"/>
        <v>0</v>
      </c>
      <c r="M22" s="81"/>
      <c r="N22" s="85">
        <v>0.4</v>
      </c>
      <c r="O22" s="85">
        <f t="shared" si="4"/>
        <v>0.4</v>
      </c>
      <c r="P22" s="85">
        <f t="shared" si="5"/>
        <v>0</v>
      </c>
      <c r="Q22" s="81"/>
      <c r="R22" s="85">
        <v>0.01529230769230769</v>
      </c>
      <c r="S22" s="85">
        <f t="shared" si="6"/>
        <v>0.01529230769230769</v>
      </c>
      <c r="T22" s="85">
        <f t="shared" si="7"/>
        <v>0</v>
      </c>
      <c r="U22" s="81"/>
      <c r="V22" s="85"/>
      <c r="W22" s="81"/>
      <c r="X22" s="85"/>
      <c r="Y22" s="81"/>
      <c r="Z22" s="85"/>
      <c r="AA22" s="81"/>
      <c r="AB22" s="85"/>
      <c r="AC22" s="81"/>
      <c r="AD22" s="86"/>
      <c r="AE22" s="81"/>
      <c r="AF22" s="86"/>
      <c r="AG22" s="81"/>
      <c r="AH22" s="86"/>
      <c r="AI22" s="81"/>
      <c r="AJ22" s="86"/>
      <c r="AK22" s="81"/>
      <c r="AL22" s="86"/>
      <c r="AM22" s="81"/>
      <c r="AN22" s="86"/>
      <c r="AO22" s="81"/>
      <c r="AP22" s="86"/>
      <c r="AQ22" s="81"/>
      <c r="AR22" s="86"/>
    </row>
    <row r="23" spans="1:44" s="80" customFormat="1" ht="12.75">
      <c r="A23" s="80" t="s">
        <v>174</v>
      </c>
      <c r="B23" s="80">
        <v>19</v>
      </c>
      <c r="C23" s="80" t="s">
        <v>216</v>
      </c>
      <c r="D23" s="84">
        <v>0.05</v>
      </c>
      <c r="E23" s="81">
        <v>1</v>
      </c>
      <c r="F23" s="85">
        <v>0.04078028815209678</v>
      </c>
      <c r="G23" s="85">
        <f t="shared" si="0"/>
        <v>0.02039014407604839</v>
      </c>
      <c r="H23" s="85">
        <f t="shared" si="1"/>
        <v>0.0010195072038024194</v>
      </c>
      <c r="I23" s="81">
        <v>1</v>
      </c>
      <c r="J23" s="85">
        <v>0.04387351076862981</v>
      </c>
      <c r="K23" s="85">
        <f t="shared" si="2"/>
        <v>0.021936755384314905</v>
      </c>
      <c r="L23" s="85">
        <f t="shared" si="3"/>
        <v>0.0010968377692157454</v>
      </c>
      <c r="M23" s="81">
        <v>1</v>
      </c>
      <c r="N23" s="85">
        <v>0.042458503728650475</v>
      </c>
      <c r="O23" s="85">
        <f t="shared" si="4"/>
        <v>0.021229251864325237</v>
      </c>
      <c r="P23" s="85">
        <f t="shared" si="5"/>
        <v>0.001061462593216262</v>
      </c>
      <c r="Q23" s="81">
        <v>1</v>
      </c>
      <c r="R23" s="85">
        <v>0.04651907074814564</v>
      </c>
      <c r="S23" s="85">
        <f t="shared" si="6"/>
        <v>0.02325953537407282</v>
      </c>
      <c r="T23" s="85">
        <f t="shared" si="7"/>
        <v>0.001162976768703641</v>
      </c>
      <c r="U23" s="81"/>
      <c r="V23" s="85"/>
      <c r="W23" s="81"/>
      <c r="X23" s="85"/>
      <c r="Y23" s="81"/>
      <c r="Z23" s="85"/>
      <c r="AA23" s="81"/>
      <c r="AB23" s="85"/>
      <c r="AC23" s="81"/>
      <c r="AD23" s="86"/>
      <c r="AE23" s="81"/>
      <c r="AF23" s="86"/>
      <c r="AG23" s="81"/>
      <c r="AH23" s="86"/>
      <c r="AI23" s="81"/>
      <c r="AJ23" s="86"/>
      <c r="AK23" s="81"/>
      <c r="AL23" s="86"/>
      <c r="AM23" s="81"/>
      <c r="AN23" s="86"/>
      <c r="AO23" s="81"/>
      <c r="AP23" s="86"/>
      <c r="AQ23" s="81"/>
      <c r="AR23" s="86"/>
    </row>
    <row r="24" spans="1:44" s="80" customFormat="1" ht="12.75">
      <c r="A24" s="80" t="s">
        <v>174</v>
      </c>
      <c r="B24" s="80">
        <v>20</v>
      </c>
      <c r="C24" s="80" t="s">
        <v>217</v>
      </c>
      <c r="D24" s="84">
        <v>0.5</v>
      </c>
      <c r="E24" s="81">
        <v>1</v>
      </c>
      <c r="F24" s="85">
        <v>0.04078028815209678</v>
      </c>
      <c r="G24" s="85">
        <f t="shared" si="0"/>
        <v>0.02039014407604839</v>
      </c>
      <c r="H24" s="85">
        <f t="shared" si="1"/>
        <v>0.010195072038024194</v>
      </c>
      <c r="I24" s="81">
        <v>1</v>
      </c>
      <c r="J24" s="85">
        <v>0.04387351076862981</v>
      </c>
      <c r="K24" s="85">
        <f t="shared" si="2"/>
        <v>0.021936755384314905</v>
      </c>
      <c r="L24" s="85">
        <f t="shared" si="3"/>
        <v>0.010968377692157453</v>
      </c>
      <c r="M24" s="81">
        <v>1</v>
      </c>
      <c r="N24" s="85">
        <v>0.042458503728650475</v>
      </c>
      <c r="O24" s="85">
        <f t="shared" si="4"/>
        <v>0.021229251864325237</v>
      </c>
      <c r="P24" s="85">
        <f t="shared" si="5"/>
        <v>0.010614625932162619</v>
      </c>
      <c r="Q24" s="81">
        <v>1</v>
      </c>
      <c r="R24" s="85">
        <v>0.04651907074814564</v>
      </c>
      <c r="S24" s="85">
        <f t="shared" si="6"/>
        <v>0.02325953537407282</v>
      </c>
      <c r="T24" s="85">
        <f t="shared" si="7"/>
        <v>0.01162976768703641</v>
      </c>
      <c r="U24" s="81"/>
      <c r="V24" s="85"/>
      <c r="W24" s="81"/>
      <c r="X24" s="85"/>
      <c r="Y24" s="81"/>
      <c r="Z24" s="85"/>
      <c r="AA24" s="81"/>
      <c r="AB24" s="85"/>
      <c r="AC24" s="81"/>
      <c r="AD24" s="86"/>
      <c r="AE24" s="81"/>
      <c r="AF24" s="86"/>
      <c r="AG24" s="81"/>
      <c r="AH24" s="86"/>
      <c r="AI24" s="81"/>
      <c r="AJ24" s="86"/>
      <c r="AK24" s="81"/>
      <c r="AL24" s="86"/>
      <c r="AM24" s="81"/>
      <c r="AN24" s="86"/>
      <c r="AO24" s="81"/>
      <c r="AP24" s="86"/>
      <c r="AQ24" s="81"/>
      <c r="AR24" s="86"/>
    </row>
    <row r="25" spans="1:44" s="80" customFormat="1" ht="12.75">
      <c r="A25" s="80" t="s">
        <v>174</v>
      </c>
      <c r="B25" s="80">
        <v>21</v>
      </c>
      <c r="C25" s="80" t="s">
        <v>218</v>
      </c>
      <c r="D25" s="84">
        <v>0</v>
      </c>
      <c r="E25" s="81"/>
      <c r="F25" s="85">
        <v>-0.034175960919578176</v>
      </c>
      <c r="G25" s="85">
        <f t="shared" si="0"/>
        <v>-0.034175960919578176</v>
      </c>
      <c r="H25" s="85">
        <f t="shared" si="1"/>
        <v>0</v>
      </c>
      <c r="I25" s="81"/>
      <c r="J25" s="85">
        <v>-0.040394080360789</v>
      </c>
      <c r="K25" s="85">
        <f t="shared" si="2"/>
        <v>-0.040394080360789</v>
      </c>
      <c r="L25" s="85">
        <f t="shared" si="3"/>
        <v>0</v>
      </c>
      <c r="M25" s="81"/>
      <c r="N25" s="85">
        <v>-0.058917007457301</v>
      </c>
      <c r="O25" s="85">
        <f t="shared" si="4"/>
        <v>-0.058917007457301</v>
      </c>
      <c r="P25" s="85">
        <f t="shared" si="5"/>
        <v>0</v>
      </c>
      <c r="Q25" s="81"/>
      <c r="R25" s="85">
        <v>-0.052115064573214354</v>
      </c>
      <c r="S25" s="85">
        <f t="shared" si="6"/>
        <v>-0.052115064573214354</v>
      </c>
      <c r="T25" s="85">
        <f t="shared" si="7"/>
        <v>0</v>
      </c>
      <c r="U25" s="81"/>
      <c r="V25" s="85"/>
      <c r="W25" s="81"/>
      <c r="X25" s="85"/>
      <c r="Y25" s="81"/>
      <c r="Z25" s="85"/>
      <c r="AA25" s="81"/>
      <c r="AB25" s="85"/>
      <c r="AC25" s="81"/>
      <c r="AD25" s="86"/>
      <c r="AE25" s="81"/>
      <c r="AF25" s="86"/>
      <c r="AG25" s="81"/>
      <c r="AH25" s="86"/>
      <c r="AI25" s="81"/>
      <c r="AJ25" s="86"/>
      <c r="AK25" s="81"/>
      <c r="AL25" s="86"/>
      <c r="AM25" s="81"/>
      <c r="AN25" s="86"/>
      <c r="AO25" s="81"/>
      <c r="AP25" s="86"/>
      <c r="AQ25" s="81"/>
      <c r="AR25" s="86"/>
    </row>
    <row r="26" spans="1:44" s="80" customFormat="1" ht="12.75">
      <c r="A26" s="80" t="s">
        <v>174</v>
      </c>
      <c r="B26" s="80">
        <v>22</v>
      </c>
      <c r="C26" s="80" t="s">
        <v>219</v>
      </c>
      <c r="D26" s="84">
        <v>0</v>
      </c>
      <c r="E26" s="81"/>
      <c r="F26" s="85">
        <v>0.04738461538461538</v>
      </c>
      <c r="G26" s="85">
        <f t="shared" si="0"/>
        <v>0.04738461538461538</v>
      </c>
      <c r="H26" s="85">
        <f t="shared" si="1"/>
        <v>0</v>
      </c>
      <c r="I26" s="81"/>
      <c r="J26" s="85">
        <v>0.047352941176470584</v>
      </c>
      <c r="K26" s="85">
        <f t="shared" si="2"/>
        <v>0.047352941176470584</v>
      </c>
      <c r="L26" s="85">
        <f t="shared" si="3"/>
        <v>0</v>
      </c>
      <c r="M26" s="81"/>
      <c r="N26" s="85">
        <v>0.026</v>
      </c>
      <c r="O26" s="85">
        <f t="shared" si="4"/>
        <v>0.026</v>
      </c>
      <c r="P26" s="85">
        <f t="shared" si="5"/>
        <v>0</v>
      </c>
      <c r="Q26" s="81">
        <v>1</v>
      </c>
      <c r="R26" s="85">
        <v>0.040923076923077</v>
      </c>
      <c r="S26" s="85">
        <f t="shared" si="6"/>
        <v>0.0204615384615385</v>
      </c>
      <c r="T26" s="85">
        <f t="shared" si="7"/>
        <v>0</v>
      </c>
      <c r="U26" s="81"/>
      <c r="V26" s="85"/>
      <c r="W26" s="81"/>
      <c r="X26" s="85"/>
      <c r="Y26" s="81"/>
      <c r="Z26" s="85"/>
      <c r="AA26" s="81"/>
      <c r="AB26" s="85"/>
      <c r="AC26" s="81"/>
      <c r="AD26" s="86"/>
      <c r="AE26" s="81"/>
      <c r="AF26" s="86"/>
      <c r="AG26" s="81"/>
      <c r="AH26" s="86"/>
      <c r="AI26" s="81"/>
      <c r="AJ26" s="86"/>
      <c r="AK26" s="81"/>
      <c r="AL26" s="86"/>
      <c r="AM26" s="81"/>
      <c r="AN26" s="86"/>
      <c r="AO26" s="81"/>
      <c r="AP26" s="86"/>
      <c r="AQ26" s="81"/>
      <c r="AR26" s="86"/>
    </row>
    <row r="27" spans="1:44" s="80" customFormat="1" ht="12.75">
      <c r="A27" s="80" t="s">
        <v>174</v>
      </c>
      <c r="B27" s="80">
        <v>23</v>
      </c>
      <c r="C27" s="80" t="s">
        <v>220</v>
      </c>
      <c r="D27" s="84">
        <v>0.1</v>
      </c>
      <c r="E27" s="81">
        <v>1</v>
      </c>
      <c r="F27" s="85">
        <v>0.04078028815209678</v>
      </c>
      <c r="G27" s="85">
        <f t="shared" si="0"/>
        <v>0.02039014407604839</v>
      </c>
      <c r="H27" s="85">
        <f t="shared" si="1"/>
        <v>0.002039014407604839</v>
      </c>
      <c r="I27" s="81">
        <v>1</v>
      </c>
      <c r="J27" s="85">
        <v>0.04387351076862981</v>
      </c>
      <c r="K27" s="85">
        <f t="shared" si="2"/>
        <v>0.021936755384314905</v>
      </c>
      <c r="L27" s="85">
        <f t="shared" si="3"/>
        <v>0.0021936755384314908</v>
      </c>
      <c r="M27" s="81">
        <v>1</v>
      </c>
      <c r="N27" s="85">
        <v>0.042458503728650475</v>
      </c>
      <c r="O27" s="85">
        <f t="shared" si="4"/>
        <v>0.021229251864325237</v>
      </c>
      <c r="P27" s="85">
        <f t="shared" si="5"/>
        <v>0.002122925186432524</v>
      </c>
      <c r="Q27" s="81">
        <v>1</v>
      </c>
      <c r="R27" s="85">
        <v>0.04651907074814564</v>
      </c>
      <c r="S27" s="85">
        <f t="shared" si="6"/>
        <v>0.02325953537407282</v>
      </c>
      <c r="T27" s="85">
        <f t="shared" si="7"/>
        <v>0.002325953537407282</v>
      </c>
      <c r="U27" s="81"/>
      <c r="V27" s="85"/>
      <c r="W27" s="81"/>
      <c r="X27" s="85"/>
      <c r="Y27" s="81"/>
      <c r="Z27" s="85"/>
      <c r="AA27" s="81"/>
      <c r="AB27" s="85"/>
      <c r="AC27" s="81"/>
      <c r="AD27" s="86"/>
      <c r="AE27" s="81"/>
      <c r="AF27" s="86"/>
      <c r="AG27" s="81"/>
      <c r="AH27" s="86"/>
      <c r="AI27" s="81"/>
      <c r="AJ27" s="86"/>
      <c r="AK27" s="81"/>
      <c r="AL27" s="86"/>
      <c r="AM27" s="81"/>
      <c r="AN27" s="86"/>
      <c r="AO27" s="81"/>
      <c r="AP27" s="86"/>
      <c r="AQ27" s="81"/>
      <c r="AR27" s="86"/>
    </row>
    <row r="28" spans="1:44" s="80" customFormat="1" ht="12.75">
      <c r="A28" s="80" t="s">
        <v>174</v>
      </c>
      <c r="B28" s="80">
        <v>24</v>
      </c>
      <c r="C28" s="80" t="s">
        <v>221</v>
      </c>
      <c r="D28" s="84">
        <v>0.1</v>
      </c>
      <c r="E28" s="81">
        <v>1</v>
      </c>
      <c r="F28" s="85">
        <v>0.04078028815209678</v>
      </c>
      <c r="G28" s="85">
        <f t="shared" si="0"/>
        <v>0.02039014407604839</v>
      </c>
      <c r="H28" s="85">
        <f t="shared" si="1"/>
        <v>0.002039014407604839</v>
      </c>
      <c r="I28" s="81">
        <v>1</v>
      </c>
      <c r="J28" s="85">
        <v>0.04387351076862981</v>
      </c>
      <c r="K28" s="85">
        <f t="shared" si="2"/>
        <v>0.021936755384314905</v>
      </c>
      <c r="L28" s="85">
        <f t="shared" si="3"/>
        <v>0.0021936755384314908</v>
      </c>
      <c r="M28" s="81">
        <v>1</v>
      </c>
      <c r="N28" s="85">
        <v>0.042458503728650475</v>
      </c>
      <c r="O28" s="85">
        <f t="shared" si="4"/>
        <v>0.021229251864325237</v>
      </c>
      <c r="P28" s="85">
        <f t="shared" si="5"/>
        <v>0.002122925186432524</v>
      </c>
      <c r="Q28" s="81">
        <v>1</v>
      </c>
      <c r="R28" s="85">
        <v>0.04651907074814564</v>
      </c>
      <c r="S28" s="85">
        <f t="shared" si="6"/>
        <v>0.02325953537407282</v>
      </c>
      <c r="T28" s="85">
        <f t="shared" si="7"/>
        <v>0.002325953537407282</v>
      </c>
      <c r="U28" s="81"/>
      <c r="V28" s="85"/>
      <c r="W28" s="81"/>
      <c r="X28" s="85"/>
      <c r="Y28" s="81"/>
      <c r="Z28" s="85"/>
      <c r="AA28" s="81"/>
      <c r="AB28" s="85"/>
      <c r="AC28" s="81"/>
      <c r="AD28" s="86"/>
      <c r="AE28" s="81"/>
      <c r="AF28" s="86"/>
      <c r="AG28" s="81"/>
      <c r="AH28" s="86"/>
      <c r="AI28" s="81"/>
      <c r="AJ28" s="86"/>
      <c r="AK28" s="81"/>
      <c r="AL28" s="86"/>
      <c r="AM28" s="81"/>
      <c r="AN28" s="86"/>
      <c r="AO28" s="81"/>
      <c r="AP28" s="86"/>
      <c r="AQ28" s="81"/>
      <c r="AR28" s="86"/>
    </row>
    <row r="29" spans="1:44" s="80" customFormat="1" ht="12.75">
      <c r="A29" s="80" t="s">
        <v>174</v>
      </c>
      <c r="B29" s="80">
        <v>25</v>
      </c>
      <c r="C29" s="80" t="s">
        <v>222</v>
      </c>
      <c r="D29" s="84">
        <v>0.1</v>
      </c>
      <c r="E29" s="81">
        <v>1</v>
      </c>
      <c r="F29" s="85">
        <v>0.04078028815209678</v>
      </c>
      <c r="G29" s="85">
        <f t="shared" si="0"/>
        <v>0.02039014407604839</v>
      </c>
      <c r="H29" s="85">
        <f t="shared" si="1"/>
        <v>0.002039014407604839</v>
      </c>
      <c r="I29" s="81">
        <v>1</v>
      </c>
      <c r="J29" s="85">
        <v>0.04387351076862981</v>
      </c>
      <c r="K29" s="85">
        <f t="shared" si="2"/>
        <v>0.021936755384314905</v>
      </c>
      <c r="L29" s="85">
        <f t="shared" si="3"/>
        <v>0.0021936755384314908</v>
      </c>
      <c r="M29" s="81">
        <v>1</v>
      </c>
      <c r="N29" s="85">
        <v>0.042458503728650475</v>
      </c>
      <c r="O29" s="85">
        <f t="shared" si="4"/>
        <v>0.021229251864325237</v>
      </c>
      <c r="P29" s="85">
        <f t="shared" si="5"/>
        <v>0.002122925186432524</v>
      </c>
      <c r="Q29" s="81">
        <v>1</v>
      </c>
      <c r="R29" s="85">
        <v>0.04651907074814564</v>
      </c>
      <c r="S29" s="85">
        <f t="shared" si="6"/>
        <v>0.02325953537407282</v>
      </c>
      <c r="T29" s="85">
        <f t="shared" si="7"/>
        <v>0.002325953537407282</v>
      </c>
      <c r="U29" s="81"/>
      <c r="V29" s="85"/>
      <c r="W29" s="81"/>
      <c r="X29" s="85"/>
      <c r="Y29" s="81"/>
      <c r="Z29" s="85"/>
      <c r="AA29" s="81"/>
      <c r="AB29" s="85"/>
      <c r="AC29" s="81"/>
      <c r="AD29" s="86"/>
      <c r="AE29" s="81"/>
      <c r="AF29" s="86"/>
      <c r="AG29" s="81"/>
      <c r="AH29" s="86"/>
      <c r="AI29" s="81"/>
      <c r="AJ29" s="86"/>
      <c r="AK29" s="81"/>
      <c r="AL29" s="86"/>
      <c r="AM29" s="81"/>
      <c r="AN29" s="86"/>
      <c r="AO29" s="81"/>
      <c r="AP29" s="86"/>
      <c r="AQ29" s="81"/>
      <c r="AR29" s="86"/>
    </row>
    <row r="30" spans="1:44" s="80" customFormat="1" ht="12.75">
      <c r="A30" s="80" t="s">
        <v>174</v>
      </c>
      <c r="B30" s="80">
        <v>26</v>
      </c>
      <c r="C30" s="80" t="s">
        <v>223</v>
      </c>
      <c r="D30" s="84">
        <v>0.1</v>
      </c>
      <c r="E30" s="81">
        <v>1</v>
      </c>
      <c r="F30" s="85">
        <v>0.04078028815209678</v>
      </c>
      <c r="G30" s="85">
        <f t="shared" si="0"/>
        <v>0.02039014407604839</v>
      </c>
      <c r="H30" s="85">
        <f t="shared" si="1"/>
        <v>0.002039014407604839</v>
      </c>
      <c r="I30" s="81">
        <v>1</v>
      </c>
      <c r="J30" s="85">
        <v>0.04387351076862981</v>
      </c>
      <c r="K30" s="85">
        <f t="shared" si="2"/>
        <v>0.021936755384314905</v>
      </c>
      <c r="L30" s="85">
        <f t="shared" si="3"/>
        <v>0.0021936755384314908</v>
      </c>
      <c r="M30" s="81">
        <v>1</v>
      </c>
      <c r="N30" s="85">
        <v>0.042458503728650475</v>
      </c>
      <c r="O30" s="85">
        <f t="shared" si="4"/>
        <v>0.021229251864325237</v>
      </c>
      <c r="P30" s="85">
        <f t="shared" si="5"/>
        <v>0.002122925186432524</v>
      </c>
      <c r="Q30" s="81">
        <v>1</v>
      </c>
      <c r="R30" s="85">
        <v>0.04651907074814564</v>
      </c>
      <c r="S30" s="85">
        <f t="shared" si="6"/>
        <v>0.02325953537407282</v>
      </c>
      <c r="T30" s="85">
        <f t="shared" si="7"/>
        <v>0.002325953537407282</v>
      </c>
      <c r="U30" s="81"/>
      <c r="V30" s="85"/>
      <c r="W30" s="81"/>
      <c r="X30" s="85"/>
      <c r="Y30" s="81"/>
      <c r="Z30" s="85"/>
      <c r="AA30" s="81"/>
      <c r="AB30" s="85"/>
      <c r="AC30" s="81"/>
      <c r="AD30" s="86"/>
      <c r="AE30" s="81"/>
      <c r="AF30" s="86"/>
      <c r="AG30" s="81"/>
      <c r="AH30" s="86"/>
      <c r="AI30" s="81"/>
      <c r="AJ30" s="86"/>
      <c r="AK30" s="81"/>
      <c r="AL30" s="86"/>
      <c r="AM30" s="81"/>
      <c r="AN30" s="86"/>
      <c r="AO30" s="81"/>
      <c r="AP30" s="86"/>
      <c r="AQ30" s="81"/>
      <c r="AR30" s="86"/>
    </row>
    <row r="31" spans="1:44" s="80" customFormat="1" ht="12.75">
      <c r="A31" s="80" t="s">
        <v>174</v>
      </c>
      <c r="B31" s="80">
        <v>27</v>
      </c>
      <c r="C31" s="80" t="s">
        <v>224</v>
      </c>
      <c r="D31" s="84">
        <v>0</v>
      </c>
      <c r="E31" s="81"/>
      <c r="F31" s="85">
        <v>-0.10712115260838712</v>
      </c>
      <c r="G31" s="85">
        <f t="shared" si="0"/>
        <v>-0.10712115260838712</v>
      </c>
      <c r="H31" s="85">
        <f t="shared" si="1"/>
        <v>0</v>
      </c>
      <c r="I31" s="81"/>
      <c r="J31" s="85">
        <v>-0.13225874895687217</v>
      </c>
      <c r="K31" s="85">
        <f t="shared" si="2"/>
        <v>-0.13225874895687217</v>
      </c>
      <c r="L31" s="85">
        <f t="shared" si="3"/>
        <v>0</v>
      </c>
      <c r="M31" s="81"/>
      <c r="N31" s="85">
        <v>-0.12783401491460192</v>
      </c>
      <c r="O31" s="85">
        <f t="shared" si="4"/>
        <v>-0.12783401491460192</v>
      </c>
      <c r="P31" s="85">
        <f t="shared" si="5"/>
        <v>0</v>
      </c>
      <c r="Q31" s="81"/>
      <c r="R31" s="85">
        <v>-0.02884551376181335</v>
      </c>
      <c r="S31" s="85">
        <f t="shared" si="6"/>
        <v>-0.02884551376181335</v>
      </c>
      <c r="T31" s="85">
        <f t="shared" si="7"/>
        <v>0</v>
      </c>
      <c r="U31" s="81"/>
      <c r="V31" s="85"/>
      <c r="W31" s="81"/>
      <c r="X31" s="85"/>
      <c r="Y31" s="81"/>
      <c r="Z31" s="85"/>
      <c r="AA31" s="81"/>
      <c r="AB31" s="85"/>
      <c r="AC31" s="81"/>
      <c r="AD31" s="86"/>
      <c r="AE31" s="81"/>
      <c r="AF31" s="86"/>
      <c r="AG31" s="81"/>
      <c r="AH31" s="86"/>
      <c r="AI31" s="81"/>
      <c r="AJ31" s="86"/>
      <c r="AK31" s="81"/>
      <c r="AL31" s="86"/>
      <c r="AM31" s="81"/>
      <c r="AN31" s="86"/>
      <c r="AO31" s="81"/>
      <c r="AP31" s="86"/>
      <c r="AQ31" s="81"/>
      <c r="AR31" s="86"/>
    </row>
    <row r="32" spans="1:44" s="80" customFormat="1" ht="12.75">
      <c r="A32" s="80" t="s">
        <v>174</v>
      </c>
      <c r="B32" s="80">
        <v>28</v>
      </c>
      <c r="C32" s="80" t="s">
        <v>225</v>
      </c>
      <c r="D32" s="84">
        <v>0</v>
      </c>
      <c r="E32" s="81"/>
      <c r="F32" s="85">
        <v>0.056</v>
      </c>
      <c r="G32" s="85">
        <f t="shared" si="0"/>
        <v>0.056</v>
      </c>
      <c r="H32" s="85">
        <f t="shared" si="1"/>
        <v>0</v>
      </c>
      <c r="I32" s="81">
        <v>1</v>
      </c>
      <c r="J32" s="85">
        <v>0.043235294117647</v>
      </c>
      <c r="K32" s="85">
        <f t="shared" si="2"/>
        <v>0.0216176470588235</v>
      </c>
      <c r="L32" s="85">
        <f t="shared" si="3"/>
        <v>0</v>
      </c>
      <c r="M32" s="81">
        <v>1</v>
      </c>
      <c r="N32" s="85">
        <v>0.042</v>
      </c>
      <c r="O32" s="85">
        <f t="shared" si="4"/>
        <v>0.021</v>
      </c>
      <c r="P32" s="85">
        <f t="shared" si="5"/>
        <v>0</v>
      </c>
      <c r="Q32" s="81"/>
      <c r="R32" s="85">
        <v>0.15723076923077</v>
      </c>
      <c r="S32" s="85">
        <f t="shared" si="6"/>
        <v>0.15723076923077</v>
      </c>
      <c r="T32" s="85">
        <f t="shared" si="7"/>
        <v>0</v>
      </c>
      <c r="U32" s="81"/>
      <c r="V32" s="85"/>
      <c r="W32" s="81"/>
      <c r="X32" s="85"/>
      <c r="Y32" s="81"/>
      <c r="Z32" s="85"/>
      <c r="AA32" s="81"/>
      <c r="AB32" s="85"/>
      <c r="AC32" s="81"/>
      <c r="AD32" s="86"/>
      <c r="AE32" s="81"/>
      <c r="AF32" s="86"/>
      <c r="AG32" s="81"/>
      <c r="AH32" s="86"/>
      <c r="AI32" s="81"/>
      <c r="AJ32" s="86"/>
      <c r="AK32" s="81"/>
      <c r="AL32" s="86"/>
      <c r="AM32" s="81"/>
      <c r="AN32" s="86"/>
      <c r="AO32" s="81"/>
      <c r="AP32" s="86"/>
      <c r="AQ32" s="81"/>
      <c r="AR32" s="86"/>
    </row>
    <row r="33" spans="1:44" s="80" customFormat="1" ht="12.75">
      <c r="A33" s="80" t="s">
        <v>174</v>
      </c>
      <c r="B33" s="80">
        <v>29</v>
      </c>
      <c r="C33" s="80" t="s">
        <v>226</v>
      </c>
      <c r="D33" s="84">
        <v>0.01</v>
      </c>
      <c r="E33" s="81">
        <v>1</v>
      </c>
      <c r="F33" s="85">
        <v>0.04078028815209678</v>
      </c>
      <c r="G33" s="85">
        <f t="shared" si="0"/>
        <v>0.02039014407604839</v>
      </c>
      <c r="H33" s="85">
        <f t="shared" si="1"/>
        <v>0.0002039014407604839</v>
      </c>
      <c r="I33" s="81">
        <v>1</v>
      </c>
      <c r="J33" s="85">
        <v>0.04387351076862981</v>
      </c>
      <c r="K33" s="85">
        <f t="shared" si="2"/>
        <v>0.021936755384314905</v>
      </c>
      <c r="L33" s="85">
        <f t="shared" si="3"/>
        <v>0.00021936755384314907</v>
      </c>
      <c r="M33" s="81">
        <v>1</v>
      </c>
      <c r="N33" s="85">
        <v>0.042458503728650475</v>
      </c>
      <c r="O33" s="85">
        <f t="shared" si="4"/>
        <v>0.021229251864325237</v>
      </c>
      <c r="P33" s="85">
        <f t="shared" si="5"/>
        <v>0.0002122925186432524</v>
      </c>
      <c r="Q33" s="81"/>
      <c r="R33" s="85">
        <v>0.12187996536014158</v>
      </c>
      <c r="S33" s="85">
        <f t="shared" si="6"/>
        <v>0.12187996536014158</v>
      </c>
      <c r="T33" s="85">
        <f t="shared" si="7"/>
        <v>0.0012187996536014158</v>
      </c>
      <c r="U33" s="81"/>
      <c r="V33" s="85"/>
      <c r="W33" s="81"/>
      <c r="X33" s="85"/>
      <c r="Y33" s="81"/>
      <c r="Z33" s="85"/>
      <c r="AA33" s="81"/>
      <c r="AB33" s="85"/>
      <c r="AC33" s="81"/>
      <c r="AD33" s="86"/>
      <c r="AE33" s="81"/>
      <c r="AF33" s="86"/>
      <c r="AG33" s="81"/>
      <c r="AH33" s="86"/>
      <c r="AI33" s="81"/>
      <c r="AJ33" s="86"/>
      <c r="AK33" s="81"/>
      <c r="AL33" s="86"/>
      <c r="AM33" s="81"/>
      <c r="AN33" s="86"/>
      <c r="AO33" s="81"/>
      <c r="AP33" s="86"/>
      <c r="AQ33" s="81"/>
      <c r="AR33" s="86"/>
    </row>
    <row r="34" spans="1:44" s="80" customFormat="1" ht="12.75">
      <c r="A34" s="80" t="s">
        <v>174</v>
      </c>
      <c r="B34" s="80">
        <v>30</v>
      </c>
      <c r="C34" s="80" t="s">
        <v>227</v>
      </c>
      <c r="D34" s="84">
        <v>0.01</v>
      </c>
      <c r="E34" s="81"/>
      <c r="F34" s="85">
        <v>0.047305134256432256</v>
      </c>
      <c r="G34" s="85">
        <f t="shared" si="0"/>
        <v>0.047305134256432256</v>
      </c>
      <c r="H34" s="85">
        <f t="shared" si="1"/>
        <v>0.00047305134256432255</v>
      </c>
      <c r="I34" s="81">
        <v>1</v>
      </c>
      <c r="J34" s="85">
        <v>0.04387351076862981</v>
      </c>
      <c r="K34" s="85">
        <f t="shared" si="2"/>
        <v>0.021936755384314905</v>
      </c>
      <c r="L34" s="85">
        <f t="shared" si="3"/>
        <v>0.00021936755384314907</v>
      </c>
      <c r="M34" s="81">
        <v>1</v>
      </c>
      <c r="N34" s="85">
        <v>0.042458503728650475</v>
      </c>
      <c r="O34" s="85">
        <f t="shared" si="4"/>
        <v>0.021229251864325237</v>
      </c>
      <c r="P34" s="85">
        <f t="shared" si="5"/>
        <v>0.0002122925186432524</v>
      </c>
      <c r="Q34" s="81"/>
      <c r="R34" s="85">
        <v>0.09303814149629128</v>
      </c>
      <c r="S34" s="85">
        <f t="shared" si="6"/>
        <v>0.09303814149629128</v>
      </c>
      <c r="T34" s="85">
        <f t="shared" si="7"/>
        <v>0.0009303814149629128</v>
      </c>
      <c r="U34" s="81"/>
      <c r="V34" s="85"/>
      <c r="W34" s="81"/>
      <c r="X34" s="85"/>
      <c r="Y34" s="81"/>
      <c r="Z34" s="85"/>
      <c r="AA34" s="81"/>
      <c r="AB34" s="85"/>
      <c r="AC34" s="81"/>
      <c r="AD34" s="86"/>
      <c r="AE34" s="81"/>
      <c r="AF34" s="86"/>
      <c r="AG34" s="81"/>
      <c r="AH34" s="86"/>
      <c r="AI34" s="81"/>
      <c r="AJ34" s="86"/>
      <c r="AK34" s="81"/>
      <c r="AL34" s="86"/>
      <c r="AM34" s="81"/>
      <c r="AN34" s="86"/>
      <c r="AO34" s="81"/>
      <c r="AP34" s="86"/>
      <c r="AQ34" s="81"/>
      <c r="AR34" s="86"/>
    </row>
    <row r="35" spans="1:44" s="80" customFormat="1" ht="12.75">
      <c r="A35" s="80" t="s">
        <v>174</v>
      </c>
      <c r="B35" s="80">
        <v>31</v>
      </c>
      <c r="C35" s="80" t="s">
        <v>228</v>
      </c>
      <c r="D35" s="84">
        <v>0</v>
      </c>
      <c r="E35" s="81"/>
      <c r="F35" s="85">
        <v>-0.042854653177759806</v>
      </c>
      <c r="G35" s="85">
        <f t="shared" si="0"/>
        <v>-0.042854653177759806</v>
      </c>
      <c r="H35" s="85">
        <f t="shared" si="1"/>
        <v>0</v>
      </c>
      <c r="I35" s="81"/>
      <c r="J35" s="85">
        <v>-0.04451172741961257</v>
      </c>
      <c r="K35" s="85">
        <f t="shared" si="2"/>
        <v>-0.04451172741961257</v>
      </c>
      <c r="L35" s="85">
        <f t="shared" si="3"/>
        <v>0</v>
      </c>
      <c r="M35" s="81"/>
      <c r="N35" s="85">
        <v>0.9750829925427</v>
      </c>
      <c r="O35" s="85">
        <f t="shared" si="4"/>
        <v>0.9750829925427</v>
      </c>
      <c r="P35" s="85">
        <f t="shared" si="5"/>
        <v>0</v>
      </c>
      <c r="Q35" s="81"/>
      <c r="R35" s="85">
        <v>0.08662035468202862</v>
      </c>
      <c r="S35" s="85">
        <f t="shared" si="6"/>
        <v>0.08662035468202862</v>
      </c>
      <c r="T35" s="85">
        <f t="shared" si="7"/>
        <v>0</v>
      </c>
      <c r="U35" s="81"/>
      <c r="V35" s="85"/>
      <c r="W35" s="81"/>
      <c r="X35" s="85"/>
      <c r="Y35" s="81"/>
      <c r="Z35" s="85"/>
      <c r="AA35" s="81"/>
      <c r="AB35" s="85"/>
      <c r="AC35" s="81"/>
      <c r="AD35" s="86"/>
      <c r="AE35" s="81"/>
      <c r="AF35" s="86"/>
      <c r="AG35" s="81"/>
      <c r="AH35" s="86"/>
      <c r="AI35" s="81"/>
      <c r="AJ35" s="86"/>
      <c r="AK35" s="81"/>
      <c r="AL35" s="86"/>
      <c r="AM35" s="81"/>
      <c r="AN35" s="86"/>
      <c r="AO35" s="81"/>
      <c r="AP35" s="86"/>
      <c r="AQ35" s="81"/>
      <c r="AR35" s="86"/>
    </row>
    <row r="36" spans="1:44" s="80" customFormat="1" ht="12.75">
      <c r="A36" s="80" t="s">
        <v>174</v>
      </c>
      <c r="B36" s="80">
        <v>32</v>
      </c>
      <c r="C36" s="80" t="s">
        <v>229</v>
      </c>
      <c r="D36" s="84">
        <v>0</v>
      </c>
      <c r="E36" s="81">
        <v>1</v>
      </c>
      <c r="F36" s="85">
        <v>0.04523076923076923</v>
      </c>
      <c r="G36" s="85">
        <f t="shared" si="0"/>
        <v>0.022615384615384614</v>
      </c>
      <c r="H36" s="85">
        <f t="shared" si="1"/>
        <v>0</v>
      </c>
      <c r="I36" s="81">
        <v>1</v>
      </c>
      <c r="J36" s="85">
        <v>0.043235294117647</v>
      </c>
      <c r="K36" s="85">
        <f t="shared" si="2"/>
        <v>0.0216176470588235</v>
      </c>
      <c r="L36" s="85">
        <f t="shared" si="3"/>
        <v>0</v>
      </c>
      <c r="M36" s="81"/>
      <c r="N36" s="85">
        <v>1.06</v>
      </c>
      <c r="O36" s="85">
        <f t="shared" si="4"/>
        <v>1.06</v>
      </c>
      <c r="P36" s="85">
        <f t="shared" si="5"/>
        <v>0</v>
      </c>
      <c r="Q36" s="81"/>
      <c r="R36" s="85">
        <v>0.3015384615384615</v>
      </c>
      <c r="S36" s="85">
        <f t="shared" si="6"/>
        <v>0.3015384615384615</v>
      </c>
      <c r="T36" s="85">
        <f t="shared" si="7"/>
        <v>0</v>
      </c>
      <c r="U36" s="81"/>
      <c r="V36" s="85"/>
      <c r="W36" s="81"/>
      <c r="X36" s="85"/>
      <c r="Y36" s="81"/>
      <c r="Z36" s="85"/>
      <c r="AA36" s="81"/>
      <c r="AB36" s="85"/>
      <c r="AC36" s="81"/>
      <c r="AD36" s="86"/>
      <c r="AE36" s="81"/>
      <c r="AF36" s="86"/>
      <c r="AG36" s="81"/>
      <c r="AH36" s="86"/>
      <c r="AI36" s="81"/>
      <c r="AJ36" s="86"/>
      <c r="AK36" s="81"/>
      <c r="AL36" s="86"/>
      <c r="AM36" s="81"/>
      <c r="AN36" s="86"/>
      <c r="AO36" s="81"/>
      <c r="AP36" s="86"/>
      <c r="AQ36" s="81"/>
      <c r="AR36" s="86"/>
    </row>
    <row r="37" spans="1:44" s="80" customFormat="1" ht="12.75">
      <c r="A37" s="80" t="s">
        <v>174</v>
      </c>
      <c r="B37" s="80">
        <v>33</v>
      </c>
      <c r="C37" s="80" t="s">
        <v>230</v>
      </c>
      <c r="D37" s="84">
        <v>0.001</v>
      </c>
      <c r="E37" s="81">
        <v>1</v>
      </c>
      <c r="F37" s="85">
        <v>0.09046153846153845</v>
      </c>
      <c r="G37" s="85">
        <f t="shared" si="0"/>
        <v>0.04523076923076923</v>
      </c>
      <c r="H37" s="85">
        <f t="shared" si="1"/>
        <v>4.523076923076923E-05</v>
      </c>
      <c r="I37" s="81">
        <v>1</v>
      </c>
      <c r="J37" s="85">
        <v>0.0864705882352941</v>
      </c>
      <c r="K37" s="85">
        <f t="shared" si="2"/>
        <v>0.04323529411764705</v>
      </c>
      <c r="L37" s="85">
        <f t="shared" si="3"/>
        <v>4.3235294117647055E-05</v>
      </c>
      <c r="M37" s="81"/>
      <c r="N37" s="85">
        <v>0.4</v>
      </c>
      <c r="O37" s="85">
        <f t="shared" si="4"/>
        <v>0.4</v>
      </c>
      <c r="P37" s="85">
        <f t="shared" si="5"/>
        <v>0.0004</v>
      </c>
      <c r="Q37" s="81"/>
      <c r="R37" s="85">
        <v>0.06461538461538462</v>
      </c>
      <c r="S37" s="85">
        <f t="shared" si="6"/>
        <v>0.06461538461538462</v>
      </c>
      <c r="T37" s="85">
        <f t="shared" si="7"/>
        <v>6.461538461538462E-05</v>
      </c>
      <c r="U37" s="81"/>
      <c r="V37" s="85"/>
      <c r="W37" s="81"/>
      <c r="X37" s="85"/>
      <c r="Y37" s="81"/>
      <c r="Z37" s="85"/>
      <c r="AA37" s="81"/>
      <c r="AB37" s="85"/>
      <c r="AC37" s="81"/>
      <c r="AD37" s="86"/>
      <c r="AE37" s="81"/>
      <c r="AF37" s="86"/>
      <c r="AG37" s="81"/>
      <c r="AH37" s="86"/>
      <c r="AI37" s="81"/>
      <c r="AJ37" s="86"/>
      <c r="AK37" s="81"/>
      <c r="AL37" s="86"/>
      <c r="AM37" s="81"/>
      <c r="AN37" s="86"/>
      <c r="AO37" s="81"/>
      <c r="AP37" s="86"/>
      <c r="AQ37" s="81"/>
      <c r="AR37" s="86"/>
    </row>
    <row r="38" spans="1:44" s="80" customFormat="1" ht="12.75">
      <c r="A38" s="80" t="s">
        <v>174</v>
      </c>
      <c r="B38" s="80">
        <v>34</v>
      </c>
      <c r="C38" s="80" t="s">
        <v>231</v>
      </c>
      <c r="D38" s="84"/>
      <c r="E38" s="81"/>
      <c r="F38" s="85">
        <v>0.6554153846153845</v>
      </c>
      <c r="G38" s="85">
        <f>SUM(G37,G36,G32,G26,G22,G19,G18,G15,G10,G7)</f>
        <v>0.47449230769230766</v>
      </c>
      <c r="H38" s="85"/>
      <c r="I38" s="81"/>
      <c r="J38" s="85">
        <v>0.6485294117647058</v>
      </c>
      <c r="K38" s="85">
        <f>SUM(K37,K36,K32,K26,K22,K19,K18,K15,K10,K7)</f>
        <v>0.45397058823529396</v>
      </c>
      <c r="L38" s="85"/>
      <c r="M38" s="81"/>
      <c r="N38" s="85">
        <v>2.2776</v>
      </c>
      <c r="O38" s="85">
        <f>SUM(O37,O36,O32,O26,O22,O19,O18,O15,O10,O7)</f>
        <v>2.2146</v>
      </c>
      <c r="P38" s="85"/>
      <c r="Q38" s="81"/>
      <c r="R38" s="85">
        <v>0.8051076923076923</v>
      </c>
      <c r="S38" s="85">
        <f>SUM(S37,S36,S32,S26,S22,S19,S18,S15,S10,S7)</f>
        <v>0.6988153846153856</v>
      </c>
      <c r="T38" s="85"/>
      <c r="U38" s="81"/>
      <c r="V38" s="85"/>
      <c r="W38" s="81"/>
      <c r="X38" s="85"/>
      <c r="Y38" s="81"/>
      <c r="Z38" s="85"/>
      <c r="AA38" s="81"/>
      <c r="AB38" s="85"/>
      <c r="AC38" s="81"/>
      <c r="AD38" s="86"/>
      <c r="AE38" s="81"/>
      <c r="AF38" s="86"/>
      <c r="AG38" s="81"/>
      <c r="AH38" s="86"/>
      <c r="AI38" s="81"/>
      <c r="AJ38" s="86"/>
      <c r="AK38" s="81"/>
      <c r="AL38" s="86"/>
      <c r="AM38" s="81"/>
      <c r="AN38" s="86"/>
      <c r="AO38" s="81"/>
      <c r="AP38" s="86"/>
      <c r="AQ38" s="81"/>
      <c r="AR38" s="86"/>
    </row>
    <row r="39" spans="1:44" s="80" customFormat="1" ht="12.75">
      <c r="A39" s="80" t="s">
        <v>174</v>
      </c>
      <c r="B39" s="80">
        <v>35</v>
      </c>
      <c r="C39" s="80" t="s">
        <v>27</v>
      </c>
      <c r="D39" s="84"/>
      <c r="E39" s="82">
        <f>(F39-H39)*2/F39*100</f>
        <v>97.40507883530321</v>
      </c>
      <c r="F39" s="85">
        <v>0.082663133893354</v>
      </c>
      <c r="G39" s="85"/>
      <c r="H39" s="85">
        <f>SUM(H5:H37)</f>
        <v>0.04240408852507714</v>
      </c>
      <c r="I39" s="82">
        <f>(J39-L39)*2/J39*100</f>
        <v>99.99999999999999</v>
      </c>
      <c r="J39" s="85">
        <v>0.08791996271373022</v>
      </c>
      <c r="K39" s="85"/>
      <c r="L39" s="85">
        <f>SUM(L5:L37)</f>
        <v>0.043959981356865116</v>
      </c>
      <c r="M39" s="82">
        <f>(N39-P39)*2/N39*100</f>
        <v>98.40666523574757</v>
      </c>
      <c r="N39" s="85">
        <v>0.085429007457301</v>
      </c>
      <c r="O39" s="85"/>
      <c r="P39" s="85">
        <f>SUM(P5:P37)</f>
        <v>0.04339508876593699</v>
      </c>
      <c r="Q39" s="82">
        <f>(R39-T39)*2/R39*100</f>
        <v>97.65496116650803</v>
      </c>
      <c r="R39" s="85">
        <v>0.09440340268835425</v>
      </c>
      <c r="S39" s="85"/>
      <c r="T39" s="85">
        <f>SUM(T5:T37)</f>
        <v>0.048308599570766976</v>
      </c>
      <c r="U39" s="81"/>
      <c r="V39" s="85"/>
      <c r="W39" s="81"/>
      <c r="X39" s="85"/>
      <c r="Y39" s="81"/>
      <c r="Z39" s="85"/>
      <c r="AA39" s="81"/>
      <c r="AB39" s="85"/>
      <c r="AC39" s="81"/>
      <c r="AD39" s="86"/>
      <c r="AE39" s="81"/>
      <c r="AF39" s="86"/>
      <c r="AG39" s="81"/>
      <c r="AH39" s="86"/>
      <c r="AI39" s="81"/>
      <c r="AJ39" s="86"/>
      <c r="AK39" s="81"/>
      <c r="AL39" s="86"/>
      <c r="AM39" s="81"/>
      <c r="AN39" s="86"/>
      <c r="AO39" s="81"/>
      <c r="AP39" s="86"/>
      <c r="AQ39" s="81"/>
      <c r="AR39" s="86"/>
    </row>
  </sheetData>
  <mergeCells count="4">
    <mergeCell ref="F2:H2"/>
    <mergeCell ref="J2:L2"/>
    <mergeCell ref="N2:P2"/>
    <mergeCell ref="R2:T2"/>
  </mergeCells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53"/>
  <sheetViews>
    <sheetView workbookViewId="0" topLeftCell="B1">
      <selection activeCell="B31" sqref="B31"/>
    </sheetView>
  </sheetViews>
  <sheetFormatPr defaultColWidth="9.140625" defaultRowHeight="12.75"/>
  <cols>
    <col min="1" max="1" width="3.28125" style="1" hidden="1" customWidth="1"/>
    <col min="2" max="2" width="25.28125" style="1" customWidth="1"/>
    <col min="3" max="3" width="63.8515625" style="1" customWidth="1"/>
    <col min="4" max="16384" width="8.8515625" style="1" customWidth="1"/>
  </cols>
  <sheetData>
    <row r="1" spans="2:12" ht="12.75">
      <c r="B1" s="6" t="s">
        <v>71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12.75">
      <c r="B3" s="12" t="s">
        <v>103</v>
      </c>
      <c r="C3" s="13">
        <v>344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2" t="s">
        <v>0</v>
      </c>
      <c r="C4" s="12" t="s">
        <v>145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1</v>
      </c>
      <c r="C5" s="42" t="s">
        <v>235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2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2" t="s">
        <v>3</v>
      </c>
      <c r="C7" s="12" t="s">
        <v>142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12.75">
      <c r="B8" s="12" t="s">
        <v>4</v>
      </c>
      <c r="C8" s="12" t="s">
        <v>143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12.75">
      <c r="B9" s="12" t="s">
        <v>5</v>
      </c>
      <c r="C9" s="12" t="s">
        <v>144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2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2" t="s">
        <v>265</v>
      </c>
      <c r="C11" s="13">
        <v>0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12" t="s">
        <v>233</v>
      </c>
      <c r="C12" s="12" t="s">
        <v>281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2.75">
      <c r="B13" s="12" t="s">
        <v>234</v>
      </c>
      <c r="C13" s="12" t="s">
        <v>132</v>
      </c>
      <c r="D13" s="12"/>
      <c r="E13" s="12"/>
      <c r="F13" s="12"/>
      <c r="G13" s="12"/>
      <c r="H13" s="12"/>
      <c r="I13" s="12"/>
      <c r="J13" s="12"/>
      <c r="K13" s="12"/>
      <c r="L13" s="12"/>
    </row>
    <row r="14" spans="2:12" s="43" customFormat="1" ht="25.5">
      <c r="B14" s="42" t="s">
        <v>61</v>
      </c>
      <c r="C14" s="42" t="s">
        <v>256</v>
      </c>
      <c r="D14" s="42"/>
      <c r="E14" s="42"/>
      <c r="F14" s="42"/>
      <c r="G14" s="42"/>
      <c r="H14" s="42"/>
      <c r="I14" s="42"/>
      <c r="J14" s="42"/>
      <c r="K14" s="42"/>
      <c r="L14" s="42"/>
    </row>
    <row r="15" spans="2:12" s="43" customFormat="1" ht="12.7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12" s="43" customFormat="1" ht="12.75">
      <c r="B16" s="42" t="s">
        <v>68</v>
      </c>
      <c r="C16" s="44"/>
      <c r="D16" s="42"/>
      <c r="E16" s="42"/>
      <c r="F16" s="42"/>
      <c r="G16" s="42"/>
      <c r="H16" s="42"/>
      <c r="I16" s="42"/>
      <c r="J16" s="42"/>
      <c r="K16" s="42"/>
      <c r="L16" s="42"/>
    </row>
    <row r="17" spans="2:12" s="43" customFormat="1" ht="12.75">
      <c r="B17" s="12" t="s">
        <v>72</v>
      </c>
      <c r="C17" s="42"/>
      <c r="F17" s="42"/>
      <c r="G17" s="42"/>
      <c r="H17" s="42"/>
      <c r="I17" s="42"/>
      <c r="J17" s="42"/>
      <c r="K17" s="42"/>
      <c r="L17" s="42"/>
    </row>
    <row r="18" spans="2:12" s="43" customFormat="1" ht="12.75">
      <c r="B18" s="12" t="s">
        <v>266</v>
      </c>
      <c r="C18" s="42" t="s">
        <v>98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2:12" s="43" customFormat="1" ht="12.75">
      <c r="B19" s="12" t="s">
        <v>267</v>
      </c>
      <c r="C19" s="42" t="s">
        <v>268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2:12" ht="25.5">
      <c r="B20" s="42" t="s">
        <v>7</v>
      </c>
      <c r="C20" s="42" t="s">
        <v>255</v>
      </c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2.75">
      <c r="B21" s="12" t="s">
        <v>66</v>
      </c>
      <c r="C21" s="12" t="s">
        <v>269</v>
      </c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2.75">
      <c r="B22" s="12" t="s">
        <v>73</v>
      </c>
      <c r="C22" s="48" t="s">
        <v>134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2.75">
      <c r="B23" s="12" t="s">
        <v>67</v>
      </c>
      <c r="C23" s="1" t="s">
        <v>270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2.75" customHeight="1">
      <c r="B24" s="12"/>
      <c r="C24" s="12" t="s">
        <v>157</v>
      </c>
      <c r="D24" s="12"/>
      <c r="E24" s="12"/>
      <c r="F24" s="12"/>
      <c r="G24" s="12"/>
      <c r="H24" s="12"/>
      <c r="I24" s="12"/>
      <c r="J24" s="12"/>
      <c r="K24" s="12"/>
      <c r="L24" s="12"/>
    </row>
    <row r="25" spans="2:12" ht="12.7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25.5">
      <c r="B26" s="55" t="s">
        <v>8</v>
      </c>
      <c r="C26" s="44" t="s">
        <v>156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2.75">
      <c r="B27" s="55" t="s">
        <v>9</v>
      </c>
      <c r="C27" s="47">
        <v>4.5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55" t="s">
        <v>10</v>
      </c>
      <c r="C28" s="13">
        <v>100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2.75">
      <c r="B29" s="55" t="s">
        <v>69</v>
      </c>
      <c r="C29" s="14">
        <v>9.75</v>
      </c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4.25" customHeight="1">
      <c r="B30" s="55" t="s">
        <v>70</v>
      </c>
      <c r="C30" s="71">
        <f>'emiss 1'!O52</f>
        <v>193.66666666666666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2" customHeight="1">
      <c r="B31" s="5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2.75">
      <c r="B32" s="55" t="s">
        <v>11</v>
      </c>
      <c r="C32" s="12" t="s">
        <v>159</v>
      </c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25.5">
      <c r="B33" s="55" t="s">
        <v>85</v>
      </c>
      <c r="C33" s="42" t="s">
        <v>293</v>
      </c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3:12" ht="12.75"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45" spans="2:12" ht="12.7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ht="12.75">
      <c r="B46" s="12"/>
      <c r="C46" s="15"/>
      <c r="D46" s="12"/>
      <c r="E46" s="12"/>
      <c r="F46" s="12"/>
      <c r="G46" s="12"/>
      <c r="H46" s="12"/>
      <c r="I46" s="12"/>
      <c r="J46" s="12"/>
      <c r="K46" s="12"/>
      <c r="L46" s="12"/>
    </row>
    <row r="47" spans="2:12" ht="12.7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ht="12.75">
      <c r="B48" s="55"/>
      <c r="C48" s="49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2.7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ht="12.75">
      <c r="B50" s="6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2.75">
      <c r="B51" s="55"/>
      <c r="C51" s="48"/>
      <c r="D51" s="12"/>
      <c r="E51" s="12"/>
      <c r="F51" s="12"/>
      <c r="G51" s="12"/>
      <c r="H51" s="12"/>
      <c r="I51" s="12"/>
      <c r="J51" s="12"/>
      <c r="K51" s="12"/>
      <c r="L51" s="12"/>
    </row>
    <row r="52" spans="2:12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2.7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ht="12.75">
      <c r="B55" s="12"/>
      <c r="C55" s="15"/>
      <c r="D55" s="12"/>
      <c r="E55" s="12"/>
      <c r="F55" s="12"/>
      <c r="G55" s="12"/>
      <c r="H55" s="12"/>
      <c r="I55" s="12"/>
      <c r="J55" s="12"/>
      <c r="K55" s="12"/>
      <c r="L55" s="12"/>
    </row>
    <row r="56" spans="2:12" ht="12.7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ht="12.75">
      <c r="B57" s="55"/>
      <c r="C57" s="49"/>
      <c r="D57" s="12"/>
      <c r="E57" s="12"/>
      <c r="F57" s="12"/>
      <c r="G57" s="12"/>
      <c r="H57" s="12"/>
      <c r="I57" s="12"/>
      <c r="J57" s="12"/>
      <c r="K57" s="12"/>
      <c r="L57" s="12"/>
    </row>
    <row r="58" spans="2:12" ht="12.7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ht="12.7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ht="12.75">
      <c r="B61" s="55"/>
      <c r="C61" s="49"/>
      <c r="D61" s="12"/>
      <c r="E61" s="12"/>
      <c r="F61" s="12"/>
      <c r="G61" s="12"/>
      <c r="H61" s="12"/>
      <c r="I61" s="12"/>
      <c r="J61" s="12"/>
      <c r="K61" s="12"/>
      <c r="L61" s="12"/>
    </row>
    <row r="62" spans="2:12" ht="12.7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2.7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ht="12.7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B1">
      <selection activeCell="B31" sqref="B31"/>
    </sheetView>
  </sheetViews>
  <sheetFormatPr defaultColWidth="9.140625" defaultRowHeight="12.75"/>
  <cols>
    <col min="1" max="1" width="9.140625" style="0" hidden="1" customWidth="1"/>
    <col min="2" max="2" width="17.140625" style="0" customWidth="1"/>
    <col min="3" max="3" width="63.7109375" style="59" customWidth="1"/>
  </cols>
  <sheetData>
    <row r="1" ht="12.75">
      <c r="B1" s="6" t="s">
        <v>232</v>
      </c>
    </row>
    <row r="3" spans="2:12" s="1" customFormat="1" ht="12.75">
      <c r="B3" s="6" t="s">
        <v>148</v>
      </c>
      <c r="C3" s="12" t="s">
        <v>148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s="1" customFormat="1" ht="12.75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s="1" customFormat="1" ht="12.75">
      <c r="B5" s="55" t="s">
        <v>160</v>
      </c>
      <c r="C5" s="48" t="s">
        <v>147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s="1" customFormat="1" ht="12.75">
      <c r="B6" s="12" t="s">
        <v>161</v>
      </c>
      <c r="C6" s="12" t="s">
        <v>146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s="1" customFormat="1" ht="12.75">
      <c r="B7" s="12" t="s">
        <v>162</v>
      </c>
      <c r="C7" s="12" t="s">
        <v>133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s="1" customFormat="1" ht="12.75">
      <c r="B8" s="12" t="s">
        <v>163</v>
      </c>
      <c r="C8" s="15" t="s">
        <v>149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s="1" customFormat="1" ht="12.75">
      <c r="B9" s="12" t="s">
        <v>262</v>
      </c>
      <c r="C9" s="89">
        <v>35521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s="1" customFormat="1" ht="12.75">
      <c r="B10" s="12" t="s">
        <v>164</v>
      </c>
      <c r="C10" s="12" t="s">
        <v>150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s="1" customFormat="1" ht="12.75">
      <c r="B11" s="55" t="s">
        <v>165</v>
      </c>
      <c r="C11" s="49" t="s">
        <v>158</v>
      </c>
      <c r="D11" s="12"/>
      <c r="E11" s="12"/>
      <c r="F11" s="12"/>
      <c r="G11" s="12"/>
      <c r="H11" s="12"/>
      <c r="I11" s="12"/>
      <c r="J11" s="12"/>
      <c r="K11" s="12"/>
      <c r="L11" s="12"/>
    </row>
    <row r="13" ht="12.75">
      <c r="B13" s="6" t="s">
        <v>166</v>
      </c>
    </row>
    <row r="15" spans="2:3" s="73" customFormat="1" ht="38.25">
      <c r="B15" s="73" t="s">
        <v>160</v>
      </c>
      <c r="C15" s="74" t="s">
        <v>167</v>
      </c>
    </row>
    <row r="16" spans="2:3" ht="12.75">
      <c r="B16" t="s">
        <v>161</v>
      </c>
      <c r="C16" s="59" t="s">
        <v>168</v>
      </c>
    </row>
    <row r="17" spans="2:3" ht="12.75">
      <c r="B17" t="s">
        <v>162</v>
      </c>
      <c r="C17" s="59" t="s">
        <v>168</v>
      </c>
    </row>
    <row r="18" spans="1:3" ht="12.75">
      <c r="A18" t="s">
        <v>166</v>
      </c>
      <c r="B18" t="s">
        <v>169</v>
      </c>
      <c r="C18" s="59" t="s">
        <v>170</v>
      </c>
    </row>
    <row r="19" spans="2:3" ht="12.75">
      <c r="B19" s="12" t="s">
        <v>163</v>
      </c>
      <c r="C19" s="59" t="s">
        <v>171</v>
      </c>
    </row>
    <row r="20" spans="2:3" ht="12.75">
      <c r="B20" s="12" t="s">
        <v>262</v>
      </c>
      <c r="C20" s="90">
        <v>33664</v>
      </c>
    </row>
    <row r="21" ht="12.75">
      <c r="C21" s="75"/>
    </row>
    <row r="22" spans="2:3" ht="12.75">
      <c r="B22" s="6" t="s">
        <v>172</v>
      </c>
      <c r="C22" s="75"/>
    </row>
    <row r="23" ht="12.75">
      <c r="C23" s="75"/>
    </row>
    <row r="24" spans="2:3" s="73" customFormat="1" ht="38.25">
      <c r="B24" s="73" t="s">
        <v>160</v>
      </c>
      <c r="C24" s="74" t="s">
        <v>173</v>
      </c>
    </row>
    <row r="25" spans="2:3" ht="12.75">
      <c r="B25" t="s">
        <v>161</v>
      </c>
      <c r="C25" s="59" t="s">
        <v>168</v>
      </c>
    </row>
    <row r="26" spans="2:3" ht="12.75">
      <c r="B26" t="s">
        <v>162</v>
      </c>
      <c r="C26" s="59" t="s">
        <v>168</v>
      </c>
    </row>
    <row r="27" spans="1:3" ht="12.75">
      <c r="A27" t="s">
        <v>172</v>
      </c>
      <c r="B27" t="s">
        <v>169</v>
      </c>
      <c r="C27" s="59" t="s">
        <v>170</v>
      </c>
    </row>
    <row r="28" spans="1:3" ht="12.75">
      <c r="A28" t="s">
        <v>172</v>
      </c>
      <c r="B28" s="12" t="s">
        <v>163</v>
      </c>
      <c r="C28" s="59" t="s">
        <v>263</v>
      </c>
    </row>
    <row r="29" spans="2:3" ht="12.75">
      <c r="B29" s="12" t="s">
        <v>262</v>
      </c>
      <c r="C29" s="90">
        <v>33208</v>
      </c>
    </row>
    <row r="30" ht="12.75">
      <c r="C30" s="75"/>
    </row>
    <row r="31" ht="12.75">
      <c r="B31" s="6" t="s">
        <v>174</v>
      </c>
    </row>
    <row r="33" spans="2:3" s="73" customFormat="1" ht="51">
      <c r="B33" s="73" t="s">
        <v>160</v>
      </c>
      <c r="C33" s="74" t="s">
        <v>175</v>
      </c>
    </row>
    <row r="34" spans="2:3" ht="12.75">
      <c r="B34" t="s">
        <v>161</v>
      </c>
      <c r="C34" s="59" t="s">
        <v>176</v>
      </c>
    </row>
    <row r="35" spans="2:3" ht="12.75">
      <c r="B35" t="s">
        <v>162</v>
      </c>
      <c r="C35" s="59" t="s">
        <v>177</v>
      </c>
    </row>
    <row r="36" spans="1:3" ht="12.75">
      <c r="A36" t="s">
        <v>174</v>
      </c>
      <c r="B36" t="s">
        <v>169</v>
      </c>
      <c r="C36" s="59" t="s">
        <v>178</v>
      </c>
    </row>
    <row r="37" spans="1:3" ht="12.75">
      <c r="A37" t="s">
        <v>174</v>
      </c>
      <c r="B37" s="12" t="s">
        <v>163</v>
      </c>
      <c r="C37" s="59" t="s">
        <v>264</v>
      </c>
    </row>
    <row r="38" spans="1:3" ht="12.75">
      <c r="A38" t="s">
        <v>174</v>
      </c>
      <c r="B38" s="12" t="s">
        <v>262</v>
      </c>
      <c r="C38" s="90">
        <v>33817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B1">
      <selection activeCell="B31" sqref="B31"/>
    </sheetView>
  </sheetViews>
  <sheetFormatPr defaultColWidth="9.140625" defaultRowHeight="12.75"/>
  <cols>
    <col min="1" max="1" width="3.00390625" style="17" hidden="1" customWidth="1"/>
    <col min="2" max="2" width="15.421875" style="17" customWidth="1"/>
    <col min="3" max="3" width="6.57421875" style="17" customWidth="1"/>
    <col min="4" max="4" width="7.7109375" style="8" customWidth="1"/>
    <col min="5" max="5" width="3.00390625" style="8" customWidth="1"/>
    <col min="6" max="6" width="3.57421875" style="8" customWidth="1"/>
    <col min="7" max="7" width="11.57421875" style="17" bestFit="1" customWidth="1"/>
    <col min="8" max="8" width="3.421875" style="17" customWidth="1"/>
    <col min="9" max="9" width="11.8515625" style="18" customWidth="1"/>
    <col min="10" max="10" width="4.28125" style="17" customWidth="1"/>
    <col min="11" max="11" width="11.7109375" style="17" customWidth="1"/>
    <col min="12" max="12" width="4.7109375" style="17" customWidth="1"/>
    <col min="13" max="13" width="11.7109375" style="17" customWidth="1"/>
    <col min="14" max="14" width="3.421875" style="17" customWidth="1"/>
    <col min="15" max="15" width="10.28125" style="17" customWidth="1"/>
    <col min="16" max="16" width="2.140625" style="17" customWidth="1"/>
    <col min="17" max="16384" width="8.8515625" style="17" customWidth="1"/>
  </cols>
  <sheetData>
    <row r="1" spans="2:3" ht="12.75">
      <c r="B1" s="16" t="s">
        <v>237</v>
      </c>
      <c r="C1" s="16"/>
    </row>
    <row r="2" spans="2:14" ht="12.75">
      <c r="B2" s="19"/>
      <c r="C2" s="19"/>
      <c r="G2" s="19"/>
      <c r="H2" s="19"/>
      <c r="I2" s="20"/>
      <c r="J2" s="19"/>
      <c r="K2" s="19"/>
      <c r="L2" s="19"/>
      <c r="M2" s="19"/>
      <c r="N2" s="19"/>
    </row>
    <row r="3" spans="2:5" ht="12.75">
      <c r="B3" s="12"/>
      <c r="C3" s="12" t="s">
        <v>79</v>
      </c>
      <c r="D3" s="8" t="s">
        <v>12</v>
      </c>
      <c r="E3" s="8" t="s">
        <v>62</v>
      </c>
    </row>
    <row r="4" spans="2:14" ht="12.75">
      <c r="B4" s="12"/>
      <c r="C4" s="12"/>
      <c r="G4" s="19"/>
      <c r="H4" s="19"/>
      <c r="I4" s="20"/>
      <c r="J4" s="19"/>
      <c r="K4" s="19"/>
      <c r="L4" s="19"/>
      <c r="M4" s="19"/>
      <c r="N4" s="19"/>
    </row>
    <row r="5" spans="2:14" ht="12.75">
      <c r="B5" s="12"/>
      <c r="C5" s="12"/>
      <c r="G5" s="19"/>
      <c r="H5" s="19"/>
      <c r="I5" s="20"/>
      <c r="J5" s="19"/>
      <c r="K5" s="19"/>
      <c r="L5" s="19"/>
      <c r="M5" s="19"/>
      <c r="N5" s="19"/>
    </row>
    <row r="6" spans="1:15" ht="12.75">
      <c r="A6" s="17">
        <v>1</v>
      </c>
      <c r="B6" s="21" t="s">
        <v>148</v>
      </c>
      <c r="C6" s="21" t="str">
        <f>cond!C10</f>
        <v>Agent GB (Sarin) trial burn</v>
      </c>
      <c r="G6" s="19" t="s">
        <v>179</v>
      </c>
      <c r="H6" s="19"/>
      <c r="I6" s="20" t="s">
        <v>180</v>
      </c>
      <c r="J6" s="19"/>
      <c r="K6" s="19" t="s">
        <v>181</v>
      </c>
      <c r="L6" s="19"/>
      <c r="M6" s="19" t="s">
        <v>182</v>
      </c>
      <c r="N6" s="19"/>
      <c r="O6" s="17" t="s">
        <v>47</v>
      </c>
    </row>
    <row r="7" spans="2:14" ht="12.75">
      <c r="B7" s="8"/>
      <c r="C7" s="8"/>
      <c r="D7" s="12"/>
      <c r="E7" s="12"/>
      <c r="F7" s="12"/>
      <c r="G7" s="12"/>
      <c r="H7" s="12"/>
      <c r="I7" s="22"/>
      <c r="J7" s="12"/>
      <c r="K7" s="12"/>
      <c r="L7" s="12"/>
      <c r="M7" s="12"/>
      <c r="N7" s="12"/>
    </row>
    <row r="8" spans="2:15" ht="12.75">
      <c r="B8" s="8" t="s">
        <v>122</v>
      </c>
      <c r="C8" s="8" t="s">
        <v>257</v>
      </c>
      <c r="D8" s="12" t="s">
        <v>16</v>
      </c>
      <c r="E8" s="12" t="s">
        <v>15</v>
      </c>
      <c r="F8"/>
      <c r="G8">
        <v>16.4</v>
      </c>
      <c r="H8"/>
      <c r="I8">
        <v>13.4</v>
      </c>
      <c r="J8"/>
      <c r="K8">
        <v>15.4</v>
      </c>
      <c r="L8"/>
      <c r="M8">
        <v>18.7</v>
      </c>
      <c r="N8"/>
      <c r="O8" s="58">
        <f>AVERAGE(M8,K8,I8,G8)</f>
        <v>15.975</v>
      </c>
    </row>
    <row r="9" spans="2:15" ht="12.75">
      <c r="B9" s="8" t="s">
        <v>136</v>
      </c>
      <c r="C9" s="8" t="s">
        <v>257</v>
      </c>
      <c r="D9" s="12" t="s">
        <v>16</v>
      </c>
      <c r="E9" s="12" t="s">
        <v>15</v>
      </c>
      <c r="F9"/>
      <c r="G9"/>
      <c r="H9"/>
      <c r="I9"/>
      <c r="J9"/>
      <c r="K9"/>
      <c r="L9"/>
      <c r="M9"/>
      <c r="N9"/>
      <c r="O9" s="58"/>
    </row>
    <row r="10" spans="2:15" ht="12.75">
      <c r="B10" s="8"/>
      <c r="C10" s="8"/>
      <c r="D10" s="12"/>
      <c r="E10" s="12"/>
      <c r="F10"/>
      <c r="G10"/>
      <c r="H10"/>
      <c r="I10"/>
      <c r="J10"/>
      <c r="K10"/>
      <c r="L10"/>
      <c r="M10"/>
      <c r="N10"/>
      <c r="O10" s="58"/>
    </row>
    <row r="11" spans="2:15" ht="12.75">
      <c r="B11" s="8" t="s">
        <v>13</v>
      </c>
      <c r="C11" s="8" t="s">
        <v>257</v>
      </c>
      <c r="D11" s="8" t="s">
        <v>14</v>
      </c>
      <c r="E11" s="8" t="s">
        <v>15</v>
      </c>
      <c r="F11"/>
      <c r="G11">
        <v>0.0004</v>
      </c>
      <c r="H11"/>
      <c r="I11">
        <v>0.0002</v>
      </c>
      <c r="J11"/>
      <c r="K11">
        <v>0.0007</v>
      </c>
      <c r="L11"/>
      <c r="M11">
        <v>0.0004</v>
      </c>
      <c r="N11"/>
      <c r="O11" s="70">
        <f>AVERAGE(M11,K11,I11,G11)</f>
        <v>0.00042500000000000003</v>
      </c>
    </row>
    <row r="12" spans="2:15" ht="12.75">
      <c r="B12" s="8"/>
      <c r="C12" s="8"/>
      <c r="F12"/>
      <c r="G12"/>
      <c r="H12"/>
      <c r="I12"/>
      <c r="J12"/>
      <c r="K12"/>
      <c r="L12"/>
      <c r="M12"/>
      <c r="N12"/>
      <c r="O12" s="56"/>
    </row>
    <row r="13" spans="2:15" ht="12.75">
      <c r="B13" s="8" t="s">
        <v>48</v>
      </c>
      <c r="C13" s="8"/>
      <c r="D13" s="8" t="s">
        <v>100</v>
      </c>
      <c r="E13" s="8" t="s">
        <v>99</v>
      </c>
      <c r="F13" t="s">
        <v>96</v>
      </c>
      <c r="G13">
        <v>0.01</v>
      </c>
      <c r="H13" t="s">
        <v>96</v>
      </c>
      <c r="I13">
        <v>0.03</v>
      </c>
      <c r="J13" t="s">
        <v>96</v>
      </c>
      <c r="K13">
        <v>0.03</v>
      </c>
      <c r="L13" t="s">
        <v>96</v>
      </c>
      <c r="M13">
        <v>0.03</v>
      </c>
      <c r="N13"/>
      <c r="O13" s="5"/>
    </row>
    <row r="14" spans="2:15" ht="12.75">
      <c r="B14" s="8" t="s">
        <v>49</v>
      </c>
      <c r="C14" s="8"/>
      <c r="D14" s="8" t="s">
        <v>100</v>
      </c>
      <c r="E14" s="8" t="s">
        <v>99</v>
      </c>
      <c r="F14" t="s">
        <v>96</v>
      </c>
      <c r="G14">
        <v>0.02</v>
      </c>
      <c r="H14" t="s">
        <v>96</v>
      </c>
      <c r="I14">
        <v>0.02</v>
      </c>
      <c r="J14" t="s">
        <v>96</v>
      </c>
      <c r="K14">
        <v>0.02</v>
      </c>
      <c r="L14" t="s">
        <v>96</v>
      </c>
      <c r="M14">
        <v>0.02</v>
      </c>
      <c r="N14"/>
      <c r="O14" s="5"/>
    </row>
    <row r="15" spans="2:15" ht="12.75">
      <c r="B15" s="8"/>
      <c r="C15" s="8"/>
      <c r="F15"/>
      <c r="G15"/>
      <c r="H15"/>
      <c r="I15"/>
      <c r="J15"/>
      <c r="K15"/>
      <c r="L15"/>
      <c r="M15"/>
      <c r="N15"/>
      <c r="O15" s="5"/>
    </row>
    <row r="16" spans="2:15" ht="12.75">
      <c r="B16" s="8" t="s">
        <v>48</v>
      </c>
      <c r="C16" s="8" t="s">
        <v>257</v>
      </c>
      <c r="D16" s="8" t="s">
        <v>16</v>
      </c>
      <c r="E16" s="8" t="s">
        <v>15</v>
      </c>
      <c r="F16"/>
      <c r="G16" s="63">
        <f>G13/2/0.0283/1.518*14/(21-G50)</f>
        <v>0.1357871230355483</v>
      </c>
      <c r="H16" s="63"/>
      <c r="I16" s="63">
        <f>I13/2/0.0283/1.518*14/(21-I50)</f>
        <v>0.41078457388905365</v>
      </c>
      <c r="J16" s="63"/>
      <c r="K16" s="63">
        <f>K13/2/0.0283/1.518*14/(21-K50)</f>
        <v>0.40399474622146603</v>
      </c>
      <c r="L16" s="63"/>
      <c r="M16" s="63">
        <f>M13/2/0.0283/1.518*14/(21-M50)</f>
        <v>0.40399474622146603</v>
      </c>
      <c r="N16"/>
      <c r="O16" s="5">
        <f>AVERAGE(K16,I16,G16,M16)</f>
        <v>0.3386402973418835</v>
      </c>
    </row>
    <row r="17" spans="2:15" ht="12.75">
      <c r="B17" s="8" t="s">
        <v>49</v>
      </c>
      <c r="C17" s="8" t="s">
        <v>257</v>
      </c>
      <c r="D17" s="8" t="s">
        <v>16</v>
      </c>
      <c r="E17" s="8" t="s">
        <v>15</v>
      </c>
      <c r="F17"/>
      <c r="G17" s="63">
        <f>G14/2/0.0283/2.953*14/(21-G50)</f>
        <v>0.13960369303620881</v>
      </c>
      <c r="H17" s="63"/>
      <c r="I17" s="63">
        <f>I14/2/0.0283/2.953*14/(21-I50)</f>
        <v>0.140776833313824</v>
      </c>
      <c r="J17" s="63"/>
      <c r="K17" s="63">
        <f>K14/2/0.0283/2.953*14/(21-K50)</f>
        <v>0.13844994350698397</v>
      </c>
      <c r="L17" s="63"/>
      <c r="M17" s="63">
        <f>M14/2/0.0283/2.953*14/(21-M50)</f>
        <v>0.13844994350698397</v>
      </c>
      <c r="N17"/>
      <c r="O17" s="5">
        <f>AVERAGE(K17,I17,G17,M17)</f>
        <v>0.1393201033410002</v>
      </c>
    </row>
    <row r="18" spans="2:15" ht="12.75">
      <c r="B18" s="8" t="s">
        <v>102</v>
      </c>
      <c r="C18" s="8" t="s">
        <v>257</v>
      </c>
      <c r="D18" s="8" t="s">
        <v>16</v>
      </c>
      <c r="E18" s="8" t="s">
        <v>15</v>
      </c>
      <c r="F18"/>
      <c r="G18" s="63">
        <f>G16+2*G17</f>
        <v>0.4149945091079659</v>
      </c>
      <c r="H18" s="63"/>
      <c r="I18" s="63">
        <f>I16+2*I17</f>
        <v>0.6923382405167017</v>
      </c>
      <c r="J18" s="63"/>
      <c r="K18" s="63">
        <f>K16+2*K17</f>
        <v>0.680894633235434</v>
      </c>
      <c r="L18" s="63"/>
      <c r="M18" s="63">
        <f>M16+2*M17</f>
        <v>0.680894633235434</v>
      </c>
      <c r="N18"/>
      <c r="O18" s="5">
        <f>AVERAGE(K18,I18,G18)</f>
        <v>0.5960757942867005</v>
      </c>
    </row>
    <row r="19" spans="2:15" ht="12.75">
      <c r="B19" s="8"/>
      <c r="C19" s="8"/>
      <c r="F19"/>
      <c r="G19"/>
      <c r="H19"/>
      <c r="I19"/>
      <c r="J19"/>
      <c r="K19"/>
      <c r="L19"/>
      <c r="M19"/>
      <c r="N19"/>
      <c r="O19" s="5"/>
    </row>
    <row r="20" spans="2:15" ht="12.75">
      <c r="B20" s="8" t="s">
        <v>138</v>
      </c>
      <c r="C20" s="8" t="s">
        <v>137</v>
      </c>
      <c r="G20" s="23"/>
      <c r="H20" s="23"/>
      <c r="I20" s="24"/>
      <c r="J20" s="23"/>
      <c r="K20" s="23"/>
      <c r="L20" s="23"/>
      <c r="M20" s="23"/>
      <c r="O20" s="57"/>
    </row>
    <row r="21" spans="2:15" ht="12.75">
      <c r="B21" s="8" t="s">
        <v>139</v>
      </c>
      <c r="C21" s="8"/>
      <c r="D21" s="8" t="s">
        <v>51</v>
      </c>
      <c r="G21" s="23">
        <v>1049</v>
      </c>
      <c r="H21" s="23"/>
      <c r="I21" s="24">
        <v>1048</v>
      </c>
      <c r="J21" s="23"/>
      <c r="K21" s="23">
        <v>1049</v>
      </c>
      <c r="L21" s="23"/>
      <c r="M21" s="23">
        <v>1048</v>
      </c>
      <c r="O21" s="5"/>
    </row>
    <row r="22" spans="2:15" ht="12.75">
      <c r="B22" s="8" t="s">
        <v>140</v>
      </c>
      <c r="C22" s="8" t="s">
        <v>257</v>
      </c>
      <c r="D22" s="8" t="s">
        <v>51</v>
      </c>
      <c r="F22" s="8" t="s">
        <v>96</v>
      </c>
      <c r="G22" s="60">
        <v>3.71E-07</v>
      </c>
      <c r="H22" s="8" t="s">
        <v>96</v>
      </c>
      <c r="I22" s="60">
        <v>3.81E-07</v>
      </c>
      <c r="J22" s="8" t="s">
        <v>96</v>
      </c>
      <c r="K22" s="60">
        <v>3.87E-07</v>
      </c>
      <c r="L22" s="60" t="s">
        <v>96</v>
      </c>
      <c r="M22" s="60">
        <v>3.82E-07</v>
      </c>
      <c r="N22" s="8"/>
      <c r="O22" s="72"/>
    </row>
    <row r="23" spans="2:15" ht="12.75">
      <c r="B23" s="8" t="s">
        <v>50</v>
      </c>
      <c r="C23" s="8" t="s">
        <v>257</v>
      </c>
      <c r="D23" s="8" t="s">
        <v>18</v>
      </c>
      <c r="F23" s="8" t="s">
        <v>141</v>
      </c>
      <c r="G23" s="65">
        <f>(G21-G22)/G21*100</f>
        <v>99.99999996463299</v>
      </c>
      <c r="H23" s="8" t="s">
        <v>141</v>
      </c>
      <c r="I23" s="65">
        <f>(I21-I22)/I21*100</f>
        <v>99.99999996364504</v>
      </c>
      <c r="J23" s="8" t="s">
        <v>141</v>
      </c>
      <c r="K23" s="65">
        <f>(K21-K22)/K21*100</f>
        <v>99.99999996310773</v>
      </c>
      <c r="L23" s="65" t="s">
        <v>141</v>
      </c>
      <c r="M23" s="65">
        <f>(M21-M22)/M21*100</f>
        <v>99.99999996354961</v>
      </c>
      <c r="N23" s="8"/>
      <c r="O23" s="67"/>
    </row>
    <row r="24" spans="2:15" ht="12.75">
      <c r="B24" s="8"/>
      <c r="C24" s="8"/>
      <c r="F24"/>
      <c r="G24"/>
      <c r="H24"/>
      <c r="I24"/>
      <c r="J24"/>
      <c r="K24"/>
      <c r="L24"/>
      <c r="M24"/>
      <c r="N24"/>
      <c r="O24" s="5"/>
    </row>
    <row r="25" spans="2:15" ht="12.75">
      <c r="B25" s="8" t="s">
        <v>105</v>
      </c>
      <c r="C25" s="8"/>
      <c r="D25" s="8" t="s">
        <v>121</v>
      </c>
      <c r="E25" s="8" t="s">
        <v>99</v>
      </c>
      <c r="G25">
        <v>0.5</v>
      </c>
      <c r="H25" s="8" t="s">
        <v>96</v>
      </c>
      <c r="I25">
        <v>0.2</v>
      </c>
      <c r="J25" s="8" t="s">
        <v>96</v>
      </c>
      <c r="K25">
        <v>0.3</v>
      </c>
      <c r="L25" t="s">
        <v>96</v>
      </c>
      <c r="M25">
        <v>0.2</v>
      </c>
      <c r="N25"/>
      <c r="O25" s="5"/>
    </row>
    <row r="26" spans="2:15" ht="12.75">
      <c r="B26" s="8" t="s">
        <v>115</v>
      </c>
      <c r="C26" s="8"/>
      <c r="D26" s="8" t="s">
        <v>121</v>
      </c>
      <c r="E26" s="8" t="s">
        <v>99</v>
      </c>
      <c r="F26" s="8" t="s">
        <v>96</v>
      </c>
      <c r="G26">
        <v>0.003</v>
      </c>
      <c r="H26" t="s">
        <v>96</v>
      </c>
      <c r="I26">
        <v>0.004</v>
      </c>
      <c r="J26" t="s">
        <v>96</v>
      </c>
      <c r="K26">
        <v>0.004</v>
      </c>
      <c r="L26" t="s">
        <v>96</v>
      </c>
      <c r="M26">
        <v>0.004</v>
      </c>
      <c r="N26"/>
      <c r="O26" s="5"/>
    </row>
    <row r="27" spans="2:15" ht="12.75">
      <c r="B27" s="8" t="s">
        <v>106</v>
      </c>
      <c r="C27" s="8"/>
      <c r="D27" s="8" t="s">
        <v>121</v>
      </c>
      <c r="E27" s="8" t="s">
        <v>99</v>
      </c>
      <c r="F27" s="8" t="s">
        <v>96</v>
      </c>
      <c r="G27" s="66">
        <f>1/184.1</f>
        <v>0.005431830526887562</v>
      </c>
      <c r="H27" s="66" t="s">
        <v>96</v>
      </c>
      <c r="I27" s="66">
        <f>0.6/142.856</f>
        <v>0.004200033600268802</v>
      </c>
      <c r="J27" s="66" t="s">
        <v>96</v>
      </c>
      <c r="K27" s="66">
        <f>0.6/142.149</f>
        <v>0.004220923115885444</v>
      </c>
      <c r="L27" s="66" t="s">
        <v>96</v>
      </c>
      <c r="M27" s="66">
        <f>0.6/142.884</f>
        <v>0.004199210548416898</v>
      </c>
      <c r="N27"/>
      <c r="O27" s="5"/>
    </row>
    <row r="28" spans="2:15" ht="12.75">
      <c r="B28" s="8" t="s">
        <v>107</v>
      </c>
      <c r="C28" s="8"/>
      <c r="D28" s="8" t="s">
        <v>121</v>
      </c>
      <c r="E28" s="8" t="s">
        <v>99</v>
      </c>
      <c r="F28" s="8" t="s">
        <v>96</v>
      </c>
      <c r="G28">
        <v>0.07</v>
      </c>
      <c r="H28" t="s">
        <v>96</v>
      </c>
      <c r="I28">
        <v>0.02</v>
      </c>
      <c r="J28" t="s">
        <v>96</v>
      </c>
      <c r="K28">
        <v>0.06</v>
      </c>
      <c r="L28" t="s">
        <v>96</v>
      </c>
      <c r="M28">
        <v>0.02</v>
      </c>
      <c r="N28"/>
      <c r="O28" s="5"/>
    </row>
    <row r="29" spans="2:15" ht="12.75">
      <c r="B29" s="8" t="s">
        <v>77</v>
      </c>
      <c r="C29" s="8"/>
      <c r="D29" s="8" t="s">
        <v>121</v>
      </c>
      <c r="E29" s="8" t="s">
        <v>99</v>
      </c>
      <c r="F29" s="8" t="s">
        <v>96</v>
      </c>
      <c r="G29" s="66">
        <f>1.2/184.1</f>
        <v>0.006518196632265073</v>
      </c>
      <c r="H29" s="66" t="s">
        <v>96</v>
      </c>
      <c r="I29" s="66">
        <f>0.6/142.856</f>
        <v>0.004200033600268802</v>
      </c>
      <c r="J29" t="s">
        <v>96</v>
      </c>
      <c r="K29" s="66">
        <f>0.6/142.149</f>
        <v>0.004220923115885444</v>
      </c>
      <c r="L29" s="66" t="s">
        <v>96</v>
      </c>
      <c r="M29" s="66">
        <f>0.6/142.884</f>
        <v>0.004199210548416898</v>
      </c>
      <c r="N29"/>
      <c r="O29" s="5"/>
    </row>
    <row r="30" spans="2:15" ht="12.75">
      <c r="B30" s="8" t="s">
        <v>108</v>
      </c>
      <c r="C30" s="8"/>
      <c r="D30" s="8" t="s">
        <v>121</v>
      </c>
      <c r="E30" s="8" t="s">
        <v>99</v>
      </c>
      <c r="F30" s="8" t="s">
        <v>96</v>
      </c>
      <c r="G30">
        <v>0.72</v>
      </c>
      <c r="H30" t="s">
        <v>96</v>
      </c>
      <c r="I30">
        <v>0.21</v>
      </c>
      <c r="J30" t="s">
        <v>96</v>
      </c>
      <c r="K30">
        <v>0.21</v>
      </c>
      <c r="L30" t="s">
        <v>96</v>
      </c>
      <c r="M30">
        <v>0.21</v>
      </c>
      <c r="N30"/>
      <c r="O30" s="5"/>
    </row>
    <row r="31" spans="2:15" ht="12.75">
      <c r="B31" s="8" t="s">
        <v>109</v>
      </c>
      <c r="C31" s="8"/>
      <c r="D31" s="8" t="s">
        <v>121</v>
      </c>
      <c r="E31" s="8" t="s">
        <v>99</v>
      </c>
      <c r="F31" s="8" t="s">
        <v>96</v>
      </c>
      <c r="G31" s="66">
        <f>3/184.1</f>
        <v>0.016295491580662683</v>
      </c>
      <c r="H31" s="66" t="s">
        <v>96</v>
      </c>
      <c r="I31" s="66">
        <f>1.52/142.856</f>
        <v>0.010640085120680966</v>
      </c>
      <c r="J31" s="66"/>
      <c r="K31" s="66">
        <f>1.475/142.149</f>
        <v>0.010376435993218384</v>
      </c>
      <c r="L31" s="66"/>
      <c r="M31" s="66">
        <f>1.485/142.884</f>
        <v>0.010393046107331824</v>
      </c>
      <c r="N31"/>
      <c r="O31" s="5"/>
    </row>
    <row r="32" spans="2:15" ht="12.75">
      <c r="B32" s="8" t="s">
        <v>82</v>
      </c>
      <c r="C32" s="8"/>
      <c r="D32" s="8" t="s">
        <v>121</v>
      </c>
      <c r="E32" s="8" t="s">
        <v>99</v>
      </c>
      <c r="G32" s="66">
        <f>5.6/184.1</f>
        <v>0.030418250950570342</v>
      </c>
      <c r="H32" s="66"/>
      <c r="I32" s="66">
        <f>5.15/142.856</f>
        <v>0.03605028840230722</v>
      </c>
      <c r="J32" s="66" t="s">
        <v>96</v>
      </c>
      <c r="K32" s="66">
        <f>3/142.149</f>
        <v>0.02110461557942722</v>
      </c>
      <c r="L32" s="66" t="s">
        <v>96</v>
      </c>
      <c r="M32" s="66">
        <f>3/142.884</f>
        <v>0.02099605274208449</v>
      </c>
      <c r="N32"/>
      <c r="O32" s="5"/>
    </row>
    <row r="33" spans="2:15" ht="12.75">
      <c r="B33" s="88" t="s">
        <v>261</v>
      </c>
      <c r="C33" s="8"/>
      <c r="D33" s="8" t="s">
        <v>121</v>
      </c>
      <c r="E33" s="8" t="s">
        <v>99</v>
      </c>
      <c r="F33" s="8" t="s">
        <v>96</v>
      </c>
      <c r="G33">
        <v>0.027</v>
      </c>
      <c r="H33"/>
      <c r="I33">
        <v>0.046</v>
      </c>
      <c r="J33" t="s">
        <v>96</v>
      </c>
      <c r="K33">
        <v>0.033</v>
      </c>
      <c r="L33" t="s">
        <v>96</v>
      </c>
      <c r="M33">
        <v>0.031</v>
      </c>
      <c r="N33"/>
      <c r="O33" s="5"/>
    </row>
    <row r="34" spans="2:15" ht="12.75">
      <c r="B34" s="8" t="s">
        <v>110</v>
      </c>
      <c r="C34" s="8"/>
      <c r="D34" s="8" t="s">
        <v>121</v>
      </c>
      <c r="E34" s="8" t="s">
        <v>99</v>
      </c>
      <c r="F34" s="8" t="s">
        <v>96</v>
      </c>
      <c r="G34">
        <v>0.03</v>
      </c>
      <c r="H34" t="s">
        <v>96</v>
      </c>
      <c r="I34">
        <v>0.02</v>
      </c>
      <c r="J34" t="s">
        <v>96</v>
      </c>
      <c r="K34">
        <v>0.02</v>
      </c>
      <c r="L34" t="s">
        <v>96</v>
      </c>
      <c r="M34">
        <v>0.02</v>
      </c>
      <c r="N34"/>
      <c r="O34" s="5"/>
    </row>
    <row r="35" spans="2:15" ht="12.75">
      <c r="B35" s="8" t="s">
        <v>111</v>
      </c>
      <c r="C35" s="8"/>
      <c r="D35" s="8" t="s">
        <v>121</v>
      </c>
      <c r="E35" s="8" t="s">
        <v>99</v>
      </c>
      <c r="F35" s="8" t="s">
        <v>96</v>
      </c>
      <c r="G35">
        <v>0.05</v>
      </c>
      <c r="H35" t="s">
        <v>96</v>
      </c>
      <c r="I35">
        <v>0.04</v>
      </c>
      <c r="J35" t="s">
        <v>96</v>
      </c>
      <c r="K35">
        <v>0.04</v>
      </c>
      <c r="L35" t="s">
        <v>96</v>
      </c>
      <c r="M35">
        <v>0.04</v>
      </c>
      <c r="N35"/>
      <c r="O35" s="5"/>
    </row>
    <row r="36" spans="2:15" ht="12.75">
      <c r="B36" s="8" t="s">
        <v>76</v>
      </c>
      <c r="C36" s="8"/>
      <c r="D36" s="8" t="s">
        <v>121</v>
      </c>
      <c r="E36" s="8" t="s">
        <v>99</v>
      </c>
      <c r="G36" s="66">
        <f>0.4/184.1</f>
        <v>0.0021727322107550247</v>
      </c>
      <c r="H36" s="66" t="s">
        <v>96</v>
      </c>
      <c r="I36" s="66">
        <f>0.45/142.856</f>
        <v>0.0031500252002016017</v>
      </c>
      <c r="J36" s="66"/>
      <c r="K36" s="66">
        <f>0.475/142.149</f>
        <v>0.0033415641334093096</v>
      </c>
      <c r="L36" s="66" t="s">
        <v>96</v>
      </c>
      <c r="M36" s="66">
        <f>0.3/142.884</f>
        <v>0.002099605274208449</v>
      </c>
      <c r="N36"/>
      <c r="O36" s="5"/>
    </row>
    <row r="37" spans="2:15" ht="12.75">
      <c r="B37" s="8" t="s">
        <v>112</v>
      </c>
      <c r="C37" s="8"/>
      <c r="D37" s="8" t="s">
        <v>121</v>
      </c>
      <c r="E37" s="8" t="s">
        <v>99</v>
      </c>
      <c r="F37"/>
      <c r="G37">
        <v>0.17</v>
      </c>
      <c r="H37" t="s">
        <v>96</v>
      </c>
      <c r="I37">
        <v>0.08</v>
      </c>
      <c r="J37"/>
      <c r="K37">
        <v>0.04</v>
      </c>
      <c r="L37" t="s">
        <v>96</v>
      </c>
      <c r="M37">
        <v>0.03</v>
      </c>
      <c r="N37"/>
      <c r="O37" s="5"/>
    </row>
    <row r="38" spans="2:15" ht="12.75">
      <c r="B38" s="8" t="s">
        <v>78</v>
      </c>
      <c r="C38" s="8"/>
      <c r="D38" s="8" t="s">
        <v>121</v>
      </c>
      <c r="E38" s="8" t="s">
        <v>99</v>
      </c>
      <c r="G38" s="66">
        <f>1.805/184.1</f>
        <v>0.009804454101032048</v>
      </c>
      <c r="H38" s="66"/>
      <c r="I38" s="66">
        <f>1.825/142.856</f>
        <v>0.012775102200817607</v>
      </c>
      <c r="J38" s="66"/>
      <c r="K38" s="66">
        <f>1.7155/142.149</f>
        <v>0.012068322675502466</v>
      </c>
      <c r="L38" s="66"/>
      <c r="M38" s="66">
        <f>2.021/142.884</f>
        <v>0.014144340863917585</v>
      </c>
      <c r="N38"/>
      <c r="O38" s="5"/>
    </row>
    <row r="39" spans="2:15" ht="12.75">
      <c r="B39" s="8" t="s">
        <v>113</v>
      </c>
      <c r="C39" s="8"/>
      <c r="D39" s="8" t="s">
        <v>121</v>
      </c>
      <c r="E39" s="8" t="s">
        <v>99</v>
      </c>
      <c r="F39" s="8" t="s">
        <v>96</v>
      </c>
      <c r="G39">
        <v>0.13</v>
      </c>
      <c r="H39" t="s">
        <v>96</v>
      </c>
      <c r="I39" s="66">
        <v>0.09</v>
      </c>
      <c r="J39" t="s">
        <v>96</v>
      </c>
      <c r="K39">
        <v>0.09</v>
      </c>
      <c r="L39" t="s">
        <v>96</v>
      </c>
      <c r="M39">
        <v>0.09</v>
      </c>
      <c r="N39"/>
      <c r="O39" s="5"/>
    </row>
    <row r="40" spans="2:15" ht="12.75">
      <c r="B40" s="8" t="s">
        <v>114</v>
      </c>
      <c r="C40" s="8"/>
      <c r="D40" s="8" t="s">
        <v>121</v>
      </c>
      <c r="E40" s="8" t="s">
        <v>99</v>
      </c>
      <c r="F40" s="8" t="s">
        <v>96</v>
      </c>
      <c r="G40">
        <v>10</v>
      </c>
      <c r="H40" t="s">
        <v>96</v>
      </c>
      <c r="I40">
        <v>4.1</v>
      </c>
      <c r="J40"/>
      <c r="K40">
        <v>4.1</v>
      </c>
      <c r="L40" t="s">
        <v>96</v>
      </c>
      <c r="M40">
        <v>3.5</v>
      </c>
      <c r="N40"/>
      <c r="O40" s="5"/>
    </row>
    <row r="41" spans="2:15" ht="12.75">
      <c r="B41" s="8" t="s">
        <v>116</v>
      </c>
      <c r="C41" s="8"/>
      <c r="D41" s="8" t="s">
        <v>121</v>
      </c>
      <c r="E41" s="8" t="s">
        <v>99</v>
      </c>
      <c r="F41" s="8" t="s">
        <v>96</v>
      </c>
      <c r="G41">
        <v>0.005</v>
      </c>
      <c r="H41" t="s">
        <v>96</v>
      </c>
      <c r="I41">
        <v>0.004</v>
      </c>
      <c r="J41" t="s">
        <v>96</v>
      </c>
      <c r="K41">
        <v>0.004</v>
      </c>
      <c r="L41" t="s">
        <v>96</v>
      </c>
      <c r="M41">
        <v>0.004</v>
      </c>
      <c r="N41"/>
      <c r="O41" s="5"/>
    </row>
    <row r="42" spans="2:15" ht="12.75">
      <c r="B42" s="8" t="s">
        <v>104</v>
      </c>
      <c r="C42" s="8"/>
      <c r="D42" s="8" t="s">
        <v>121</v>
      </c>
      <c r="E42" s="8" t="s">
        <v>99</v>
      </c>
      <c r="F42" s="8" t="s">
        <v>96</v>
      </c>
      <c r="G42">
        <v>0.03</v>
      </c>
      <c r="H42" t="s">
        <v>96</v>
      </c>
      <c r="I42">
        <v>0.02</v>
      </c>
      <c r="J42" t="s">
        <v>96</v>
      </c>
      <c r="K42">
        <v>0.02</v>
      </c>
      <c r="L42" t="s">
        <v>96</v>
      </c>
      <c r="M42">
        <v>0.02</v>
      </c>
      <c r="N42"/>
      <c r="O42" s="5"/>
    </row>
    <row r="43" spans="2:15" ht="12.75">
      <c r="B43" s="8" t="s">
        <v>118</v>
      </c>
      <c r="C43" s="8"/>
      <c r="D43" s="8" t="s">
        <v>121</v>
      </c>
      <c r="E43" s="8" t="s">
        <v>99</v>
      </c>
      <c r="F43" s="8" t="s">
        <v>96</v>
      </c>
      <c r="G43">
        <v>0.002</v>
      </c>
      <c r="H43" t="s">
        <v>96</v>
      </c>
      <c r="I43">
        <v>0.002</v>
      </c>
      <c r="J43" t="s">
        <v>96</v>
      </c>
      <c r="K43">
        <v>0.002</v>
      </c>
      <c r="L43" t="s">
        <v>96</v>
      </c>
      <c r="M43">
        <v>0.002</v>
      </c>
      <c r="N43"/>
      <c r="O43" s="5"/>
    </row>
    <row r="44" spans="2:15" ht="12.75">
      <c r="B44" s="8" t="s">
        <v>117</v>
      </c>
      <c r="C44" s="8"/>
      <c r="D44" s="8" t="s">
        <v>121</v>
      </c>
      <c r="E44" s="8" t="s">
        <v>99</v>
      </c>
      <c r="F44" s="8" t="s">
        <v>96</v>
      </c>
      <c r="G44">
        <v>0.33</v>
      </c>
      <c r="H44" t="s">
        <v>96</v>
      </c>
      <c r="I44">
        <v>0.21</v>
      </c>
      <c r="J44" t="s">
        <v>96</v>
      </c>
      <c r="K44">
        <v>0.21</v>
      </c>
      <c r="L44" t="s">
        <v>96</v>
      </c>
      <c r="M44">
        <v>0.21</v>
      </c>
      <c r="N44"/>
      <c r="O44" s="5"/>
    </row>
    <row r="45" spans="2:15" ht="12.75">
      <c r="B45" s="8" t="s">
        <v>119</v>
      </c>
      <c r="C45" s="8"/>
      <c r="D45" s="8" t="s">
        <v>121</v>
      </c>
      <c r="E45" s="8" t="s">
        <v>99</v>
      </c>
      <c r="F45" s="8" t="s">
        <v>96</v>
      </c>
      <c r="G45">
        <v>0.03</v>
      </c>
      <c r="H45" t="s">
        <v>96</v>
      </c>
      <c r="I45">
        <v>0.02</v>
      </c>
      <c r="J45" t="s">
        <v>96</v>
      </c>
      <c r="K45">
        <v>0.02</v>
      </c>
      <c r="L45" t="s">
        <v>96</v>
      </c>
      <c r="M45">
        <v>0.02</v>
      </c>
      <c r="N45"/>
      <c r="O45" s="5"/>
    </row>
    <row r="46" spans="2:15" ht="12.75">
      <c r="B46" s="8" t="s">
        <v>120</v>
      </c>
      <c r="C46" s="8"/>
      <c r="D46" s="8" t="s">
        <v>121</v>
      </c>
      <c r="E46" s="8" t="s">
        <v>99</v>
      </c>
      <c r="F46" s="8" t="s">
        <v>96</v>
      </c>
      <c r="G46">
        <v>0.63</v>
      </c>
      <c r="H46" t="s">
        <v>96</v>
      </c>
      <c r="I46">
        <v>0.04</v>
      </c>
      <c r="J46" t="s">
        <v>96</v>
      </c>
      <c r="K46">
        <v>0.04</v>
      </c>
      <c r="L46" t="s">
        <v>96</v>
      </c>
      <c r="M46">
        <v>0.04</v>
      </c>
      <c r="N46"/>
      <c r="O46" s="5"/>
    </row>
    <row r="47" spans="2:15" ht="12.75">
      <c r="B47" s="8"/>
      <c r="C47" s="8"/>
      <c r="F47"/>
      <c r="G47"/>
      <c r="H47"/>
      <c r="I47"/>
      <c r="J47"/>
      <c r="K47"/>
      <c r="L47"/>
      <c r="M47"/>
      <c r="N47"/>
      <c r="O47"/>
    </row>
    <row r="48" spans="2:15" ht="12.75">
      <c r="B48" s="8" t="s">
        <v>83</v>
      </c>
      <c r="C48" s="8" t="s">
        <v>101</v>
      </c>
      <c r="D48" s="8" t="s">
        <v>257</v>
      </c>
      <c r="F48"/>
      <c r="G48"/>
      <c r="H48"/>
      <c r="I48"/>
      <c r="J48"/>
      <c r="K48"/>
      <c r="L48"/>
      <c r="M48"/>
      <c r="N48"/>
      <c r="O48"/>
    </row>
    <row r="49" spans="2:15" ht="12.75">
      <c r="B49" s="8" t="s">
        <v>75</v>
      </c>
      <c r="C49" s="8"/>
      <c r="D49" s="8" t="s">
        <v>17</v>
      </c>
      <c r="F49"/>
      <c r="G49">
        <f>230520/60</f>
        <v>3842</v>
      </c>
      <c r="H49"/>
      <c r="I49">
        <f>212580/60</f>
        <v>3543</v>
      </c>
      <c r="J49"/>
      <c r="K49">
        <f>225240/60</f>
        <v>3754</v>
      </c>
      <c r="L49"/>
      <c r="M49" s="64">
        <f>218720/60</f>
        <v>3645.3333333333335</v>
      </c>
      <c r="N49"/>
      <c r="O49" s="64">
        <f>AVERAGE(K55,I55,G55)</f>
        <v>3758.6666666666665</v>
      </c>
    </row>
    <row r="50" spans="2:15" ht="12.75">
      <c r="B50" s="8" t="s">
        <v>80</v>
      </c>
      <c r="C50" s="8"/>
      <c r="D50" s="8" t="s">
        <v>18</v>
      </c>
      <c r="F50"/>
      <c r="G50" s="17">
        <v>9</v>
      </c>
      <c r="I50" s="18">
        <v>9.1</v>
      </c>
      <c r="K50" s="17">
        <v>8.9</v>
      </c>
      <c r="M50" s="17">
        <v>8.9</v>
      </c>
      <c r="N50"/>
      <c r="O50" s="5">
        <f>AVERAGE(K56,I56,G56)</f>
        <v>9</v>
      </c>
    </row>
    <row r="51" spans="2:15" ht="12.75">
      <c r="B51" s="8" t="s">
        <v>81</v>
      </c>
      <c r="C51" s="8"/>
      <c r="D51" s="8" t="s">
        <v>18</v>
      </c>
      <c r="F51"/>
      <c r="G51" s="17">
        <v>49.8</v>
      </c>
      <c r="I51" s="18">
        <v>51.4</v>
      </c>
      <c r="K51" s="17">
        <v>51.6</v>
      </c>
      <c r="M51" s="17">
        <v>51.9</v>
      </c>
      <c r="N51"/>
      <c r="O51" s="64">
        <f>AVERAGE(K57,I57,G57)</f>
        <v>51.166666666666664</v>
      </c>
    </row>
    <row r="52" spans="2:15" ht="12.75">
      <c r="B52" s="8" t="s">
        <v>74</v>
      </c>
      <c r="C52" s="8"/>
      <c r="D52" s="8" t="s">
        <v>19</v>
      </c>
      <c r="F52"/>
      <c r="G52">
        <v>192</v>
      </c>
      <c r="H52"/>
      <c r="I52">
        <v>193</v>
      </c>
      <c r="J52"/>
      <c r="K52">
        <v>196</v>
      </c>
      <c r="L52"/>
      <c r="M52">
        <v>197</v>
      </c>
      <c r="N52"/>
      <c r="O52" s="64">
        <f>AVERAGE(K52,I52,G52)</f>
        <v>193.66666666666666</v>
      </c>
    </row>
    <row r="53" spans="2:15" ht="12.75">
      <c r="B53" s="8"/>
      <c r="C53" s="8"/>
      <c r="F53"/>
      <c r="G53"/>
      <c r="H53"/>
      <c r="I53"/>
      <c r="J53"/>
      <c r="K53"/>
      <c r="L53"/>
      <c r="M53"/>
      <c r="N53"/>
      <c r="O53"/>
    </row>
    <row r="54" spans="2:15" ht="12.75">
      <c r="B54" s="8" t="s">
        <v>83</v>
      </c>
      <c r="C54" s="8" t="s">
        <v>95</v>
      </c>
      <c r="D54" s="8" t="s">
        <v>258</v>
      </c>
      <c r="F54"/>
      <c r="G54"/>
      <c r="H54"/>
      <c r="I54"/>
      <c r="J54"/>
      <c r="K54"/>
      <c r="L54"/>
      <c r="M54"/>
      <c r="N54"/>
      <c r="O54"/>
    </row>
    <row r="55" spans="2:15" ht="12.75">
      <c r="B55" s="8" t="s">
        <v>75</v>
      </c>
      <c r="C55" s="8"/>
      <c r="D55" s="8" t="s">
        <v>17</v>
      </c>
      <c r="F55"/>
      <c r="G55">
        <f>227280/60</f>
        <v>3788</v>
      </c>
      <c r="H55"/>
      <c r="I55">
        <f>225720/60</f>
        <v>3762</v>
      </c>
      <c r="J55"/>
      <c r="K55">
        <f>223560/60</f>
        <v>3726</v>
      </c>
      <c r="L55"/>
      <c r="M55">
        <f>221580/60</f>
        <v>3693</v>
      </c>
      <c r="N55"/>
      <c r="O55" s="64">
        <f aca="true" t="shared" si="0" ref="O55:O81">AVERAGE(G55,I55,K55,M55)</f>
        <v>3742.25</v>
      </c>
    </row>
    <row r="56" spans="2:15" ht="12.75">
      <c r="B56" s="8" t="s">
        <v>80</v>
      </c>
      <c r="C56" s="8"/>
      <c r="D56" s="8" t="s">
        <v>18</v>
      </c>
      <c r="F56"/>
      <c r="G56">
        <v>9</v>
      </c>
      <c r="H56"/>
      <c r="I56">
        <v>9.1</v>
      </c>
      <c r="J56"/>
      <c r="K56">
        <v>8.9</v>
      </c>
      <c r="L56"/>
      <c r="M56">
        <v>8.9</v>
      </c>
      <c r="N56"/>
      <c r="O56" s="5">
        <f t="shared" si="0"/>
        <v>8.975</v>
      </c>
    </row>
    <row r="57" spans="2:15" ht="12.75">
      <c r="B57" s="8" t="s">
        <v>81</v>
      </c>
      <c r="C57" s="8"/>
      <c r="D57" s="8" t="s">
        <v>18</v>
      </c>
      <c r="F57"/>
      <c r="G57">
        <v>49.9</v>
      </c>
      <c r="H57"/>
      <c r="I57">
        <v>51.8</v>
      </c>
      <c r="J57"/>
      <c r="K57">
        <v>51.8</v>
      </c>
      <c r="L57"/>
      <c r="M57">
        <v>52.5</v>
      </c>
      <c r="N57"/>
      <c r="O57" s="64">
        <f t="shared" si="0"/>
        <v>51.5</v>
      </c>
    </row>
    <row r="58" spans="2:15" ht="12.75">
      <c r="B58" s="8" t="s">
        <v>74</v>
      </c>
      <c r="C58" s="8"/>
      <c r="D58" s="8" t="s">
        <v>19</v>
      </c>
      <c r="F58"/>
      <c r="G58">
        <v>188</v>
      </c>
      <c r="H58"/>
      <c r="I58">
        <v>193</v>
      </c>
      <c r="J58"/>
      <c r="K58">
        <v>195</v>
      </c>
      <c r="L58"/>
      <c r="M58">
        <v>197</v>
      </c>
      <c r="N58"/>
      <c r="O58" s="64">
        <f t="shared" si="0"/>
        <v>193.25</v>
      </c>
    </row>
    <row r="59" spans="2:15" ht="12.75">
      <c r="B59" s="8"/>
      <c r="C59" s="8"/>
      <c r="F59"/>
      <c r="G59"/>
      <c r="H59"/>
      <c r="I59"/>
      <c r="J59"/>
      <c r="K59"/>
      <c r="L59"/>
      <c r="M59"/>
      <c r="N59"/>
      <c r="O59" s="5"/>
    </row>
    <row r="60" spans="2:15" ht="12.75">
      <c r="B60" s="8" t="s">
        <v>105</v>
      </c>
      <c r="C60" s="8" t="s">
        <v>258</v>
      </c>
      <c r="D60" s="8" t="s">
        <v>54</v>
      </c>
      <c r="E60" s="8" t="s">
        <v>15</v>
      </c>
      <c r="G60" s="5">
        <f>G25/0.0283*(21-7)/(21-G$56)</f>
        <v>20.61248527679623</v>
      </c>
      <c r="H60" s="8" t="s">
        <v>96</v>
      </c>
      <c r="I60" s="5">
        <f>I25/0.0283*(21-7)/(21-I$56)</f>
        <v>8.314279775514446</v>
      </c>
      <c r="J60" s="8" t="s">
        <v>96</v>
      </c>
      <c r="K60" s="5">
        <f>K25/0.0283*(21-7)/(21-K$56)</f>
        <v>12.265280495283708</v>
      </c>
      <c r="L60" t="s">
        <v>96</v>
      </c>
      <c r="M60" s="5">
        <f>M25/0.0283*(21-7)/(21-M$56)</f>
        <v>8.176853663522472</v>
      </c>
      <c r="N60"/>
      <c r="O60" s="5">
        <f t="shared" si="0"/>
        <v>12.342224802779215</v>
      </c>
    </row>
    <row r="61" spans="2:15" ht="12.75">
      <c r="B61" s="8" t="s">
        <v>115</v>
      </c>
      <c r="C61" s="8" t="s">
        <v>258</v>
      </c>
      <c r="D61" s="8" t="s">
        <v>54</v>
      </c>
      <c r="E61" s="8" t="s">
        <v>15</v>
      </c>
      <c r="F61" s="8" t="s">
        <v>96</v>
      </c>
      <c r="G61" s="5">
        <f>G26/0.0283*(21-7)/(21-G$56)</f>
        <v>0.12367491166077739</v>
      </c>
      <c r="H61" t="s">
        <v>96</v>
      </c>
      <c r="I61" s="5">
        <f aca="true" t="shared" si="1" ref="I61:I81">I26/0.0283*(21-7)/(21-I$56)</f>
        <v>0.16628559551028893</v>
      </c>
      <c r="J61" t="s">
        <v>96</v>
      </c>
      <c r="K61" s="5">
        <f aca="true" t="shared" si="2" ref="K61:K81">K26/0.0283*(21-7)/(21-K$56)</f>
        <v>0.16353707327044945</v>
      </c>
      <c r="L61" t="s">
        <v>96</v>
      </c>
      <c r="M61" s="5">
        <f aca="true" t="shared" si="3" ref="M61:M81">M26/0.0283*(21-7)/(21-M$56)</f>
        <v>0.16353707327044945</v>
      </c>
      <c r="N61"/>
      <c r="O61" s="5">
        <f t="shared" si="0"/>
        <v>0.1542586634279913</v>
      </c>
    </row>
    <row r="62" spans="2:15" ht="12.75">
      <c r="B62" s="8" t="s">
        <v>106</v>
      </c>
      <c r="C62" s="8" t="s">
        <v>258</v>
      </c>
      <c r="D62" s="8" t="s">
        <v>54</v>
      </c>
      <c r="E62" s="8" t="s">
        <v>15</v>
      </c>
      <c r="F62" s="8" t="s">
        <v>96</v>
      </c>
      <c r="G62" s="5">
        <f aca="true" t="shared" si="4" ref="G62:G81">G27/0.0283*(21-7)/(21-G$56)</f>
        <v>0.22392705352304434</v>
      </c>
      <c r="H62" s="66" t="s">
        <v>96</v>
      </c>
      <c r="I62" s="5">
        <f t="shared" si="1"/>
        <v>0.17460127209598014</v>
      </c>
      <c r="J62" s="66" t="s">
        <v>96</v>
      </c>
      <c r="K62" s="5">
        <f t="shared" si="2"/>
        <v>0.17256935321787292</v>
      </c>
      <c r="L62" s="66" t="s">
        <v>96</v>
      </c>
      <c r="M62" s="5">
        <f t="shared" si="3"/>
        <v>0.1716816507836246</v>
      </c>
      <c r="N62"/>
      <c r="O62" s="5">
        <f t="shared" si="0"/>
        <v>0.18569483240513052</v>
      </c>
    </row>
    <row r="63" spans="2:15" ht="12.75">
      <c r="B63" s="8" t="s">
        <v>107</v>
      </c>
      <c r="C63" s="8" t="s">
        <v>258</v>
      </c>
      <c r="D63" s="8" t="s">
        <v>54</v>
      </c>
      <c r="E63" s="8" t="s">
        <v>15</v>
      </c>
      <c r="F63" s="8" t="s">
        <v>96</v>
      </c>
      <c r="G63" s="5">
        <f t="shared" si="4"/>
        <v>2.885747938751473</v>
      </c>
      <c r="H63" t="s">
        <v>96</v>
      </c>
      <c r="I63" s="5">
        <f t="shared" si="1"/>
        <v>0.8314279775514447</v>
      </c>
      <c r="J63" t="s">
        <v>96</v>
      </c>
      <c r="K63" s="5">
        <f t="shared" si="2"/>
        <v>2.4530560990567416</v>
      </c>
      <c r="L63" t="s">
        <v>96</v>
      </c>
      <c r="M63" s="5">
        <f t="shared" si="3"/>
        <v>0.8176853663522473</v>
      </c>
      <c r="N63"/>
      <c r="O63" s="5">
        <f t="shared" si="0"/>
        <v>1.7469793454279765</v>
      </c>
    </row>
    <row r="64" spans="2:15" ht="12.75">
      <c r="B64" s="8" t="s">
        <v>77</v>
      </c>
      <c r="C64" s="8" t="s">
        <v>258</v>
      </c>
      <c r="D64" s="8" t="s">
        <v>54</v>
      </c>
      <c r="E64" s="8" t="s">
        <v>15</v>
      </c>
      <c r="F64" s="8" t="s">
        <v>96</v>
      </c>
      <c r="G64" s="5">
        <f t="shared" si="4"/>
        <v>0.2687124642276532</v>
      </c>
      <c r="H64" s="66" t="s">
        <v>96</v>
      </c>
      <c r="I64" s="5">
        <f t="shared" si="1"/>
        <v>0.17460127209598014</v>
      </c>
      <c r="J64" t="s">
        <v>96</v>
      </c>
      <c r="K64" s="5">
        <f t="shared" si="2"/>
        <v>0.17256935321787292</v>
      </c>
      <c r="L64" s="66" t="s">
        <v>96</v>
      </c>
      <c r="M64" s="5">
        <f t="shared" si="3"/>
        <v>0.1716816507836246</v>
      </c>
      <c r="N64"/>
      <c r="O64" s="5">
        <f t="shared" si="0"/>
        <v>0.19689118508128273</v>
      </c>
    </row>
    <row r="65" spans="2:15" ht="12.75">
      <c r="B65" s="8" t="s">
        <v>108</v>
      </c>
      <c r="C65" s="8" t="s">
        <v>258</v>
      </c>
      <c r="D65" s="8" t="s">
        <v>54</v>
      </c>
      <c r="E65" s="8" t="s">
        <v>15</v>
      </c>
      <c r="F65" s="8" t="s">
        <v>96</v>
      </c>
      <c r="G65" s="5">
        <f t="shared" si="4"/>
        <v>29.68197879858657</v>
      </c>
      <c r="H65" t="s">
        <v>96</v>
      </c>
      <c r="I65" s="5">
        <f t="shared" si="1"/>
        <v>8.729993764290167</v>
      </c>
      <c r="J65" t="s">
        <v>96</v>
      </c>
      <c r="K65" s="5">
        <f t="shared" si="2"/>
        <v>8.585696346698596</v>
      </c>
      <c r="L65" t="s">
        <v>96</v>
      </c>
      <c r="M65" s="5">
        <f t="shared" si="3"/>
        <v>8.585696346698596</v>
      </c>
      <c r="N65"/>
      <c r="O65" s="5">
        <f t="shared" si="0"/>
        <v>13.895841314068484</v>
      </c>
    </row>
    <row r="66" spans="2:15" ht="12.75">
      <c r="B66" s="8" t="s">
        <v>109</v>
      </c>
      <c r="C66" s="8" t="s">
        <v>258</v>
      </c>
      <c r="D66" s="8" t="s">
        <v>54</v>
      </c>
      <c r="E66" s="8" t="s">
        <v>15</v>
      </c>
      <c r="F66" s="8" t="s">
        <v>96</v>
      </c>
      <c r="G66" s="5">
        <f t="shared" si="4"/>
        <v>0.671781160569133</v>
      </c>
      <c r="H66" s="66" t="s">
        <v>96</v>
      </c>
      <c r="I66" s="5">
        <f t="shared" si="1"/>
        <v>0.44232322264314966</v>
      </c>
      <c r="J66" s="66"/>
      <c r="K66" s="5">
        <f t="shared" si="2"/>
        <v>0.424232993327271</v>
      </c>
      <c r="L66" s="66"/>
      <c r="M66" s="5">
        <f t="shared" si="3"/>
        <v>0.424912085689471</v>
      </c>
      <c r="N66"/>
      <c r="O66" s="5">
        <f t="shared" si="0"/>
        <v>0.49081236555725616</v>
      </c>
    </row>
    <row r="67" spans="2:15" ht="12.75">
      <c r="B67" s="8" t="s">
        <v>82</v>
      </c>
      <c r="C67" s="8" t="s">
        <v>258</v>
      </c>
      <c r="D67" s="8" t="s">
        <v>54</v>
      </c>
      <c r="E67" s="8" t="s">
        <v>15</v>
      </c>
      <c r="G67" s="5">
        <f t="shared" si="4"/>
        <v>1.2539914997290482</v>
      </c>
      <c r="H67" s="66"/>
      <c r="I67" s="5">
        <f t="shared" si="1"/>
        <v>1.4986609188238298</v>
      </c>
      <c r="J67" s="66" t="s">
        <v>96</v>
      </c>
      <c r="K67" s="5">
        <f t="shared" si="2"/>
        <v>0.8628467660893647</v>
      </c>
      <c r="L67" s="66" t="s">
        <v>96</v>
      </c>
      <c r="M67" s="5">
        <f t="shared" si="3"/>
        <v>0.858408253918123</v>
      </c>
      <c r="N67"/>
      <c r="O67" s="5">
        <f t="shared" si="0"/>
        <v>1.1184768596400914</v>
      </c>
    </row>
    <row r="68" spans="2:15" ht="12.75">
      <c r="B68" s="88" t="s">
        <v>261</v>
      </c>
      <c r="C68" s="8" t="s">
        <v>258</v>
      </c>
      <c r="D68" s="8" t="s">
        <v>54</v>
      </c>
      <c r="E68" s="8" t="s">
        <v>15</v>
      </c>
      <c r="F68" s="8" t="s">
        <v>96</v>
      </c>
      <c r="G68" s="5">
        <f t="shared" si="4"/>
        <v>1.1130742049469966</v>
      </c>
      <c r="H68"/>
      <c r="I68" s="5">
        <f t="shared" si="1"/>
        <v>1.9122843483683223</v>
      </c>
      <c r="J68" t="s">
        <v>96</v>
      </c>
      <c r="K68" s="5">
        <f t="shared" si="2"/>
        <v>1.349180854481208</v>
      </c>
      <c r="L68" t="s">
        <v>96</v>
      </c>
      <c r="M68" s="5">
        <f t="shared" si="3"/>
        <v>1.2674123178459833</v>
      </c>
      <c r="N68"/>
      <c r="O68" s="5">
        <f t="shared" si="0"/>
        <v>1.4104879314106276</v>
      </c>
    </row>
    <row r="69" spans="2:15" ht="12.75">
      <c r="B69" s="8" t="s">
        <v>110</v>
      </c>
      <c r="C69" s="8" t="s">
        <v>258</v>
      </c>
      <c r="D69" s="8" t="s">
        <v>54</v>
      </c>
      <c r="E69" s="8" t="s">
        <v>15</v>
      </c>
      <c r="F69" s="8" t="s">
        <v>96</v>
      </c>
      <c r="G69" s="5">
        <f t="shared" si="4"/>
        <v>1.2367491166077738</v>
      </c>
      <c r="H69" t="s">
        <v>96</v>
      </c>
      <c r="I69" s="5">
        <f t="shared" si="1"/>
        <v>0.8314279775514447</v>
      </c>
      <c r="J69" t="s">
        <v>96</v>
      </c>
      <c r="K69" s="5">
        <f t="shared" si="2"/>
        <v>0.8176853663522473</v>
      </c>
      <c r="L69" t="s">
        <v>96</v>
      </c>
      <c r="M69" s="5">
        <f t="shared" si="3"/>
        <v>0.8176853663522473</v>
      </c>
      <c r="N69"/>
      <c r="O69" s="5">
        <f t="shared" si="0"/>
        <v>0.9258869567159282</v>
      </c>
    </row>
    <row r="70" spans="2:15" ht="12.75">
      <c r="B70" s="8" t="s">
        <v>111</v>
      </c>
      <c r="C70" s="8" t="s">
        <v>258</v>
      </c>
      <c r="D70" s="8" t="s">
        <v>54</v>
      </c>
      <c r="E70" s="8" t="s">
        <v>15</v>
      </c>
      <c r="F70" s="8" t="s">
        <v>96</v>
      </c>
      <c r="G70" s="5">
        <f t="shared" si="4"/>
        <v>2.061248527679623</v>
      </c>
      <c r="H70" t="s">
        <v>96</v>
      </c>
      <c r="I70" s="5">
        <f t="shared" si="1"/>
        <v>1.6628559551028894</v>
      </c>
      <c r="J70" t="s">
        <v>96</v>
      </c>
      <c r="K70" s="5">
        <f t="shared" si="2"/>
        <v>1.6353707327044946</v>
      </c>
      <c r="L70" t="s">
        <v>96</v>
      </c>
      <c r="M70" s="5">
        <f t="shared" si="3"/>
        <v>1.6353707327044946</v>
      </c>
      <c r="N70"/>
      <c r="O70" s="5">
        <f t="shared" si="0"/>
        <v>1.7487114870478753</v>
      </c>
    </row>
    <row r="71" spans="2:15" ht="12.75">
      <c r="B71" s="8" t="s">
        <v>76</v>
      </c>
      <c r="C71" s="8" t="s">
        <v>258</v>
      </c>
      <c r="D71" s="8" t="s">
        <v>54</v>
      </c>
      <c r="E71" s="8" t="s">
        <v>15</v>
      </c>
      <c r="G71" s="5">
        <f t="shared" si="4"/>
        <v>0.08957082140921774</v>
      </c>
      <c r="H71" s="66" t="s">
        <v>96</v>
      </c>
      <c r="I71" s="5">
        <f t="shared" si="1"/>
        <v>0.13095095407198512</v>
      </c>
      <c r="J71" s="66"/>
      <c r="K71" s="5">
        <f t="shared" si="2"/>
        <v>0.13661740463081606</v>
      </c>
      <c r="L71" s="66" t="s">
        <v>96</v>
      </c>
      <c r="M71" s="5">
        <f t="shared" si="3"/>
        <v>0.0858408253918123</v>
      </c>
      <c r="N71"/>
      <c r="O71" s="5">
        <f t="shared" si="0"/>
        <v>0.11074500137595782</v>
      </c>
    </row>
    <row r="72" spans="2:15" ht="12.75">
      <c r="B72" s="8" t="s">
        <v>112</v>
      </c>
      <c r="C72" s="8" t="s">
        <v>258</v>
      </c>
      <c r="D72" s="8" t="s">
        <v>54</v>
      </c>
      <c r="E72" s="8" t="s">
        <v>15</v>
      </c>
      <c r="F72"/>
      <c r="G72" s="5">
        <f t="shared" si="4"/>
        <v>7.008244994110719</v>
      </c>
      <c r="H72" t="s">
        <v>96</v>
      </c>
      <c r="I72" s="5">
        <f t="shared" si="1"/>
        <v>3.325711910205779</v>
      </c>
      <c r="J72"/>
      <c r="K72" s="5">
        <f t="shared" si="2"/>
        <v>1.6353707327044946</v>
      </c>
      <c r="L72" t="s">
        <v>96</v>
      </c>
      <c r="M72" s="5">
        <f t="shared" si="3"/>
        <v>1.2265280495283708</v>
      </c>
      <c r="N72"/>
      <c r="O72" s="5">
        <f t="shared" si="0"/>
        <v>3.2989639216373408</v>
      </c>
    </row>
    <row r="73" spans="2:15" ht="12.75">
      <c r="B73" s="8" t="s">
        <v>78</v>
      </c>
      <c r="C73" s="8" t="s">
        <v>258</v>
      </c>
      <c r="D73" s="8" t="s">
        <v>54</v>
      </c>
      <c r="E73" s="8" t="s">
        <v>15</v>
      </c>
      <c r="G73" s="5">
        <f t="shared" si="4"/>
        <v>0.40418833160909506</v>
      </c>
      <c r="H73" s="66"/>
      <c r="I73" s="5">
        <f t="shared" si="1"/>
        <v>0.5310788692919396</v>
      </c>
      <c r="J73" s="66"/>
      <c r="K73" s="5">
        <f t="shared" si="2"/>
        <v>0.4934045424087683</v>
      </c>
      <c r="L73" s="66"/>
      <c r="M73" s="5">
        <f t="shared" si="3"/>
        <v>0.5782810270561756</v>
      </c>
      <c r="N73"/>
      <c r="O73" s="5">
        <f>AVERAGE(G73,I73,K73,M73)</f>
        <v>0.5017381925914947</v>
      </c>
    </row>
    <row r="74" spans="2:15" ht="12.75">
      <c r="B74" s="8" t="s">
        <v>113</v>
      </c>
      <c r="C74" s="8" t="s">
        <v>258</v>
      </c>
      <c r="D74" s="8" t="s">
        <v>54</v>
      </c>
      <c r="E74" s="8" t="s">
        <v>15</v>
      </c>
      <c r="F74" s="8" t="s">
        <v>96</v>
      </c>
      <c r="G74" s="5">
        <f t="shared" si="4"/>
        <v>5.35924617196702</v>
      </c>
      <c r="H74" t="s">
        <v>96</v>
      </c>
      <c r="I74" s="5">
        <f t="shared" si="1"/>
        <v>3.7414258989815004</v>
      </c>
      <c r="J74" t="s">
        <v>96</v>
      </c>
      <c r="K74" s="5">
        <f t="shared" si="2"/>
        <v>3.679584148585112</v>
      </c>
      <c r="L74" t="s">
        <v>96</v>
      </c>
      <c r="M74" s="5">
        <f t="shared" si="3"/>
        <v>3.679584148585112</v>
      </c>
      <c r="N74"/>
      <c r="O74" s="5">
        <f t="shared" si="0"/>
        <v>4.114960092029686</v>
      </c>
    </row>
    <row r="75" spans="2:15" ht="12.75">
      <c r="B75" s="8" t="s">
        <v>114</v>
      </c>
      <c r="C75" s="8" t="s">
        <v>258</v>
      </c>
      <c r="D75" s="8" t="s">
        <v>54</v>
      </c>
      <c r="E75" s="8" t="s">
        <v>15</v>
      </c>
      <c r="F75" s="8" t="s">
        <v>96</v>
      </c>
      <c r="G75" s="5">
        <f t="shared" si="4"/>
        <v>412.24970553592465</v>
      </c>
      <c r="H75" t="s">
        <v>96</v>
      </c>
      <c r="I75" s="5">
        <f t="shared" si="1"/>
        <v>170.44273539804615</v>
      </c>
      <c r="J75"/>
      <c r="K75" s="5">
        <f t="shared" si="2"/>
        <v>167.62550010221068</v>
      </c>
      <c r="L75" t="s">
        <v>96</v>
      </c>
      <c r="M75" s="5">
        <f t="shared" si="3"/>
        <v>143.09493911164327</v>
      </c>
      <c r="N75"/>
      <c r="O75" s="5">
        <f t="shared" si="0"/>
        <v>223.3532200369562</v>
      </c>
    </row>
    <row r="76" spans="2:15" ht="12.75">
      <c r="B76" s="8" t="s">
        <v>116</v>
      </c>
      <c r="C76" s="8" t="s">
        <v>258</v>
      </c>
      <c r="D76" s="8" t="s">
        <v>54</v>
      </c>
      <c r="E76" s="8" t="s">
        <v>15</v>
      </c>
      <c r="F76" s="8" t="s">
        <v>96</v>
      </c>
      <c r="G76" s="5">
        <f t="shared" si="4"/>
        <v>0.20612485276796233</v>
      </c>
      <c r="H76" t="s">
        <v>96</v>
      </c>
      <c r="I76" s="5">
        <f t="shared" si="1"/>
        <v>0.16628559551028893</v>
      </c>
      <c r="J76" t="s">
        <v>96</v>
      </c>
      <c r="K76" s="5">
        <f t="shared" si="2"/>
        <v>0.16353707327044945</v>
      </c>
      <c r="L76" t="s">
        <v>96</v>
      </c>
      <c r="M76" s="5">
        <f t="shared" si="3"/>
        <v>0.16353707327044945</v>
      </c>
      <c r="N76"/>
      <c r="O76" s="5">
        <f t="shared" si="0"/>
        <v>0.17487114870478754</v>
      </c>
    </row>
    <row r="77" spans="2:15" ht="12.75">
      <c r="B77" s="8" t="s">
        <v>104</v>
      </c>
      <c r="C77" s="8" t="s">
        <v>258</v>
      </c>
      <c r="D77" s="8" t="s">
        <v>54</v>
      </c>
      <c r="E77" s="8" t="s">
        <v>15</v>
      </c>
      <c r="F77" s="8" t="s">
        <v>96</v>
      </c>
      <c r="G77" s="5">
        <f t="shared" si="4"/>
        <v>1.2367491166077738</v>
      </c>
      <c r="H77" t="s">
        <v>96</v>
      </c>
      <c r="I77" s="5">
        <f t="shared" si="1"/>
        <v>0.8314279775514447</v>
      </c>
      <c r="J77" t="s">
        <v>96</v>
      </c>
      <c r="K77" s="5">
        <f t="shared" si="2"/>
        <v>0.8176853663522473</v>
      </c>
      <c r="L77" t="s">
        <v>96</v>
      </c>
      <c r="M77" s="5">
        <f t="shared" si="3"/>
        <v>0.8176853663522473</v>
      </c>
      <c r="N77"/>
      <c r="O77" s="5">
        <f t="shared" si="0"/>
        <v>0.9258869567159282</v>
      </c>
    </row>
    <row r="78" spans="2:15" ht="12.75">
      <c r="B78" s="8" t="s">
        <v>118</v>
      </c>
      <c r="C78" s="8" t="s">
        <v>258</v>
      </c>
      <c r="D78" s="8" t="s">
        <v>54</v>
      </c>
      <c r="E78" s="8" t="s">
        <v>15</v>
      </c>
      <c r="F78" s="8" t="s">
        <v>96</v>
      </c>
      <c r="G78" s="5">
        <f t="shared" si="4"/>
        <v>0.08244994110718493</v>
      </c>
      <c r="H78" t="s">
        <v>96</v>
      </c>
      <c r="I78" s="5">
        <f t="shared" si="1"/>
        <v>0.08314279775514447</v>
      </c>
      <c r="J78" t="s">
        <v>96</v>
      </c>
      <c r="K78" s="5">
        <f t="shared" si="2"/>
        <v>0.08176853663522472</v>
      </c>
      <c r="L78" t="s">
        <v>96</v>
      </c>
      <c r="M78" s="5">
        <f t="shared" si="3"/>
        <v>0.08176853663522472</v>
      </c>
      <c r="N78"/>
      <c r="O78" s="5">
        <f t="shared" si="0"/>
        <v>0.0822824530331947</v>
      </c>
    </row>
    <row r="79" spans="2:15" ht="12.75">
      <c r="B79" s="8" t="s">
        <v>117</v>
      </c>
      <c r="C79" s="8" t="s">
        <v>258</v>
      </c>
      <c r="D79" s="8" t="s">
        <v>54</v>
      </c>
      <c r="E79" s="8" t="s">
        <v>15</v>
      </c>
      <c r="F79" s="8" t="s">
        <v>96</v>
      </c>
      <c r="G79" s="5">
        <f t="shared" si="4"/>
        <v>13.604240282685515</v>
      </c>
      <c r="H79" t="s">
        <v>96</v>
      </c>
      <c r="I79" s="5">
        <f t="shared" si="1"/>
        <v>8.729993764290167</v>
      </c>
      <c r="J79" t="s">
        <v>96</v>
      </c>
      <c r="K79" s="5">
        <f t="shared" si="2"/>
        <v>8.585696346698596</v>
      </c>
      <c r="L79" t="s">
        <v>96</v>
      </c>
      <c r="M79" s="5">
        <f t="shared" si="3"/>
        <v>8.585696346698596</v>
      </c>
      <c r="N79"/>
      <c r="O79" s="5">
        <f t="shared" si="0"/>
        <v>9.876406685093219</v>
      </c>
    </row>
    <row r="80" spans="2:15" ht="12.75">
      <c r="B80" s="8" t="s">
        <v>119</v>
      </c>
      <c r="C80" s="8" t="s">
        <v>258</v>
      </c>
      <c r="D80" s="8" t="s">
        <v>54</v>
      </c>
      <c r="E80" s="8" t="s">
        <v>15</v>
      </c>
      <c r="F80" s="8" t="s">
        <v>96</v>
      </c>
      <c r="G80" s="5">
        <f t="shared" si="4"/>
        <v>1.2367491166077738</v>
      </c>
      <c r="H80" t="s">
        <v>96</v>
      </c>
      <c r="I80" s="5">
        <f t="shared" si="1"/>
        <v>0.8314279775514447</v>
      </c>
      <c r="J80" t="s">
        <v>96</v>
      </c>
      <c r="K80" s="5">
        <f t="shared" si="2"/>
        <v>0.8176853663522473</v>
      </c>
      <c r="L80" t="s">
        <v>96</v>
      </c>
      <c r="M80" s="5">
        <f t="shared" si="3"/>
        <v>0.8176853663522473</v>
      </c>
      <c r="N80"/>
      <c r="O80" s="5">
        <f t="shared" si="0"/>
        <v>0.9258869567159282</v>
      </c>
    </row>
    <row r="81" spans="2:15" ht="12.75">
      <c r="B81" s="8" t="s">
        <v>120</v>
      </c>
      <c r="C81" s="8" t="s">
        <v>258</v>
      </c>
      <c r="D81" s="8" t="s">
        <v>54</v>
      </c>
      <c r="E81" s="8" t="s">
        <v>15</v>
      </c>
      <c r="F81" s="8" t="s">
        <v>96</v>
      </c>
      <c r="G81" s="5">
        <f t="shared" si="4"/>
        <v>25.97173144876325</v>
      </c>
      <c r="H81" t="s">
        <v>96</v>
      </c>
      <c r="I81" s="5">
        <f t="shared" si="1"/>
        <v>1.6628559551028894</v>
      </c>
      <c r="J81" t="s">
        <v>96</v>
      </c>
      <c r="K81" s="5">
        <f t="shared" si="2"/>
        <v>1.6353707327044946</v>
      </c>
      <c r="L81" t="s">
        <v>96</v>
      </c>
      <c r="M81" s="5">
        <f t="shared" si="3"/>
        <v>1.6353707327044946</v>
      </c>
      <c r="N81"/>
      <c r="O81" s="5">
        <f t="shared" si="0"/>
        <v>7.726332217318782</v>
      </c>
    </row>
    <row r="82" spans="2:15" ht="13.5" customHeight="1">
      <c r="B82" s="8"/>
      <c r="C82" s="8"/>
      <c r="F82"/>
      <c r="G82"/>
      <c r="H82"/>
      <c r="I82"/>
      <c r="J82"/>
      <c r="K82"/>
      <c r="L82"/>
      <c r="M82"/>
      <c r="N82"/>
      <c r="O82" s="5"/>
    </row>
    <row r="83" spans="2:15" ht="12.75">
      <c r="B83" t="s">
        <v>55</v>
      </c>
      <c r="C83" s="8" t="s">
        <v>258</v>
      </c>
      <c r="D83" s="8" t="s">
        <v>54</v>
      </c>
      <c r="E83" s="8" t="s">
        <v>15</v>
      </c>
      <c r="G83" s="63">
        <f>G71+G66</f>
        <v>0.7613519819783507</v>
      </c>
      <c r="H83" s="63"/>
      <c r="I83" s="63">
        <f>I71+I66</f>
        <v>0.5732741767151348</v>
      </c>
      <c r="J83" s="63"/>
      <c r="K83" s="63">
        <f>K71+K66</f>
        <v>0.560850397958087</v>
      </c>
      <c r="L83" s="63"/>
      <c r="M83" s="63">
        <f>M71+M66</f>
        <v>0.5107529110812833</v>
      </c>
      <c r="N83" s="5"/>
      <c r="O83" s="5">
        <f>AVERAGE(G83,I83,K83,M83)</f>
        <v>0.6015573669332139</v>
      </c>
    </row>
    <row r="84" spans="2:15" ht="12.75">
      <c r="B84" t="s">
        <v>56</v>
      </c>
      <c r="C84" s="8" t="s">
        <v>258</v>
      </c>
      <c r="D84" s="8" t="s">
        <v>54</v>
      </c>
      <c r="E84" s="8" t="s">
        <v>15</v>
      </c>
      <c r="G84" s="5">
        <f>G67+G62+G64</f>
        <v>1.746631017479746</v>
      </c>
      <c r="I84" s="5">
        <f>I67+I62+I64</f>
        <v>1.8478634630157902</v>
      </c>
      <c r="J84" s="64"/>
      <c r="K84" s="5">
        <f>K67+K62+K64</f>
        <v>1.2079854725251105</v>
      </c>
      <c r="L84" s="64"/>
      <c r="M84" s="5">
        <f>M67+M62+M64</f>
        <v>1.201771555485372</v>
      </c>
      <c r="N84" s="5"/>
      <c r="O84" s="5">
        <f>AVERAGE(G84,I84,K84,M84)</f>
        <v>1.5010628771265047</v>
      </c>
    </row>
    <row r="85" ht="12.75"/>
    <row r="86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70"/>
  <sheetViews>
    <sheetView workbookViewId="0" topLeftCell="B1">
      <selection activeCell="B31" sqref="B31"/>
    </sheetView>
  </sheetViews>
  <sheetFormatPr defaultColWidth="9.140625" defaultRowHeight="12.75"/>
  <cols>
    <col min="1" max="1" width="9.140625" style="0" hidden="1" customWidth="1"/>
    <col min="2" max="2" width="18.57421875" style="0" customWidth="1"/>
    <col min="3" max="3" width="8.7109375" style="0" customWidth="1"/>
    <col min="5" max="5" width="3.28125" style="0" customWidth="1"/>
    <col min="6" max="6" width="4.140625" style="0" customWidth="1"/>
    <col min="8" max="8" width="4.28125" style="0" customWidth="1"/>
    <col min="10" max="10" width="4.140625" style="0" customWidth="1"/>
    <col min="12" max="12" width="3.140625" style="0" customWidth="1"/>
    <col min="13" max="13" width="9.57421875" style="0" bestFit="1" customWidth="1"/>
    <col min="14" max="14" width="3.8515625" style="0" customWidth="1"/>
    <col min="16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6" t="s">
        <v>236</v>
      </c>
    </row>
    <row r="2" ht="12.75">
      <c r="B2" s="6"/>
    </row>
    <row r="4" spans="2:15" ht="12.75">
      <c r="B4" s="6" t="s">
        <v>166</v>
      </c>
      <c r="G4" s="51" t="s">
        <v>179</v>
      </c>
      <c r="H4" s="51"/>
      <c r="I4" s="51" t="s">
        <v>180</v>
      </c>
      <c r="J4" s="51"/>
      <c r="K4" s="51" t="s">
        <v>181</v>
      </c>
      <c r="L4" s="51"/>
      <c r="M4" s="51" t="s">
        <v>182</v>
      </c>
      <c r="N4" s="51"/>
      <c r="O4" s="51" t="s">
        <v>47</v>
      </c>
    </row>
    <row r="6" spans="1:24" s="76" customFormat="1" ht="12.75">
      <c r="A6" s="76" t="s">
        <v>166</v>
      </c>
      <c r="B6" s="76" t="s">
        <v>13</v>
      </c>
      <c r="C6" s="76" t="s">
        <v>257</v>
      </c>
      <c r="D6" s="76" t="s">
        <v>14</v>
      </c>
      <c r="E6" s="76" t="s">
        <v>15</v>
      </c>
      <c r="F6" s="77" t="s">
        <v>183</v>
      </c>
      <c r="G6" s="78">
        <v>0.001961232</v>
      </c>
      <c r="H6" s="78" t="s">
        <v>183</v>
      </c>
      <c r="I6" s="78">
        <v>0.00072072</v>
      </c>
      <c r="J6" s="78" t="s">
        <v>183</v>
      </c>
      <c r="K6" s="78">
        <v>0.001795248</v>
      </c>
      <c r="L6" s="78" t="s">
        <v>183</v>
      </c>
      <c r="M6" s="78">
        <v>0.001279824</v>
      </c>
      <c r="N6" s="78" t="s">
        <v>183</v>
      </c>
      <c r="O6" s="78">
        <f>AVERAGE(G6,I6,K6,M6)</f>
        <v>0.0014392559999999999</v>
      </c>
      <c r="P6" s="78" t="s">
        <v>183</v>
      </c>
      <c r="Q6" s="78"/>
      <c r="R6" s="78" t="s">
        <v>183</v>
      </c>
      <c r="S6" s="78"/>
      <c r="T6" s="78" t="s">
        <v>183</v>
      </c>
      <c r="U6" s="78"/>
      <c r="V6" s="77" t="s">
        <v>183</v>
      </c>
      <c r="W6" s="77"/>
      <c r="X6" s="76">
        <v>0.0014392559999999999</v>
      </c>
    </row>
    <row r="7" spans="1:24" s="76" customFormat="1" ht="12.75">
      <c r="A7" s="76" t="s">
        <v>166</v>
      </c>
      <c r="B7" s="76" t="s">
        <v>122</v>
      </c>
      <c r="C7" s="76" t="s">
        <v>257</v>
      </c>
      <c r="D7" s="76" t="s">
        <v>16</v>
      </c>
      <c r="E7" s="76" t="s">
        <v>15</v>
      </c>
      <c r="F7" s="77" t="s">
        <v>183</v>
      </c>
      <c r="G7" s="79">
        <v>12.9</v>
      </c>
      <c r="H7" s="79" t="s">
        <v>183</v>
      </c>
      <c r="I7" s="79">
        <v>12.8</v>
      </c>
      <c r="J7" s="79" t="s">
        <v>183</v>
      </c>
      <c r="K7" s="79">
        <v>13.6</v>
      </c>
      <c r="L7" s="77" t="s">
        <v>183</v>
      </c>
      <c r="M7" s="77">
        <v>15.4</v>
      </c>
      <c r="N7" s="77" t="s">
        <v>183</v>
      </c>
      <c r="O7" s="79">
        <f>AVERAGE(G7,I7,K7,M7)</f>
        <v>13.675</v>
      </c>
      <c r="P7" s="77" t="s">
        <v>183</v>
      </c>
      <c r="Q7" s="77"/>
      <c r="R7" s="77" t="s">
        <v>183</v>
      </c>
      <c r="S7" s="77"/>
      <c r="T7" s="77" t="s">
        <v>183</v>
      </c>
      <c r="U7" s="77"/>
      <c r="V7" s="77" t="s">
        <v>183</v>
      </c>
      <c r="W7" s="77"/>
      <c r="X7" s="76">
        <v>13.675</v>
      </c>
    </row>
    <row r="8" spans="1:24" s="76" customFormat="1" ht="12.75">
      <c r="A8" s="76" t="s">
        <v>166</v>
      </c>
      <c r="B8" s="76" t="s">
        <v>282</v>
      </c>
      <c r="C8" s="76" t="s">
        <v>257</v>
      </c>
      <c r="D8" s="76" t="s">
        <v>16</v>
      </c>
      <c r="E8" s="76" t="s">
        <v>15</v>
      </c>
      <c r="F8" s="77" t="s">
        <v>183</v>
      </c>
      <c r="G8" s="79">
        <v>3.5593220338983</v>
      </c>
      <c r="H8" s="79" t="s">
        <v>183</v>
      </c>
      <c r="I8" s="79">
        <v>2.8156424581005592</v>
      </c>
      <c r="J8" s="79" t="s">
        <v>183</v>
      </c>
      <c r="K8" s="79">
        <v>1.122994652406417</v>
      </c>
      <c r="L8" s="77" t="s">
        <v>183</v>
      </c>
      <c r="M8" s="79">
        <v>1.8666666666666665</v>
      </c>
      <c r="N8" s="77" t="s">
        <v>183</v>
      </c>
      <c r="O8" s="79">
        <f>AVERAGE(G8,I8,K8,M8)</f>
        <v>2.341156452767986</v>
      </c>
      <c r="P8" s="77" t="s">
        <v>183</v>
      </c>
      <c r="Q8" s="77"/>
      <c r="R8" s="77" t="s">
        <v>183</v>
      </c>
      <c r="S8" s="77"/>
      <c r="T8" s="77" t="s">
        <v>183</v>
      </c>
      <c r="U8" s="77"/>
      <c r="V8" s="77" t="s">
        <v>183</v>
      </c>
      <c r="W8" s="77"/>
      <c r="X8" s="76">
        <v>2.3411564527679856</v>
      </c>
    </row>
    <row r="9" spans="1:24" s="76" customFormat="1" ht="12.75">
      <c r="A9" s="76" t="s">
        <v>166</v>
      </c>
      <c r="B9" s="76" t="s">
        <v>48</v>
      </c>
      <c r="C9" s="80" t="s">
        <v>257</v>
      </c>
      <c r="D9" s="76" t="s">
        <v>16</v>
      </c>
      <c r="E9" s="76" t="s">
        <v>15</v>
      </c>
      <c r="F9" s="77" t="s">
        <v>96</v>
      </c>
      <c r="G9" s="79">
        <v>1.3745943172325308</v>
      </c>
      <c r="H9" s="79" t="s">
        <v>96</v>
      </c>
      <c r="I9" s="79">
        <v>1.3651792876624451</v>
      </c>
      <c r="J9" s="79" t="s">
        <v>96</v>
      </c>
      <c r="K9" s="79">
        <v>1.2448600379770403</v>
      </c>
      <c r="L9" s="77" t="s">
        <v>96</v>
      </c>
      <c r="M9" s="79">
        <v>1.379899611672817</v>
      </c>
      <c r="N9" s="77" t="s">
        <v>183</v>
      </c>
      <c r="O9" s="79">
        <f>AVERAGE(G9,I9,K9,M9)</f>
        <v>1.3411333136362082</v>
      </c>
      <c r="P9" s="77" t="s">
        <v>183</v>
      </c>
      <c r="Q9" s="77"/>
      <c r="R9" s="77" t="s">
        <v>183</v>
      </c>
      <c r="S9" s="77"/>
      <c r="T9" s="77" t="s">
        <v>183</v>
      </c>
      <c r="U9" s="77"/>
      <c r="V9" s="77" t="s">
        <v>183</v>
      </c>
      <c r="W9" s="77"/>
      <c r="X9" s="76">
        <v>1.3411333136362085</v>
      </c>
    </row>
    <row r="10" spans="3:23" s="76" customFormat="1" ht="12.75">
      <c r="C10" s="80"/>
      <c r="F10" s="77"/>
      <c r="G10" s="79"/>
      <c r="H10" s="79"/>
      <c r="I10" s="79"/>
      <c r="J10" s="79"/>
      <c r="K10" s="79"/>
      <c r="L10" s="77"/>
      <c r="M10" s="79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2:23" s="76" customFormat="1" ht="12.75">
      <c r="B11" s="80" t="s">
        <v>78</v>
      </c>
      <c r="C11"/>
      <c r="D11" s="80" t="s">
        <v>54</v>
      </c>
      <c r="E11" s="76" t="s">
        <v>99</v>
      </c>
      <c r="F11" s="77" t="s">
        <v>96</v>
      </c>
      <c r="G11" s="79">
        <f>0.8/1.491371</f>
        <v>0.5364191740351664</v>
      </c>
      <c r="H11" s="79" t="s">
        <v>96</v>
      </c>
      <c r="I11" s="79">
        <f>0.69/1.712839</f>
        <v>0.40283996335907807</v>
      </c>
      <c r="J11" s="79" t="s">
        <v>96</v>
      </c>
      <c r="K11" s="79">
        <f>0.6/1.559134</f>
        <v>0.38482901405523834</v>
      </c>
      <c r="L11" s="77" t="s">
        <v>96</v>
      </c>
      <c r="M11" s="91">
        <f>0.6/1.599033</f>
        <v>0.3752267776837626</v>
      </c>
      <c r="O11" s="77"/>
      <c r="P11" s="77"/>
      <c r="Q11" s="77"/>
      <c r="R11" s="77"/>
      <c r="S11" s="77"/>
      <c r="T11" s="77"/>
      <c r="U11" s="77"/>
      <c r="V11" s="77"/>
      <c r="W11" s="77"/>
    </row>
    <row r="12" spans="2:23" s="76" customFormat="1" ht="12.75">
      <c r="B12" s="80" t="s">
        <v>106</v>
      </c>
      <c r="C12"/>
      <c r="D12" s="80" t="s">
        <v>54</v>
      </c>
      <c r="E12" s="76" t="s">
        <v>99</v>
      </c>
      <c r="F12" s="77" t="s">
        <v>96</v>
      </c>
      <c r="G12" s="79">
        <f>10/1.491371</f>
        <v>6.705239675439579</v>
      </c>
      <c r="H12" s="79" t="s">
        <v>96</v>
      </c>
      <c r="I12" s="79">
        <f>10/1.712839</f>
        <v>5.838260338537364</v>
      </c>
      <c r="J12" s="79" t="s">
        <v>96</v>
      </c>
      <c r="K12" s="79">
        <f>10/1.559134</f>
        <v>6.413816900920639</v>
      </c>
      <c r="L12" s="77" t="s">
        <v>96</v>
      </c>
      <c r="M12" s="91">
        <f>10/1.599033</f>
        <v>6.253779628062711</v>
      </c>
      <c r="O12" s="77"/>
      <c r="P12" s="77"/>
      <c r="Q12" s="77"/>
      <c r="R12" s="77"/>
      <c r="S12" s="77"/>
      <c r="T12" s="77"/>
      <c r="U12" s="77"/>
      <c r="V12" s="77"/>
      <c r="W12" s="77"/>
    </row>
    <row r="13" spans="2:23" s="76" customFormat="1" ht="12.75">
      <c r="B13" s="80" t="s">
        <v>77</v>
      </c>
      <c r="C13"/>
      <c r="D13" s="80" t="s">
        <v>54</v>
      </c>
      <c r="E13" s="76" t="s">
        <v>99</v>
      </c>
      <c r="F13" s="81" t="s">
        <v>96</v>
      </c>
      <c r="G13" s="79">
        <f>1/1.491371</f>
        <v>0.6705239675439578</v>
      </c>
      <c r="H13" s="79" t="s">
        <v>96</v>
      </c>
      <c r="I13" s="79">
        <f>1/1.712839</f>
        <v>0.5838260338537364</v>
      </c>
      <c r="J13" s="79" t="s">
        <v>96</v>
      </c>
      <c r="K13" s="79">
        <f>1/1.559134</f>
        <v>0.6413816900920639</v>
      </c>
      <c r="L13" s="81" t="s">
        <v>96</v>
      </c>
      <c r="M13" s="91">
        <f>1/1.599033</f>
        <v>0.6253779628062711</v>
      </c>
      <c r="O13" s="77"/>
      <c r="P13" s="77"/>
      <c r="Q13" s="77"/>
      <c r="R13" s="77"/>
      <c r="S13" s="77"/>
      <c r="T13" s="77"/>
      <c r="U13" s="77"/>
      <c r="V13" s="77"/>
      <c r="W13" s="77"/>
    </row>
    <row r="14" spans="1:24" s="76" customFormat="1" ht="12.75">
      <c r="A14" s="76" t="s">
        <v>166</v>
      </c>
      <c r="B14" s="76" t="s">
        <v>82</v>
      </c>
      <c r="C14"/>
      <c r="D14" s="76" t="s">
        <v>54</v>
      </c>
      <c r="E14" s="76" t="s">
        <v>99</v>
      </c>
      <c r="F14" s="77" t="s">
        <v>183</v>
      </c>
      <c r="G14" s="79">
        <f>3.32/1.491371</f>
        <v>2.22613957224594</v>
      </c>
      <c r="H14" s="79" t="s">
        <v>183</v>
      </c>
      <c r="I14" s="79">
        <f>3.12/1.712839</f>
        <v>1.8215372256236577</v>
      </c>
      <c r="J14" s="79" t="s">
        <v>183</v>
      </c>
      <c r="K14" s="79">
        <f>4.09/1.559134</f>
        <v>2.623251112476541</v>
      </c>
      <c r="L14" s="77" t="s">
        <v>183</v>
      </c>
      <c r="M14" s="91">
        <f>4.6/1.599033</f>
        <v>2.876738628908847</v>
      </c>
      <c r="O14" s="77"/>
      <c r="P14" s="77" t="s">
        <v>183</v>
      </c>
      <c r="Q14" s="77"/>
      <c r="R14" s="77" t="s">
        <v>183</v>
      </c>
      <c r="S14" s="77"/>
      <c r="T14" s="77" t="s">
        <v>183</v>
      </c>
      <c r="U14" s="77"/>
      <c r="V14" s="77" t="s">
        <v>183</v>
      </c>
      <c r="W14" s="77"/>
      <c r="X14" s="76">
        <v>3.700141242937853</v>
      </c>
    </row>
    <row r="15" spans="2:23" s="76" customFormat="1" ht="12.75">
      <c r="B15" s="80" t="s">
        <v>76</v>
      </c>
      <c r="C15"/>
      <c r="D15" s="80" t="s">
        <v>54</v>
      </c>
      <c r="E15" s="76" t="s">
        <v>99</v>
      </c>
      <c r="F15" s="77" t="s">
        <v>96</v>
      </c>
      <c r="G15" s="79">
        <f>10/1.491371</f>
        <v>6.705239675439579</v>
      </c>
      <c r="H15" s="79" t="s">
        <v>96</v>
      </c>
      <c r="I15" s="79">
        <f>10/1.712839</f>
        <v>5.838260338537364</v>
      </c>
      <c r="J15" s="79" t="s">
        <v>96</v>
      </c>
      <c r="K15" s="79">
        <f>10/1.559134</f>
        <v>6.413816900920639</v>
      </c>
      <c r="L15" s="77" t="s">
        <v>96</v>
      </c>
      <c r="M15" s="91">
        <f>10/1.599033</f>
        <v>6.253779628062711</v>
      </c>
      <c r="O15" s="77"/>
      <c r="P15" s="77"/>
      <c r="Q15" s="77"/>
      <c r="R15" s="77"/>
      <c r="S15" s="77"/>
      <c r="T15" s="77"/>
      <c r="U15" s="77"/>
      <c r="V15" s="77"/>
      <c r="W15" s="77"/>
    </row>
    <row r="16" spans="2:23" s="76" customFormat="1" ht="12.75">
      <c r="B16" s="80" t="s">
        <v>109</v>
      </c>
      <c r="C16"/>
      <c r="D16" s="80" t="s">
        <v>54</v>
      </c>
      <c r="E16" s="76" t="s">
        <v>99</v>
      </c>
      <c r="F16" s="81" t="s">
        <v>96</v>
      </c>
      <c r="G16" s="79">
        <f>2/1.491371</f>
        <v>1.3410479350879156</v>
      </c>
      <c r="H16" s="79" t="s">
        <v>96</v>
      </c>
      <c r="I16" s="79">
        <f>2/1.712839</f>
        <v>1.1676520677074729</v>
      </c>
      <c r="J16" s="79" t="s">
        <v>96</v>
      </c>
      <c r="K16" s="79">
        <f>2/1.559134</f>
        <v>1.2827633801841278</v>
      </c>
      <c r="L16" s="81" t="s">
        <v>96</v>
      </c>
      <c r="M16" s="91">
        <f>2/1.599033</f>
        <v>1.2507559256125422</v>
      </c>
      <c r="O16" s="77"/>
      <c r="P16" s="77"/>
      <c r="Q16" s="77"/>
      <c r="R16" s="77"/>
      <c r="S16" s="77"/>
      <c r="T16" s="77"/>
      <c r="U16" s="77"/>
      <c r="V16" s="77"/>
      <c r="W16" s="77"/>
    </row>
    <row r="17" spans="2:23" s="76" customFormat="1" ht="12.75">
      <c r="B17" s="80" t="s">
        <v>118</v>
      </c>
      <c r="C17"/>
      <c r="D17" s="80" t="s">
        <v>54</v>
      </c>
      <c r="E17" s="76" t="s">
        <v>99</v>
      </c>
      <c r="F17" s="81" t="s">
        <v>96</v>
      </c>
      <c r="G17" s="79">
        <f>2/1.491371</f>
        <v>1.3410479350879156</v>
      </c>
      <c r="H17" s="79" t="s">
        <v>96</v>
      </c>
      <c r="I17" s="79">
        <f>2/1.712839</f>
        <v>1.1676520677074729</v>
      </c>
      <c r="J17" s="79" t="s">
        <v>96</v>
      </c>
      <c r="K17" s="79">
        <f>2/1.559134</f>
        <v>1.2827633801841278</v>
      </c>
      <c r="L17" s="81" t="s">
        <v>96</v>
      </c>
      <c r="M17" s="91">
        <f>2/1.599033</f>
        <v>1.2507559256125422</v>
      </c>
      <c r="O17" s="77"/>
      <c r="P17" s="77"/>
      <c r="Q17" s="77"/>
      <c r="R17" s="77"/>
      <c r="S17" s="77"/>
      <c r="T17" s="77"/>
      <c r="U17" s="77"/>
      <c r="V17" s="77"/>
      <c r="W17" s="77"/>
    </row>
    <row r="18" spans="2:23" s="76" customFormat="1" ht="12.75">
      <c r="B18" s="80" t="s">
        <v>116</v>
      </c>
      <c r="C18"/>
      <c r="D18" s="80" t="s">
        <v>54</v>
      </c>
      <c r="E18" s="76" t="s">
        <v>99</v>
      </c>
      <c r="F18" s="81" t="s">
        <v>96</v>
      </c>
      <c r="G18" s="79">
        <f>10/1.491371</f>
        <v>6.705239675439579</v>
      </c>
      <c r="H18" s="79" t="s">
        <v>96</v>
      </c>
      <c r="I18" s="79">
        <f>10/1.712839</f>
        <v>5.838260338537364</v>
      </c>
      <c r="J18" s="79" t="s">
        <v>96</v>
      </c>
      <c r="K18" s="79">
        <f>10/1.559134</f>
        <v>6.413816900920639</v>
      </c>
      <c r="L18" s="81" t="s">
        <v>96</v>
      </c>
      <c r="M18" s="91">
        <f>10/1.599033</f>
        <v>6.253779628062711</v>
      </c>
      <c r="O18" s="77"/>
      <c r="P18" s="77"/>
      <c r="Q18" s="77"/>
      <c r="R18" s="77"/>
      <c r="S18" s="77"/>
      <c r="T18" s="77"/>
      <c r="U18" s="77"/>
      <c r="V18" s="77"/>
      <c r="W18" s="77"/>
    </row>
    <row r="19" spans="2:23" s="76" customFormat="1" ht="12.75">
      <c r="B19" s="80" t="s">
        <v>107</v>
      </c>
      <c r="C19"/>
      <c r="D19" s="80" t="s">
        <v>54</v>
      </c>
      <c r="E19" s="76" t="s">
        <v>99</v>
      </c>
      <c r="F19" s="81" t="s">
        <v>96</v>
      </c>
      <c r="G19" s="79">
        <f>20/1.491371</f>
        <v>13.410479350879157</v>
      </c>
      <c r="H19" s="79"/>
      <c r="I19" s="79">
        <f>19.2/1.712839</f>
        <v>11.209459849991738</v>
      </c>
      <c r="J19" s="79" t="s">
        <v>96</v>
      </c>
      <c r="K19" s="79">
        <f>20/1.559134</f>
        <v>12.827633801841278</v>
      </c>
      <c r="L19" s="81" t="s">
        <v>96</v>
      </c>
      <c r="M19" s="91">
        <f>20/1.599033</f>
        <v>12.507559256125422</v>
      </c>
      <c r="O19" s="77"/>
      <c r="P19" s="77"/>
      <c r="Q19" s="77"/>
      <c r="R19" s="77"/>
      <c r="S19" s="77"/>
      <c r="T19" s="77"/>
      <c r="U19" s="77"/>
      <c r="V19" s="77"/>
      <c r="W19" s="77"/>
    </row>
    <row r="20" spans="2:23" s="76" customFormat="1" ht="12.75">
      <c r="B20" s="80" t="s">
        <v>104</v>
      </c>
      <c r="C20"/>
      <c r="D20" s="80" t="s">
        <v>54</v>
      </c>
      <c r="E20" s="76" t="s">
        <v>99</v>
      </c>
      <c r="F20" s="81" t="s">
        <v>96</v>
      </c>
      <c r="G20" s="79">
        <f>4/1.491371</f>
        <v>2.6820958701758313</v>
      </c>
      <c r="H20" s="79" t="s">
        <v>96</v>
      </c>
      <c r="I20" s="79">
        <f>4/1.712839</f>
        <v>2.3353041354149457</v>
      </c>
      <c r="J20" s="79" t="s">
        <v>96</v>
      </c>
      <c r="K20" s="79">
        <f>4/1.559134</f>
        <v>2.5655267603682557</v>
      </c>
      <c r="L20" s="81" t="s">
        <v>96</v>
      </c>
      <c r="M20" s="91">
        <f>4/1.599033</f>
        <v>2.5015118512250845</v>
      </c>
      <c r="O20" s="77"/>
      <c r="P20" s="77"/>
      <c r="Q20" s="77"/>
      <c r="R20" s="77"/>
      <c r="S20" s="77"/>
      <c r="T20" s="77"/>
      <c r="U20" s="77"/>
      <c r="V20" s="77"/>
      <c r="W20" s="77"/>
    </row>
    <row r="21" spans="2:23" s="76" customFormat="1" ht="12.75">
      <c r="B21" s="80" t="s">
        <v>115</v>
      </c>
      <c r="C21"/>
      <c r="D21" s="80" t="s">
        <v>54</v>
      </c>
      <c r="E21" s="76" t="s">
        <v>99</v>
      </c>
      <c r="F21" s="81" t="s">
        <v>96</v>
      </c>
      <c r="G21" s="79">
        <f>10/1.491371</f>
        <v>6.705239675439579</v>
      </c>
      <c r="H21" s="79" t="s">
        <v>96</v>
      </c>
      <c r="I21" s="79">
        <f>10/1.712839</f>
        <v>5.838260338537364</v>
      </c>
      <c r="J21" s="79" t="s">
        <v>96</v>
      </c>
      <c r="K21" s="79">
        <f>10/1.559134</f>
        <v>6.413816900920639</v>
      </c>
      <c r="L21" s="81" t="s">
        <v>96</v>
      </c>
      <c r="M21" s="91">
        <f>10/1.599033</f>
        <v>6.253779628062711</v>
      </c>
      <c r="O21" s="77"/>
      <c r="P21" s="77"/>
      <c r="Q21" s="77"/>
      <c r="R21" s="77"/>
      <c r="S21" s="77"/>
      <c r="T21" s="77"/>
      <c r="U21" s="77"/>
      <c r="V21" s="77"/>
      <c r="W21" s="77"/>
    </row>
    <row r="22" spans="2:23" s="76" customFormat="1" ht="12.75">
      <c r="B22" s="80" t="s">
        <v>291</v>
      </c>
      <c r="C22"/>
      <c r="D22" s="80" t="s">
        <v>54</v>
      </c>
      <c r="E22" s="76" t="s">
        <v>99</v>
      </c>
      <c r="F22" s="81" t="s">
        <v>96</v>
      </c>
      <c r="G22" s="79">
        <f>4/1.491371</f>
        <v>2.6820958701758313</v>
      </c>
      <c r="H22" s="79" t="s">
        <v>96</v>
      </c>
      <c r="I22" s="79">
        <f>4/1.712839</f>
        <v>2.3353041354149457</v>
      </c>
      <c r="J22" s="79" t="s">
        <v>96</v>
      </c>
      <c r="K22" s="79">
        <f>4/1.559134</f>
        <v>2.5655267603682557</v>
      </c>
      <c r="L22" s="81" t="s">
        <v>96</v>
      </c>
      <c r="M22" s="91">
        <f>4/1.599033</f>
        <v>2.5015118512250845</v>
      </c>
      <c r="O22" s="77"/>
      <c r="P22" s="77"/>
      <c r="Q22" s="77"/>
      <c r="R22" s="77"/>
      <c r="S22" s="77"/>
      <c r="T22" s="77"/>
      <c r="U22" s="77"/>
      <c r="V22" s="77"/>
      <c r="W22" s="77"/>
    </row>
    <row r="23" spans="2:23" s="76" customFormat="1" ht="12.75">
      <c r="B23" s="80" t="s">
        <v>113</v>
      </c>
      <c r="C23"/>
      <c r="D23" s="80" t="s">
        <v>54</v>
      </c>
      <c r="E23" s="76" t="s">
        <v>99</v>
      </c>
      <c r="F23" s="81" t="s">
        <v>96</v>
      </c>
      <c r="G23" s="79">
        <f>6/1.491371</f>
        <v>4.023143805263747</v>
      </c>
      <c r="H23" s="79" t="s">
        <v>96</v>
      </c>
      <c r="I23" s="79">
        <f>6/1.712839</f>
        <v>3.502956203122418</v>
      </c>
      <c r="J23" s="79" t="s">
        <v>96</v>
      </c>
      <c r="K23" s="79">
        <f>6/1.559134</f>
        <v>3.8482901405523835</v>
      </c>
      <c r="L23" s="81" t="s">
        <v>96</v>
      </c>
      <c r="M23" s="91">
        <f>6/1.599033</f>
        <v>3.7522677768376265</v>
      </c>
      <c r="O23" s="77"/>
      <c r="P23" s="77"/>
      <c r="Q23" s="77"/>
      <c r="R23" s="77"/>
      <c r="S23" s="77"/>
      <c r="T23" s="77"/>
      <c r="U23" s="77"/>
      <c r="V23" s="77"/>
      <c r="W23" s="77"/>
    </row>
    <row r="24" spans="2:23" s="76" customFormat="1" ht="12.75">
      <c r="B24" s="80" t="s">
        <v>112</v>
      </c>
      <c r="C24"/>
      <c r="D24" s="80" t="s">
        <v>54</v>
      </c>
      <c r="E24" s="76" t="s">
        <v>99</v>
      </c>
      <c r="F24" s="77"/>
      <c r="G24" s="79">
        <f>1072.3/1.491371</f>
        <v>719.0028503973859</v>
      </c>
      <c r="H24" s="79"/>
      <c r="I24" s="79">
        <f>82.52/1.712839</f>
        <v>48.17732431361033</v>
      </c>
      <c r="J24" s="79"/>
      <c r="K24" s="79">
        <f>5.79/1.559134</f>
        <v>3.71359998563305</v>
      </c>
      <c r="L24" s="77"/>
      <c r="M24" s="91">
        <f>512.95/1.599033</f>
        <v>320.7876260214768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6:23" s="76" customFormat="1" ht="12.75">
      <c r="F25" s="77"/>
      <c r="G25" s="79"/>
      <c r="H25" s="79"/>
      <c r="I25" s="79"/>
      <c r="J25" s="79"/>
      <c r="K25" s="79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2:23" s="76" customFormat="1" ht="12.75">
      <c r="B26" s="76" t="s">
        <v>83</v>
      </c>
      <c r="C26" s="76" t="s">
        <v>184</v>
      </c>
      <c r="D26" s="76" t="s">
        <v>257</v>
      </c>
      <c r="F26" s="77"/>
      <c r="G26" s="79"/>
      <c r="H26" s="79"/>
      <c r="I26" s="79"/>
      <c r="J26" s="79"/>
      <c r="K26" s="79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2:63" s="76" customFormat="1" ht="12.75">
      <c r="B27" s="8" t="s">
        <v>75</v>
      </c>
      <c r="C27" s="8"/>
      <c r="D27" s="8" t="s">
        <v>17</v>
      </c>
      <c r="G27" s="79">
        <v>7865</v>
      </c>
      <c r="H27" s="79"/>
      <c r="I27" s="79">
        <v>7643</v>
      </c>
      <c r="J27" s="79"/>
      <c r="K27" s="79">
        <v>7540</v>
      </c>
      <c r="L27" s="79"/>
      <c r="M27" s="79">
        <v>7575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</row>
    <row r="28" spans="2:63" s="76" customFormat="1" ht="12.75">
      <c r="B28" s="8" t="s">
        <v>80</v>
      </c>
      <c r="C28" s="8"/>
      <c r="D28" s="8" t="s">
        <v>18</v>
      </c>
      <c r="G28" s="79">
        <v>15.1</v>
      </c>
      <c r="H28" s="79"/>
      <c r="I28" s="79">
        <v>15.1</v>
      </c>
      <c r="J28" s="79"/>
      <c r="K28" s="79">
        <v>14.5</v>
      </c>
      <c r="L28" s="79"/>
      <c r="M28" s="79">
        <v>14.7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</row>
    <row r="29" spans="1:63" s="76" customFormat="1" ht="12.75">
      <c r="A29" s="76" t="s">
        <v>166</v>
      </c>
      <c r="B29" s="8" t="s">
        <v>81</v>
      </c>
      <c r="C29" s="8"/>
      <c r="D29" s="8" t="s">
        <v>18</v>
      </c>
      <c r="G29" s="79">
        <v>32.1</v>
      </c>
      <c r="H29" s="79"/>
      <c r="I29" s="79">
        <v>32.4</v>
      </c>
      <c r="J29" s="79"/>
      <c r="K29" s="79">
        <v>37.3</v>
      </c>
      <c r="L29" s="79"/>
      <c r="M29" s="79">
        <v>35.6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</row>
    <row r="30" spans="2:63" s="76" customFormat="1" ht="12.75">
      <c r="B30" s="8" t="s">
        <v>74</v>
      </c>
      <c r="C30" s="8"/>
      <c r="D30" s="8" t="s">
        <v>19</v>
      </c>
      <c r="G30" s="79">
        <v>188</v>
      </c>
      <c r="H30" s="79"/>
      <c r="I30" s="79">
        <v>188</v>
      </c>
      <c r="J30" s="79"/>
      <c r="K30" s="79">
        <v>192</v>
      </c>
      <c r="L30" s="79"/>
      <c r="M30" s="79">
        <v>189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</row>
    <row r="31" spans="7:63" s="76" customFormat="1" ht="12.75"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</row>
    <row r="32" spans="2:63" s="76" customFormat="1" ht="12.75">
      <c r="B32" s="76" t="s">
        <v>83</v>
      </c>
      <c r="C32" s="76" t="s">
        <v>95</v>
      </c>
      <c r="D32" s="76" t="s">
        <v>258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</row>
    <row r="33" spans="2:63" s="76" customFormat="1" ht="12.75">
      <c r="B33" s="8" t="s">
        <v>75</v>
      </c>
      <c r="C33" s="8"/>
      <c r="D33" s="8" t="s">
        <v>17</v>
      </c>
      <c r="G33" s="79">
        <v>7445</v>
      </c>
      <c r="H33" s="79"/>
      <c r="I33" s="79">
        <v>7321</v>
      </c>
      <c r="J33" s="79"/>
      <c r="K33" s="79">
        <v>7012</v>
      </c>
      <c r="L33" s="79"/>
      <c r="M33" s="79">
        <v>6779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</row>
    <row r="34" spans="2:63" s="76" customFormat="1" ht="12.75">
      <c r="B34" s="8" t="s">
        <v>80</v>
      </c>
      <c r="C34" s="8"/>
      <c r="D34" s="8" t="s">
        <v>18</v>
      </c>
      <c r="G34" s="79">
        <v>15.1</v>
      </c>
      <c r="H34" s="79"/>
      <c r="I34" s="79">
        <v>15</v>
      </c>
      <c r="J34" s="79"/>
      <c r="K34" s="79">
        <v>15</v>
      </c>
      <c r="L34" s="79"/>
      <c r="M34" s="79">
        <v>14.7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</row>
    <row r="35" spans="2:63" s="76" customFormat="1" ht="12.75">
      <c r="B35" s="8" t="s">
        <v>81</v>
      </c>
      <c r="C35" s="8"/>
      <c r="D35" s="8" t="s">
        <v>18</v>
      </c>
      <c r="G35" s="79">
        <v>32.8</v>
      </c>
      <c r="H35" s="79"/>
      <c r="I35" s="79">
        <v>34.1</v>
      </c>
      <c r="J35" s="79"/>
      <c r="K35" s="79">
        <v>33.8</v>
      </c>
      <c r="L35" s="79"/>
      <c r="M35" s="79">
        <v>38.4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</row>
    <row r="36" spans="2:63" s="76" customFormat="1" ht="12.75">
      <c r="B36" s="8" t="s">
        <v>74</v>
      </c>
      <c r="C36" s="8"/>
      <c r="D36" s="8" t="s">
        <v>19</v>
      </c>
      <c r="G36" s="79">
        <v>188</v>
      </c>
      <c r="H36" s="79"/>
      <c r="I36" s="79">
        <v>188</v>
      </c>
      <c r="J36" s="79"/>
      <c r="K36" s="79">
        <v>190</v>
      </c>
      <c r="L36" s="79"/>
      <c r="M36" s="79">
        <v>191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</row>
    <row r="37" spans="7:63" s="76" customFormat="1" ht="12.75"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</row>
    <row r="38" spans="2:63" s="76" customFormat="1" ht="12.75">
      <c r="B38" s="76" t="s">
        <v>83</v>
      </c>
      <c r="C38" s="76" t="s">
        <v>186</v>
      </c>
      <c r="D38" s="76" t="s">
        <v>260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</row>
    <row r="39" spans="2:63" s="76" customFormat="1" ht="12.75">
      <c r="B39" s="8" t="s">
        <v>75</v>
      </c>
      <c r="C39" s="8"/>
      <c r="D39" s="8" t="s">
        <v>17</v>
      </c>
      <c r="G39" s="79">
        <v>9091</v>
      </c>
      <c r="H39" s="79"/>
      <c r="I39" s="79">
        <v>8777</v>
      </c>
      <c r="J39" s="79"/>
      <c r="K39" s="79">
        <v>8751</v>
      </c>
      <c r="L39" s="79"/>
      <c r="M39" s="79">
        <v>8655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</row>
    <row r="40" spans="2:63" s="76" customFormat="1" ht="12.75">
      <c r="B40" s="8" t="s">
        <v>80</v>
      </c>
      <c r="C40" s="8"/>
      <c r="D40" s="8" t="s">
        <v>18</v>
      </c>
      <c r="G40" s="79">
        <v>15.1</v>
      </c>
      <c r="H40" s="79"/>
      <c r="I40" s="79">
        <v>15</v>
      </c>
      <c r="J40" s="79"/>
      <c r="K40" s="79">
        <v>14.8</v>
      </c>
      <c r="L40" s="79"/>
      <c r="M40" s="79">
        <v>14.7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</row>
    <row r="41" spans="2:63" s="76" customFormat="1" ht="12.75">
      <c r="B41" s="8" t="s">
        <v>81</v>
      </c>
      <c r="C41" s="8"/>
      <c r="D41" s="8" t="s">
        <v>18</v>
      </c>
      <c r="G41" s="79">
        <v>31.3</v>
      </c>
      <c r="H41" s="79"/>
      <c r="I41" s="79">
        <v>32.7</v>
      </c>
      <c r="J41" s="79"/>
      <c r="K41" s="79">
        <v>34.9</v>
      </c>
      <c r="L41" s="79"/>
      <c r="M41" s="79">
        <v>34.4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</row>
    <row r="42" spans="2:63" s="76" customFormat="1" ht="12.75">
      <c r="B42" s="8" t="s">
        <v>74</v>
      </c>
      <c r="C42" s="8"/>
      <c r="D42" s="8" t="s">
        <v>19</v>
      </c>
      <c r="G42" s="79">
        <v>190</v>
      </c>
      <c r="H42" s="79"/>
      <c r="I42" s="79">
        <v>189</v>
      </c>
      <c r="J42" s="79"/>
      <c r="K42" s="79">
        <v>192</v>
      </c>
      <c r="L42" s="79"/>
      <c r="M42" s="79">
        <v>190</v>
      </c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</row>
    <row r="43" spans="7:63" s="76" customFormat="1" ht="12.75"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</row>
    <row r="44" spans="2:63" s="76" customFormat="1" ht="12.75">
      <c r="B44" s="76" t="s">
        <v>83</v>
      </c>
      <c r="C44" s="76" t="s">
        <v>185</v>
      </c>
      <c r="D44" s="76" t="s">
        <v>259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</row>
    <row r="45" spans="2:63" s="76" customFormat="1" ht="12.75">
      <c r="B45" s="8" t="s">
        <v>75</v>
      </c>
      <c r="C45" s="8"/>
      <c r="D45" s="8" t="s">
        <v>17</v>
      </c>
      <c r="G45" s="79">
        <v>8133.666666666667</v>
      </c>
      <c r="H45" s="79"/>
      <c r="I45" s="79">
        <v>7913.666666666667</v>
      </c>
      <c r="J45" s="79"/>
      <c r="K45" s="79">
        <v>7767.666666666667</v>
      </c>
      <c r="L45" s="79"/>
      <c r="M45" s="79">
        <v>7669.666666666667</v>
      </c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</row>
    <row r="46" spans="2:63" s="76" customFormat="1" ht="12.75">
      <c r="B46" s="8" t="s">
        <v>80</v>
      </c>
      <c r="C46" s="8"/>
      <c r="D46" s="8" t="s">
        <v>18</v>
      </c>
      <c r="G46" s="79">
        <v>15.1</v>
      </c>
      <c r="H46" s="79"/>
      <c r="I46" s="79">
        <v>15.033333333333333</v>
      </c>
      <c r="J46" s="79"/>
      <c r="K46" s="79">
        <v>14.766666666666666</v>
      </c>
      <c r="L46" s="79"/>
      <c r="M46" s="79">
        <v>14.7</v>
      </c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</row>
    <row r="47" spans="2:63" s="76" customFormat="1" ht="12.75">
      <c r="B47" s="8" t="s">
        <v>81</v>
      </c>
      <c r="C47" s="8"/>
      <c r="D47" s="8" t="s">
        <v>18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</row>
    <row r="48" spans="2:63" s="76" customFormat="1" ht="12.75">
      <c r="B48" s="8" t="s">
        <v>74</v>
      </c>
      <c r="C48" s="8"/>
      <c r="D48" s="8" t="s">
        <v>19</v>
      </c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</row>
    <row r="49" spans="7:63" s="76" customFormat="1" ht="12.75"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</row>
    <row r="50" spans="1:57" s="80" customFormat="1" ht="12.75">
      <c r="A50" s="80" t="s">
        <v>166</v>
      </c>
      <c r="B50" s="80" t="s">
        <v>187</v>
      </c>
      <c r="C50" s="80" t="s">
        <v>50</v>
      </c>
      <c r="D50" s="80" t="s">
        <v>18</v>
      </c>
      <c r="G50" s="81">
        <v>99.9999997</v>
      </c>
      <c r="H50" s="81"/>
      <c r="I50" s="81">
        <v>99.9999997</v>
      </c>
      <c r="J50" s="81"/>
      <c r="K50" s="81">
        <v>99.9999997</v>
      </c>
      <c r="L50" s="81"/>
      <c r="M50" s="81">
        <v>99.9999997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  <row r="51" spans="7:57" s="80" customFormat="1" ht="12.75"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2:57" s="80" customFormat="1" ht="12.75">
      <c r="B52" s="80" t="s">
        <v>78</v>
      </c>
      <c r="C52" s="80" t="s">
        <v>258</v>
      </c>
      <c r="D52" s="80" t="str">
        <f aca="true" t="shared" si="0" ref="D52:D65">IF(B52="PM","gr/dscf",(IF(OR(B52="CO",B52="HC",B52="Cl2",B52="HCl"),"ppmv","ug/dscm")))</f>
        <v>ug/dscm</v>
      </c>
      <c r="F52" s="79" t="s">
        <v>96</v>
      </c>
      <c r="G52" s="88">
        <f aca="true" t="shared" si="1" ref="G52:G57">G11*(21-7)/(21-G$34)</f>
        <v>1.2728590570325982</v>
      </c>
      <c r="H52" s="79" t="s">
        <v>96</v>
      </c>
      <c r="I52" s="88">
        <f aca="true" t="shared" si="2" ref="I52:I57">I11*(21-7)/(21-I$34)</f>
        <v>0.9399599145045155</v>
      </c>
      <c r="J52" s="79" t="s">
        <v>96</v>
      </c>
      <c r="K52" s="88">
        <f>K11*(21-7)/(21-K$34)</f>
        <v>0.8979343661288895</v>
      </c>
      <c r="L52" s="77" t="s">
        <v>96</v>
      </c>
      <c r="M52" s="88">
        <f>M11*(21-7)/(21-M$34)</f>
        <v>0.8338372837416945</v>
      </c>
      <c r="N52" s="77">
        <v>100</v>
      </c>
      <c r="O52" s="88">
        <f>AVERAGE(G52,I52,K52,M52)</f>
        <v>0.9861476553519245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2:57" s="80" customFormat="1" ht="12.75">
      <c r="B53" s="80" t="s">
        <v>106</v>
      </c>
      <c r="C53" s="80" t="s">
        <v>258</v>
      </c>
      <c r="D53" s="80" t="str">
        <f t="shared" si="0"/>
        <v>ug/dscm</v>
      </c>
      <c r="F53" s="79" t="s">
        <v>96</v>
      </c>
      <c r="G53" s="88">
        <f t="shared" si="1"/>
        <v>15.910738212907473</v>
      </c>
      <c r="H53" s="79" t="s">
        <v>96</v>
      </c>
      <c r="I53" s="88">
        <f t="shared" si="2"/>
        <v>13.622607456587183</v>
      </c>
      <c r="J53" s="79" t="s">
        <v>96</v>
      </c>
      <c r="K53" s="88">
        <f>K12*(21-7)/(21-K$34)</f>
        <v>14.965572768814825</v>
      </c>
      <c r="L53" s="77" t="s">
        <v>96</v>
      </c>
      <c r="M53" s="88">
        <f>M12*(21-7)/(21-M$34)</f>
        <v>13.897288062361579</v>
      </c>
      <c r="N53" s="77">
        <v>100</v>
      </c>
      <c r="O53" s="88">
        <f aca="true" t="shared" si="3" ref="O53:O65">AVERAGE(G53,I53,K53,M53)</f>
        <v>14.599051625167764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2:57" s="80" customFormat="1" ht="12.75">
      <c r="B54" s="80" t="s">
        <v>77</v>
      </c>
      <c r="C54" s="80" t="s">
        <v>258</v>
      </c>
      <c r="D54" s="80" t="str">
        <f t="shared" si="0"/>
        <v>ug/dscm</v>
      </c>
      <c r="F54" s="79" t="s">
        <v>96</v>
      </c>
      <c r="G54" s="88">
        <f t="shared" si="1"/>
        <v>1.5910738212907471</v>
      </c>
      <c r="H54" s="79" t="s">
        <v>96</v>
      </c>
      <c r="I54" s="88">
        <f t="shared" si="2"/>
        <v>1.3622607456587186</v>
      </c>
      <c r="J54" s="79" t="s">
        <v>96</v>
      </c>
      <c r="K54" s="88">
        <f>K13*(21-7)/(21-K$34)</f>
        <v>1.4965572768814823</v>
      </c>
      <c r="L54" s="81" t="s">
        <v>96</v>
      </c>
      <c r="M54" s="88">
        <f>M13*(21-7)/(21-M$34)</f>
        <v>1.3897288062361577</v>
      </c>
      <c r="N54" s="77">
        <v>100</v>
      </c>
      <c r="O54" s="88">
        <f t="shared" si="3"/>
        <v>1.4599051625167765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2:57" s="80" customFormat="1" ht="12.75">
      <c r="B55" s="76" t="s">
        <v>82</v>
      </c>
      <c r="C55" s="80" t="s">
        <v>258</v>
      </c>
      <c r="D55" s="76" t="str">
        <f t="shared" si="0"/>
        <v>ug/dscm</v>
      </c>
      <c r="F55" s="79" t="s">
        <v>183</v>
      </c>
      <c r="G55" s="88">
        <f t="shared" si="1"/>
        <v>5.282365086685281</v>
      </c>
      <c r="H55" s="79" t="s">
        <v>183</v>
      </c>
      <c r="I55" s="88">
        <f t="shared" si="2"/>
        <v>4.250253526455201</v>
      </c>
      <c r="J55" s="79"/>
      <c r="K55" s="88">
        <f>K14*(21-7)/(21-K$34)</f>
        <v>6.120919262445263</v>
      </c>
      <c r="L55" s="77" t="s">
        <v>183</v>
      </c>
      <c r="M55" s="88">
        <f>M14*(21-7)/(21-M$34)</f>
        <v>6.392752508686326</v>
      </c>
      <c r="N55" s="77" t="s">
        <v>183</v>
      </c>
      <c r="O55" s="88">
        <f t="shared" si="3"/>
        <v>5.511572596068017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  <row r="56" spans="2:57" s="80" customFormat="1" ht="12.75">
      <c r="B56" s="80" t="s">
        <v>76</v>
      </c>
      <c r="C56" s="80" t="s">
        <v>258</v>
      </c>
      <c r="D56" s="80" t="str">
        <f t="shared" si="0"/>
        <v>ug/dscm</v>
      </c>
      <c r="F56" s="79" t="s">
        <v>96</v>
      </c>
      <c r="G56" s="88">
        <f t="shared" si="1"/>
        <v>15.910738212907473</v>
      </c>
      <c r="H56" s="79" t="s">
        <v>96</v>
      </c>
      <c r="I56" s="88">
        <f t="shared" si="2"/>
        <v>13.622607456587183</v>
      </c>
      <c r="J56" s="79" t="s">
        <v>96</v>
      </c>
      <c r="K56" s="88">
        <f>K15*(21-7)/(21-K$34)</f>
        <v>14.965572768814825</v>
      </c>
      <c r="L56" s="77" t="s">
        <v>96</v>
      </c>
      <c r="M56" s="88">
        <f>M15*(21-7)/(21-M$34)</f>
        <v>13.897288062361579</v>
      </c>
      <c r="N56" s="77">
        <v>100</v>
      </c>
      <c r="O56" s="88">
        <f t="shared" si="3"/>
        <v>14.599051625167764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</row>
    <row r="57" spans="2:57" s="80" customFormat="1" ht="12.75">
      <c r="B57" s="80" t="s">
        <v>109</v>
      </c>
      <c r="C57" s="80" t="s">
        <v>258</v>
      </c>
      <c r="D57" s="80" t="str">
        <f t="shared" si="0"/>
        <v>ug/dscm</v>
      </c>
      <c r="F57" s="79" t="s">
        <v>96</v>
      </c>
      <c r="G57" s="88">
        <f t="shared" si="1"/>
        <v>3.1821476425814943</v>
      </c>
      <c r="H57" s="79" t="s">
        <v>96</v>
      </c>
      <c r="I57" s="88">
        <f t="shared" si="2"/>
        <v>2.724521491317437</v>
      </c>
      <c r="J57" s="79" t="s">
        <v>96</v>
      </c>
      <c r="K57" s="88">
        <f aca="true" t="shared" si="4" ref="K57:K65">K16*(21-7)/(21-K$34)</f>
        <v>2.9931145537629646</v>
      </c>
      <c r="L57" s="81" t="s">
        <v>96</v>
      </c>
      <c r="M57" s="88">
        <f aca="true" t="shared" si="5" ref="M57:M65">M16*(21-7)/(21-M$34)</f>
        <v>2.7794576124723154</v>
      </c>
      <c r="N57" s="77">
        <v>100</v>
      </c>
      <c r="O57" s="88">
        <f t="shared" si="3"/>
        <v>2.919810325033553</v>
      </c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</row>
    <row r="58" spans="2:57" s="80" customFormat="1" ht="12.75">
      <c r="B58" s="80" t="s">
        <v>118</v>
      </c>
      <c r="C58" s="80" t="s">
        <v>258</v>
      </c>
      <c r="D58" s="80" t="str">
        <f t="shared" si="0"/>
        <v>ug/dscm</v>
      </c>
      <c r="F58" s="79" t="s">
        <v>96</v>
      </c>
      <c r="G58" s="88">
        <f aca="true" t="shared" si="6" ref="G58:G65">G17*(21-7)/(21-G$34)</f>
        <v>3.1821476425814943</v>
      </c>
      <c r="H58" s="79" t="s">
        <v>96</v>
      </c>
      <c r="I58" s="88">
        <f aca="true" t="shared" si="7" ref="I58:I65">I17*(21-7)/(21-I$34)</f>
        <v>2.724521491317437</v>
      </c>
      <c r="J58" s="79" t="s">
        <v>96</v>
      </c>
      <c r="K58" s="88">
        <f t="shared" si="4"/>
        <v>2.9931145537629646</v>
      </c>
      <c r="L58" s="81" t="s">
        <v>96</v>
      </c>
      <c r="M58" s="88">
        <f t="shared" si="5"/>
        <v>2.7794576124723154</v>
      </c>
      <c r="N58" s="77">
        <v>100</v>
      </c>
      <c r="O58" s="88">
        <f t="shared" si="3"/>
        <v>2.919810325033553</v>
      </c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</row>
    <row r="59" spans="2:57" s="80" customFormat="1" ht="12.75">
      <c r="B59" s="80" t="s">
        <v>116</v>
      </c>
      <c r="C59" s="80" t="s">
        <v>258</v>
      </c>
      <c r="D59" s="80" t="str">
        <f t="shared" si="0"/>
        <v>ug/dscm</v>
      </c>
      <c r="F59" s="79" t="s">
        <v>96</v>
      </c>
      <c r="G59" s="88">
        <f t="shared" si="6"/>
        <v>15.910738212907473</v>
      </c>
      <c r="H59" s="79" t="s">
        <v>96</v>
      </c>
      <c r="I59" s="88">
        <f t="shared" si="7"/>
        <v>13.622607456587183</v>
      </c>
      <c r="J59" s="79" t="s">
        <v>96</v>
      </c>
      <c r="K59" s="88">
        <f t="shared" si="4"/>
        <v>14.965572768814825</v>
      </c>
      <c r="L59" s="81" t="s">
        <v>96</v>
      </c>
      <c r="M59" s="88">
        <f t="shared" si="5"/>
        <v>13.897288062361579</v>
      </c>
      <c r="N59" s="77">
        <v>100</v>
      </c>
      <c r="O59" s="88">
        <f t="shared" si="3"/>
        <v>14.599051625167764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</row>
    <row r="60" spans="2:57" s="80" customFormat="1" ht="12.75">
      <c r="B60" s="80" t="s">
        <v>107</v>
      </c>
      <c r="C60" s="80" t="s">
        <v>258</v>
      </c>
      <c r="D60" s="80" t="str">
        <f t="shared" si="0"/>
        <v>ug/dscm</v>
      </c>
      <c r="F60" s="79" t="s">
        <v>96</v>
      </c>
      <c r="G60" s="88">
        <f t="shared" si="6"/>
        <v>31.821476425814947</v>
      </c>
      <c r="H60" s="79"/>
      <c r="I60" s="88">
        <f t="shared" si="7"/>
        <v>26.15540631664739</v>
      </c>
      <c r="J60" s="79" t="s">
        <v>96</v>
      </c>
      <c r="K60" s="88">
        <f t="shared" si="4"/>
        <v>29.93114553762965</v>
      </c>
      <c r="L60" s="81" t="s">
        <v>96</v>
      </c>
      <c r="M60" s="88">
        <f t="shared" si="5"/>
        <v>27.794576124723157</v>
      </c>
      <c r="N60" s="77"/>
      <c r="O60" s="88">
        <f t="shared" si="3"/>
        <v>28.925651101203783</v>
      </c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</row>
    <row r="61" spans="2:57" s="80" customFormat="1" ht="12.75">
      <c r="B61" s="80" t="s">
        <v>104</v>
      </c>
      <c r="C61" s="80" t="s">
        <v>258</v>
      </c>
      <c r="D61" s="80" t="str">
        <f t="shared" si="0"/>
        <v>ug/dscm</v>
      </c>
      <c r="F61" s="79" t="s">
        <v>96</v>
      </c>
      <c r="G61" s="88">
        <f t="shared" si="6"/>
        <v>6.364295285162989</v>
      </c>
      <c r="H61" s="79" t="s">
        <v>96</v>
      </c>
      <c r="I61" s="88">
        <f t="shared" si="7"/>
        <v>5.449042982634874</v>
      </c>
      <c r="J61" s="79" t="s">
        <v>96</v>
      </c>
      <c r="K61" s="88">
        <f t="shared" si="4"/>
        <v>5.986229107525929</v>
      </c>
      <c r="L61" s="81" t="s">
        <v>96</v>
      </c>
      <c r="M61" s="88">
        <f t="shared" si="5"/>
        <v>5.558915224944631</v>
      </c>
      <c r="N61" s="77">
        <v>100</v>
      </c>
      <c r="O61" s="88">
        <f t="shared" si="3"/>
        <v>5.839620650067106</v>
      </c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</row>
    <row r="62" spans="2:57" s="80" customFormat="1" ht="12.75">
      <c r="B62" s="80" t="s">
        <v>115</v>
      </c>
      <c r="C62" s="80" t="s">
        <v>258</v>
      </c>
      <c r="D62" s="80" t="str">
        <f t="shared" si="0"/>
        <v>ug/dscm</v>
      </c>
      <c r="F62" s="79" t="s">
        <v>96</v>
      </c>
      <c r="G62" s="88">
        <f t="shared" si="6"/>
        <v>15.910738212907473</v>
      </c>
      <c r="H62" s="79" t="s">
        <v>96</v>
      </c>
      <c r="I62" s="88">
        <f t="shared" si="7"/>
        <v>13.622607456587183</v>
      </c>
      <c r="J62" s="79" t="s">
        <v>96</v>
      </c>
      <c r="K62" s="88">
        <f t="shared" si="4"/>
        <v>14.965572768814825</v>
      </c>
      <c r="L62" s="81" t="s">
        <v>96</v>
      </c>
      <c r="M62" s="88">
        <f t="shared" si="5"/>
        <v>13.897288062361579</v>
      </c>
      <c r="N62" s="77">
        <v>100</v>
      </c>
      <c r="O62" s="88">
        <f t="shared" si="3"/>
        <v>14.599051625167764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</row>
    <row r="63" spans="2:57" s="80" customFormat="1" ht="12.75">
      <c r="B63" s="80" t="s">
        <v>291</v>
      </c>
      <c r="C63" s="80" t="s">
        <v>258</v>
      </c>
      <c r="D63" s="80" t="str">
        <f t="shared" si="0"/>
        <v>ug/dscm</v>
      </c>
      <c r="F63" s="79" t="s">
        <v>96</v>
      </c>
      <c r="G63" s="88">
        <f t="shared" si="6"/>
        <v>6.364295285162989</v>
      </c>
      <c r="H63" s="79" t="s">
        <v>96</v>
      </c>
      <c r="I63" s="88">
        <f t="shared" si="7"/>
        <v>5.449042982634874</v>
      </c>
      <c r="J63" s="79" t="s">
        <v>96</v>
      </c>
      <c r="K63" s="88">
        <f t="shared" si="4"/>
        <v>5.986229107525929</v>
      </c>
      <c r="L63" s="81" t="s">
        <v>96</v>
      </c>
      <c r="M63" s="88">
        <f t="shared" si="5"/>
        <v>5.558915224944631</v>
      </c>
      <c r="N63" s="77">
        <v>100</v>
      </c>
      <c r="O63" s="88">
        <f t="shared" si="3"/>
        <v>5.839620650067106</v>
      </c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</row>
    <row r="64" spans="2:57" s="80" customFormat="1" ht="12.75">
      <c r="B64" s="80" t="s">
        <v>113</v>
      </c>
      <c r="C64" s="80" t="s">
        <v>258</v>
      </c>
      <c r="D64" s="80" t="str">
        <f t="shared" si="0"/>
        <v>ug/dscm</v>
      </c>
      <c r="F64" s="79" t="s">
        <v>96</v>
      </c>
      <c r="G64" s="88">
        <f t="shared" si="6"/>
        <v>9.546442927744485</v>
      </c>
      <c r="H64" s="79" t="s">
        <v>96</v>
      </c>
      <c r="I64" s="88">
        <f t="shared" si="7"/>
        <v>8.17356447395231</v>
      </c>
      <c r="J64" s="79" t="s">
        <v>96</v>
      </c>
      <c r="K64" s="88">
        <f t="shared" si="4"/>
        <v>8.979343661288896</v>
      </c>
      <c r="L64" s="81" t="s">
        <v>96</v>
      </c>
      <c r="M64" s="88">
        <f t="shared" si="5"/>
        <v>8.338372837416946</v>
      </c>
      <c r="N64" s="77">
        <v>100</v>
      </c>
      <c r="O64" s="88">
        <f t="shared" si="3"/>
        <v>8.75943097510066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</row>
    <row r="65" spans="2:57" s="80" customFormat="1" ht="12.75">
      <c r="B65" s="80" t="s">
        <v>112</v>
      </c>
      <c r="C65" s="80" t="s">
        <v>258</v>
      </c>
      <c r="D65" s="80" t="str">
        <f t="shared" si="0"/>
        <v>ug/dscm</v>
      </c>
      <c r="F65" s="79"/>
      <c r="G65" s="88">
        <f t="shared" si="6"/>
        <v>1706.108458570068</v>
      </c>
      <c r="H65" s="79"/>
      <c r="I65" s="88">
        <f t="shared" si="7"/>
        <v>112.41375673175743</v>
      </c>
      <c r="J65" s="79"/>
      <c r="K65" s="88">
        <f t="shared" si="4"/>
        <v>8.665066633143784</v>
      </c>
      <c r="L65" s="81"/>
      <c r="M65" s="88">
        <f t="shared" si="5"/>
        <v>712.8613911588373</v>
      </c>
      <c r="N65" s="81"/>
      <c r="O65" s="88">
        <f t="shared" si="3"/>
        <v>635.0121682734516</v>
      </c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</row>
    <row r="66" spans="6:57" s="80" customFormat="1" ht="12.75">
      <c r="F66" s="79"/>
      <c r="G66" s="88"/>
      <c r="H66" s="79"/>
      <c r="I66" s="88"/>
      <c r="J66" s="79"/>
      <c r="K66" s="88"/>
      <c r="L66" s="81"/>
      <c r="M66" s="88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</row>
    <row r="67" spans="2:57" s="80" customFormat="1" ht="12.75">
      <c r="B67" s="80" t="s">
        <v>55</v>
      </c>
      <c r="C67" s="80" t="s">
        <v>258</v>
      </c>
      <c r="D67" s="80" t="str">
        <f>IF(B67="PM","gr/dscf",(IF(OR(B67="CO",B67="HC",B67="Cl2",B67="HCl"),"ppmv","ug/dscm")))</f>
        <v>ug/dscm</v>
      </c>
      <c r="F67" s="81"/>
      <c r="G67" s="88">
        <f>G57+G56</f>
        <v>19.092885855488966</v>
      </c>
      <c r="H67" s="79"/>
      <c r="I67" s="88">
        <f>I57+I56</f>
        <v>16.34712894790462</v>
      </c>
      <c r="J67" s="79"/>
      <c r="K67" s="88">
        <f>K57+K56</f>
        <v>17.958687322577788</v>
      </c>
      <c r="L67" s="81"/>
      <c r="M67" s="88">
        <f>M57+M56</f>
        <v>16.676745674833896</v>
      </c>
      <c r="N67" s="81"/>
      <c r="O67" s="88">
        <f>AVERAGE(G67,I67,K67,M67)</f>
        <v>17.518861950201316</v>
      </c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</row>
    <row r="68" spans="2:57" s="80" customFormat="1" ht="12.75">
      <c r="B68" s="80" t="s">
        <v>56</v>
      </c>
      <c r="C68" s="80" t="s">
        <v>258</v>
      </c>
      <c r="D68" s="80" t="str">
        <f>IF(B68="PM","gr/dscf",(IF(OR(B68="CO",B68="HC",B68="Cl2",B68="HCl"),"ppmv","ug/dscm")))</f>
        <v>ug/dscm</v>
      </c>
      <c r="F68" s="80">
        <f>(G53+G54)/G68*100</f>
        <v>76.81564245810056</v>
      </c>
      <c r="G68" s="88">
        <f>SUM(G53,G54,G55)</f>
        <v>22.784177120883502</v>
      </c>
      <c r="H68" s="80">
        <f>(I53+I54)/I68*100</f>
        <v>77.90368271954674</v>
      </c>
      <c r="I68" s="88">
        <f>SUM(I53,I54,I55)</f>
        <v>19.235121728701102</v>
      </c>
      <c r="J68" s="80">
        <f>(K53+K54)/K68*100</f>
        <v>72.89595758780649</v>
      </c>
      <c r="K68" s="88">
        <f>SUM(K53,K54,K55)</f>
        <v>22.583049308141568</v>
      </c>
      <c r="L68" s="80">
        <f>(M53+M54)/M68*100</f>
        <v>70.51282051282051</v>
      </c>
      <c r="M68" s="88">
        <f>SUM(M53,M54,M55)</f>
        <v>21.67976937728406</v>
      </c>
      <c r="N68" s="80">
        <f>(O53+O54)/O68*100</f>
        <v>74.44859837227979</v>
      </c>
      <c r="O68" s="88">
        <f>AVERAGE(G68,I68,K68,M68)</f>
        <v>21.570529383752557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</row>
    <row r="69" spans="7:57" s="80" customFormat="1" ht="12.75"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</row>
    <row r="70" spans="6:23" s="76" customFormat="1" ht="12.75">
      <c r="F70" s="77"/>
      <c r="G70" s="79"/>
      <c r="H70" s="79"/>
      <c r="I70" s="79"/>
      <c r="J70" s="79"/>
      <c r="K70" s="79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</row>
    <row r="71" spans="2:23" s="76" customFormat="1" ht="12.75">
      <c r="B71" s="41" t="s">
        <v>172</v>
      </c>
      <c r="F71" s="77"/>
      <c r="G71" s="51" t="s">
        <v>179</v>
      </c>
      <c r="H71" s="51"/>
      <c r="I71" s="51" t="s">
        <v>180</v>
      </c>
      <c r="J71" s="51"/>
      <c r="K71" s="51" t="s">
        <v>181</v>
      </c>
      <c r="L71" s="51"/>
      <c r="M71" s="51" t="s">
        <v>182</v>
      </c>
      <c r="N71" s="51"/>
      <c r="O71" s="51" t="s">
        <v>47</v>
      </c>
      <c r="P71" s="77"/>
      <c r="Q71" s="77"/>
      <c r="R71" s="77"/>
      <c r="S71" s="77"/>
      <c r="T71" s="77"/>
      <c r="U71" s="77"/>
      <c r="V71" s="77"/>
      <c r="W71" s="77"/>
    </row>
    <row r="72" spans="6:23" s="76" customFormat="1" ht="12.75">
      <c r="F72" s="77"/>
      <c r="G72" s="79"/>
      <c r="H72" s="79"/>
      <c r="I72" s="79"/>
      <c r="J72" s="79"/>
      <c r="K72" s="79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</row>
    <row r="73" spans="1:24" s="76" customFormat="1" ht="12.75">
      <c r="A73" s="76" t="s">
        <v>172</v>
      </c>
      <c r="B73" s="76" t="s">
        <v>13</v>
      </c>
      <c r="C73" s="76" t="s">
        <v>257</v>
      </c>
      <c r="D73" s="76" t="s">
        <v>14</v>
      </c>
      <c r="E73" s="76" t="s">
        <v>15</v>
      </c>
      <c r="F73" s="77" t="s">
        <v>183</v>
      </c>
      <c r="G73" s="78">
        <v>0.0016100159712</v>
      </c>
      <c r="H73" s="78" t="s">
        <v>183</v>
      </c>
      <c r="I73" s="78">
        <v>0.0018300181536</v>
      </c>
      <c r="J73" s="78" t="s">
        <v>183</v>
      </c>
      <c r="K73" s="78">
        <v>0.001700016864</v>
      </c>
      <c r="L73" s="78" t="s">
        <v>183</v>
      </c>
      <c r="M73" s="78"/>
      <c r="N73" s="78" t="s">
        <v>183</v>
      </c>
      <c r="O73" s="78">
        <f>AVERAGE(G73,I73,K73)</f>
        <v>0.0017133503296</v>
      </c>
      <c r="P73" s="78" t="s">
        <v>183</v>
      </c>
      <c r="Q73" s="78"/>
      <c r="R73" s="78" t="s">
        <v>183</v>
      </c>
      <c r="S73" s="78"/>
      <c r="T73" s="78" t="s">
        <v>183</v>
      </c>
      <c r="U73" s="78"/>
      <c r="V73" s="77" t="s">
        <v>183</v>
      </c>
      <c r="W73" s="77"/>
      <c r="X73" s="76">
        <v>0.0017133503296</v>
      </c>
    </row>
    <row r="74" spans="1:24" s="76" customFormat="1" ht="12.75">
      <c r="A74" s="76" t="s">
        <v>172</v>
      </c>
      <c r="B74" s="76" t="s">
        <v>122</v>
      </c>
      <c r="C74" s="76" t="s">
        <v>257</v>
      </c>
      <c r="D74" s="76" t="s">
        <v>16</v>
      </c>
      <c r="E74" s="76" t="s">
        <v>15</v>
      </c>
      <c r="F74" s="77" t="s">
        <v>183</v>
      </c>
      <c r="G74" s="79">
        <v>19</v>
      </c>
      <c r="H74" s="79" t="s">
        <v>183</v>
      </c>
      <c r="I74" s="79">
        <v>26</v>
      </c>
      <c r="J74" s="79" t="s">
        <v>183</v>
      </c>
      <c r="K74" s="79">
        <v>18</v>
      </c>
      <c r="L74" s="77" t="s">
        <v>183</v>
      </c>
      <c r="M74" s="77"/>
      <c r="N74" s="77" t="s">
        <v>183</v>
      </c>
      <c r="O74" s="79">
        <f>AVERAGE(G74,I74,K74)</f>
        <v>21</v>
      </c>
      <c r="P74" s="77" t="s">
        <v>183</v>
      </c>
      <c r="Q74" s="77"/>
      <c r="R74" s="77" t="s">
        <v>183</v>
      </c>
      <c r="S74" s="77"/>
      <c r="T74" s="77" t="s">
        <v>183</v>
      </c>
      <c r="U74" s="77"/>
      <c r="V74" s="77" t="s">
        <v>183</v>
      </c>
      <c r="W74" s="77"/>
      <c r="X74" s="76">
        <v>21</v>
      </c>
    </row>
    <row r="75" spans="1:24" s="76" customFormat="1" ht="12.75">
      <c r="A75" s="76" t="s">
        <v>172</v>
      </c>
      <c r="B75" s="76" t="s">
        <v>48</v>
      </c>
      <c r="C75" s="76" t="s">
        <v>257</v>
      </c>
      <c r="D75" s="76" t="s">
        <v>16</v>
      </c>
      <c r="E75" s="76" t="s">
        <v>15</v>
      </c>
      <c r="F75" s="77" t="s">
        <v>96</v>
      </c>
      <c r="G75" s="79">
        <v>0.13109115696030318</v>
      </c>
      <c r="H75" s="79" t="s">
        <v>96</v>
      </c>
      <c r="I75" s="79">
        <v>1.899590238447081</v>
      </c>
      <c r="J75" s="79" t="s">
        <v>96</v>
      </c>
      <c r="K75" s="79">
        <v>0.8032824378324579</v>
      </c>
      <c r="L75" s="77" t="s">
        <v>183</v>
      </c>
      <c r="M75" s="77"/>
      <c r="N75" s="77" t="s">
        <v>183</v>
      </c>
      <c r="O75" s="79">
        <f>AVERAGE(G75,I75,K75)</f>
        <v>0.9446546110799474</v>
      </c>
      <c r="P75" s="77" t="s">
        <v>183</v>
      </c>
      <c r="Q75" s="77"/>
      <c r="R75" s="77" t="s">
        <v>183</v>
      </c>
      <c r="S75" s="77"/>
      <c r="T75" s="77" t="s">
        <v>183</v>
      </c>
      <c r="U75" s="77"/>
      <c r="V75" s="77" t="s">
        <v>183</v>
      </c>
      <c r="W75" s="77"/>
      <c r="X75" s="76">
        <v>0.9446546110799474</v>
      </c>
    </row>
    <row r="76" spans="6:23" s="76" customFormat="1" ht="12.75">
      <c r="F76" s="77"/>
      <c r="G76" s="79"/>
      <c r="H76" s="79"/>
      <c r="I76" s="79"/>
      <c r="J76" s="79"/>
      <c r="K76" s="79"/>
      <c r="L76" s="77"/>
      <c r="M76" s="77"/>
      <c r="N76" s="77"/>
      <c r="O76" s="78"/>
      <c r="P76" s="77"/>
      <c r="Q76" s="77"/>
      <c r="R76" s="77"/>
      <c r="S76" s="77"/>
      <c r="T76" s="77"/>
      <c r="U76" s="77"/>
      <c r="V76" s="77"/>
      <c r="W76" s="77"/>
    </row>
    <row r="77" spans="2:23" s="76" customFormat="1" ht="12.75">
      <c r="B77" s="80" t="s">
        <v>78</v>
      </c>
      <c r="C77" s="80"/>
      <c r="D77" s="80" t="str">
        <f aca="true" t="shared" si="8" ref="D77:D89">IF(B77="PM","gr/dscf",(IF(OR(B77="CO",B77="HC",B77="Cl2",B77="HCl"),"ppmv","ug/dscm")))</f>
        <v>ug/dscm</v>
      </c>
      <c r="E77" s="76" t="s">
        <v>99</v>
      </c>
      <c r="F77" s="77" t="s">
        <v>96</v>
      </c>
      <c r="G77" s="79">
        <f>1/1.569328</f>
        <v>0.6372154195936095</v>
      </c>
      <c r="H77" s="79" t="s">
        <v>96</v>
      </c>
      <c r="I77" s="79">
        <f>1/1.517791</f>
        <v>0.6588522398670174</v>
      </c>
      <c r="J77" s="79" t="s">
        <v>96</v>
      </c>
      <c r="K77" s="79">
        <f>1/1.561399</f>
        <v>0.6404512875952911</v>
      </c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</row>
    <row r="78" spans="2:23" s="76" customFormat="1" ht="12.75">
      <c r="B78" s="80" t="s">
        <v>106</v>
      </c>
      <c r="C78" s="80"/>
      <c r="D78" s="80" t="str">
        <f t="shared" si="8"/>
        <v>ug/dscm</v>
      </c>
      <c r="E78" s="76" t="s">
        <v>99</v>
      </c>
      <c r="F78" s="77" t="s">
        <v>96</v>
      </c>
      <c r="G78" s="79">
        <f>20/1.569328</f>
        <v>12.74430839187219</v>
      </c>
      <c r="H78" s="79" t="s">
        <v>96</v>
      </c>
      <c r="I78" s="79">
        <f>20/1.517791</f>
        <v>13.177044797340347</v>
      </c>
      <c r="J78" s="79" t="s">
        <v>96</v>
      </c>
      <c r="K78" s="79">
        <f>20/1.561399</f>
        <v>12.809025751905823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</row>
    <row r="79" spans="2:23" s="76" customFormat="1" ht="12.75">
      <c r="B79" s="80" t="s">
        <v>77</v>
      </c>
      <c r="C79" s="80"/>
      <c r="D79" s="80" t="str">
        <f t="shared" si="8"/>
        <v>ug/dscm</v>
      </c>
      <c r="E79" s="76" t="s">
        <v>99</v>
      </c>
      <c r="F79" s="81" t="s">
        <v>96</v>
      </c>
      <c r="G79" s="79">
        <f>8/1.569328</f>
        <v>5.097723356748876</v>
      </c>
      <c r="H79" s="79" t="s">
        <v>96</v>
      </c>
      <c r="I79" s="79">
        <f>8/1.517791</f>
        <v>5.270817918936139</v>
      </c>
      <c r="J79" s="79" t="s">
        <v>96</v>
      </c>
      <c r="K79" s="79">
        <f>8/1.561399</f>
        <v>5.123610300762329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</row>
    <row r="80" spans="2:23" s="76" customFormat="1" ht="12.75">
      <c r="B80" s="80" t="s">
        <v>82</v>
      </c>
      <c r="C80" s="80"/>
      <c r="D80" s="80" t="str">
        <f t="shared" si="8"/>
        <v>ug/dscm</v>
      </c>
      <c r="E80" s="76" t="s">
        <v>99</v>
      </c>
      <c r="F80" s="81" t="s">
        <v>96</v>
      </c>
      <c r="G80" s="79">
        <f>8/1.569328</f>
        <v>5.097723356748876</v>
      </c>
      <c r="H80" s="79" t="s">
        <v>96</v>
      </c>
      <c r="I80" s="79">
        <f>8/1.517791</f>
        <v>5.270817918936139</v>
      </c>
      <c r="J80" s="79" t="s">
        <v>96</v>
      </c>
      <c r="K80" s="79">
        <f>8/1.561399</f>
        <v>5.123610300762329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</row>
    <row r="81" spans="2:23" s="76" customFormat="1" ht="12.75">
      <c r="B81" s="80" t="s">
        <v>76</v>
      </c>
      <c r="C81" s="80"/>
      <c r="D81" s="80" t="str">
        <f t="shared" si="8"/>
        <v>ug/dscm</v>
      </c>
      <c r="E81" s="76" t="s">
        <v>99</v>
      </c>
      <c r="F81" s="77"/>
      <c r="G81" s="79">
        <f>17.5/1.569328</f>
        <v>11.151269842888166</v>
      </c>
      <c r="H81" s="79" t="s">
        <v>96</v>
      </c>
      <c r="I81" s="79">
        <f>6.6/1.517791</f>
        <v>4.348424783122314</v>
      </c>
      <c r="J81" s="79"/>
      <c r="K81" s="79">
        <f>3.25/1.561399</f>
        <v>2.0814666846846963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</row>
    <row r="82" spans="2:23" s="76" customFormat="1" ht="12.75">
      <c r="B82" s="80" t="s">
        <v>109</v>
      </c>
      <c r="C82" s="80"/>
      <c r="D82" s="80" t="str">
        <f t="shared" si="8"/>
        <v>ug/dscm</v>
      </c>
      <c r="E82" s="76" t="s">
        <v>99</v>
      </c>
      <c r="F82" s="81" t="s">
        <v>96</v>
      </c>
      <c r="G82" s="79">
        <f>8/1.569328</f>
        <v>5.097723356748876</v>
      </c>
      <c r="H82" s="79" t="s">
        <v>96</v>
      </c>
      <c r="I82" s="79">
        <f>8/1.517791</f>
        <v>5.270817918936139</v>
      </c>
      <c r="J82" s="79" t="s">
        <v>96</v>
      </c>
      <c r="K82" s="79">
        <f>8/1.561399</f>
        <v>5.123610300762329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</row>
    <row r="83" spans="2:23" s="76" customFormat="1" ht="12.75">
      <c r="B83" s="80" t="s">
        <v>118</v>
      </c>
      <c r="C83" s="80"/>
      <c r="D83" s="80" t="str">
        <f t="shared" si="8"/>
        <v>ug/dscm</v>
      </c>
      <c r="E83" s="76" t="s">
        <v>99</v>
      </c>
      <c r="F83" s="81" t="s">
        <v>96</v>
      </c>
      <c r="G83" s="79">
        <f>80/1.569328</f>
        <v>50.97723356748876</v>
      </c>
      <c r="H83" s="79" t="s">
        <v>96</v>
      </c>
      <c r="I83" s="79">
        <f>8/1.517791</f>
        <v>5.270817918936139</v>
      </c>
      <c r="J83" s="79" t="s">
        <v>96</v>
      </c>
      <c r="K83" s="79">
        <f>8/1.561399</f>
        <v>5.123610300762329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</row>
    <row r="84" spans="2:23" s="76" customFormat="1" ht="12.75">
      <c r="B84" s="80" t="s">
        <v>116</v>
      </c>
      <c r="C84" s="80"/>
      <c r="D84" s="80" t="str">
        <f t="shared" si="8"/>
        <v>ug/dscm</v>
      </c>
      <c r="E84" s="76" t="s">
        <v>99</v>
      </c>
      <c r="F84" s="81" t="s">
        <v>96</v>
      </c>
      <c r="G84" s="79">
        <f>8/1.569328</f>
        <v>5.097723356748876</v>
      </c>
      <c r="H84" s="79" t="s">
        <v>96</v>
      </c>
      <c r="I84" s="79">
        <f>8/1.517791</f>
        <v>5.270817918936139</v>
      </c>
      <c r="J84" s="79" t="s">
        <v>96</v>
      </c>
      <c r="K84" s="79">
        <f>8/1.561399</f>
        <v>5.123610300762329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</row>
    <row r="85" spans="2:23" s="76" customFormat="1" ht="12.75">
      <c r="B85" s="80" t="s">
        <v>107</v>
      </c>
      <c r="C85" s="80"/>
      <c r="D85" s="80" t="str">
        <f t="shared" si="8"/>
        <v>ug/dscm</v>
      </c>
      <c r="E85" s="76" t="s">
        <v>99</v>
      </c>
      <c r="F85" s="81"/>
      <c r="G85" s="79">
        <f>13/1.569328</f>
        <v>8.283800454716923</v>
      </c>
      <c r="H85" s="79"/>
      <c r="I85" s="79">
        <f>8/1.517791</f>
        <v>5.270817918936139</v>
      </c>
      <c r="J85" s="79" t="s">
        <v>96</v>
      </c>
      <c r="K85" s="79">
        <f>8/1.561399</f>
        <v>5.123610300762329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</row>
    <row r="86" spans="2:23" s="76" customFormat="1" ht="12.75">
      <c r="B86" s="80" t="s">
        <v>104</v>
      </c>
      <c r="C86" s="80"/>
      <c r="D86" s="80" t="str">
        <f t="shared" si="8"/>
        <v>ug/dscm</v>
      </c>
      <c r="E86" s="76" t="s">
        <v>99</v>
      </c>
      <c r="F86" s="81" t="s">
        <v>96</v>
      </c>
      <c r="G86" s="79">
        <f>10/1.569328</f>
        <v>6.372154195936095</v>
      </c>
      <c r="H86" s="79" t="s">
        <v>96</v>
      </c>
      <c r="I86" s="79">
        <f>10/1.517791</f>
        <v>6.5885223986701735</v>
      </c>
      <c r="J86" s="79" t="s">
        <v>96</v>
      </c>
      <c r="K86" s="79">
        <f>10/1.561399</f>
        <v>6.4045128759529115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</row>
    <row r="87" spans="2:23" s="76" customFormat="1" ht="12.75">
      <c r="B87" s="80" t="s">
        <v>115</v>
      </c>
      <c r="C87" s="80"/>
      <c r="D87" s="80" t="str">
        <f t="shared" si="8"/>
        <v>ug/dscm</v>
      </c>
      <c r="E87" s="76" t="s">
        <v>99</v>
      </c>
      <c r="F87" s="81" t="s">
        <v>96</v>
      </c>
      <c r="G87" s="79">
        <f>8/1.569328</f>
        <v>5.097723356748876</v>
      </c>
      <c r="H87" s="79" t="s">
        <v>96</v>
      </c>
      <c r="I87" s="79">
        <f>8/1.517791</f>
        <v>5.270817918936139</v>
      </c>
      <c r="J87" s="79" t="s">
        <v>96</v>
      </c>
      <c r="K87" s="79">
        <f>8/1.561399</f>
        <v>5.123610300762329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</row>
    <row r="88" spans="2:23" s="76" customFormat="1" ht="12.75">
      <c r="B88" s="80" t="s">
        <v>113</v>
      </c>
      <c r="C88" s="80"/>
      <c r="D88" s="80" t="str">
        <f t="shared" si="8"/>
        <v>ug/dscm</v>
      </c>
      <c r="E88" s="76" t="s">
        <v>99</v>
      </c>
      <c r="F88" s="81"/>
      <c r="G88" s="79">
        <f>9.2/1.569328</f>
        <v>5.862381860261206</v>
      </c>
      <c r="H88" s="79"/>
      <c r="I88" s="79">
        <f>54/1.517791</f>
        <v>35.57802095281893</v>
      </c>
      <c r="J88" s="79"/>
      <c r="K88" s="79">
        <f>10.3/1.561399</f>
        <v>6.5966482622315</v>
      </c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23" s="76" customFormat="1" ht="12.75">
      <c r="B89" s="80" t="s">
        <v>112</v>
      </c>
      <c r="C89" s="80"/>
      <c r="D89" s="80" t="str">
        <f t="shared" si="8"/>
        <v>ug/dscm</v>
      </c>
      <c r="E89" s="76" t="s">
        <v>99</v>
      </c>
      <c r="F89" s="81"/>
      <c r="G89" s="79">
        <f>92/1.569328</f>
        <v>58.62381860261207</v>
      </c>
      <c r="H89" s="79"/>
      <c r="I89" s="79">
        <f>66/1.517791</f>
        <v>43.48424783122314</v>
      </c>
      <c r="J89" s="79"/>
      <c r="K89" s="79">
        <f>41/1.561399</f>
        <v>26.258502791406936</v>
      </c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</row>
    <row r="90" spans="6:23" s="76" customFormat="1" ht="13.5" customHeight="1">
      <c r="F90" s="77"/>
      <c r="G90" s="79"/>
      <c r="H90" s="79"/>
      <c r="I90" s="79"/>
      <c r="J90" s="79"/>
      <c r="K90" s="79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</row>
    <row r="91" spans="2:23" s="76" customFormat="1" ht="12.75">
      <c r="B91" s="76" t="s">
        <v>83</v>
      </c>
      <c r="C91" s="76" t="s">
        <v>184</v>
      </c>
      <c r="D91" s="76" t="s">
        <v>257</v>
      </c>
      <c r="F91" s="77"/>
      <c r="G91" s="79"/>
      <c r="H91" s="79"/>
      <c r="I91" s="79"/>
      <c r="J91" s="79"/>
      <c r="K91" s="79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</row>
    <row r="92" spans="2:63" s="76" customFormat="1" ht="12.75">
      <c r="B92" s="8" t="s">
        <v>75</v>
      </c>
      <c r="C92" s="8"/>
      <c r="D92" s="8" t="s">
        <v>17</v>
      </c>
      <c r="G92" s="79">
        <v>6883.333333333333</v>
      </c>
      <c r="H92" s="79"/>
      <c r="I92" s="79">
        <v>6900</v>
      </c>
      <c r="J92" s="79"/>
      <c r="K92" s="79">
        <v>6250</v>
      </c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</row>
    <row r="93" spans="2:63" s="76" customFormat="1" ht="12.75">
      <c r="B93" s="8" t="s">
        <v>80</v>
      </c>
      <c r="C93" s="8"/>
      <c r="D93" s="8" t="s">
        <v>18</v>
      </c>
      <c r="G93" s="79">
        <v>14.7</v>
      </c>
      <c r="H93" s="79"/>
      <c r="I93" s="79">
        <v>14.4</v>
      </c>
      <c r="J93" s="79"/>
      <c r="K93" s="79">
        <v>14.6</v>
      </c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</row>
    <row r="94" spans="1:63" s="76" customFormat="1" ht="12.75">
      <c r="A94" s="76" t="s">
        <v>172</v>
      </c>
      <c r="B94" s="8" t="s">
        <v>81</v>
      </c>
      <c r="C94" s="8"/>
      <c r="D94" s="8" t="s">
        <v>18</v>
      </c>
      <c r="G94" s="79">
        <v>38.6</v>
      </c>
      <c r="H94" s="79"/>
      <c r="I94" s="79">
        <v>38.4</v>
      </c>
      <c r="J94" s="79"/>
      <c r="K94" s="79">
        <v>38.2</v>
      </c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</row>
    <row r="95" spans="2:63" s="76" customFormat="1" ht="12.75">
      <c r="B95" s="8" t="s">
        <v>74</v>
      </c>
      <c r="C95" s="8"/>
      <c r="D95" s="8" t="s">
        <v>19</v>
      </c>
      <c r="G95" s="79">
        <v>197</v>
      </c>
      <c r="H95" s="79"/>
      <c r="I95" s="79">
        <v>196</v>
      </c>
      <c r="J95" s="79"/>
      <c r="K95" s="79">
        <v>197</v>
      </c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</row>
    <row r="96" spans="7:63" s="76" customFormat="1" ht="12.75"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</row>
    <row r="97" spans="2:63" s="76" customFormat="1" ht="12.75">
      <c r="B97" s="76" t="s">
        <v>83</v>
      </c>
      <c r="C97" s="76" t="s">
        <v>95</v>
      </c>
      <c r="D97" s="76" t="s">
        <v>258</v>
      </c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</row>
    <row r="98" spans="2:63" s="76" customFormat="1" ht="12.75">
      <c r="B98" s="8" t="s">
        <v>75</v>
      </c>
      <c r="C98" s="8"/>
      <c r="D98" s="8" t="s">
        <v>17</v>
      </c>
      <c r="G98" s="79">
        <v>6966.666666666667</v>
      </c>
      <c r="H98" s="79"/>
      <c r="I98" s="79">
        <v>6600</v>
      </c>
      <c r="J98" s="79"/>
      <c r="K98" s="79">
        <v>6533.333333333333</v>
      </c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</row>
    <row r="99" spans="2:63" s="76" customFormat="1" ht="12.75">
      <c r="B99" s="8" t="s">
        <v>80</v>
      </c>
      <c r="C99" s="8"/>
      <c r="D99" s="8" t="s">
        <v>18</v>
      </c>
      <c r="G99" s="79">
        <v>14.5</v>
      </c>
      <c r="H99" s="79"/>
      <c r="I99" s="79">
        <v>14.4</v>
      </c>
      <c r="J99" s="79"/>
      <c r="K99" s="79">
        <v>14.5</v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</row>
    <row r="100" spans="2:63" s="76" customFormat="1" ht="12.75">
      <c r="B100" s="8" t="s">
        <v>81</v>
      </c>
      <c r="C100" s="8"/>
      <c r="D100" s="8" t="s">
        <v>18</v>
      </c>
      <c r="G100" s="79">
        <v>37.8</v>
      </c>
      <c r="H100" s="79"/>
      <c r="I100" s="79">
        <v>38.5</v>
      </c>
      <c r="J100" s="79"/>
      <c r="K100" s="79">
        <v>38.4</v>
      </c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</row>
    <row r="101" spans="2:63" s="76" customFormat="1" ht="12.75">
      <c r="B101" s="8" t="s">
        <v>74</v>
      </c>
      <c r="C101" s="8"/>
      <c r="D101" s="8" t="s">
        <v>19</v>
      </c>
      <c r="G101" s="79">
        <v>198</v>
      </c>
      <c r="H101" s="79"/>
      <c r="I101" s="79">
        <v>196</v>
      </c>
      <c r="J101" s="79"/>
      <c r="K101" s="79">
        <v>198</v>
      </c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</row>
    <row r="102" spans="7:63" s="76" customFormat="1" ht="12.75"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</row>
    <row r="103" spans="2:63" s="76" customFormat="1" ht="12.75">
      <c r="B103" s="76" t="s">
        <v>83</v>
      </c>
      <c r="C103" s="76" t="s">
        <v>186</v>
      </c>
      <c r="D103" s="76" t="s">
        <v>260</v>
      </c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</row>
    <row r="104" spans="2:63" s="76" customFormat="1" ht="12.75">
      <c r="B104" s="8" t="s">
        <v>75</v>
      </c>
      <c r="C104" s="8"/>
      <c r="D104" s="8" t="s">
        <v>17</v>
      </c>
      <c r="G104" s="79">
        <v>7383.333333333333</v>
      </c>
      <c r="H104" s="79"/>
      <c r="I104" s="79">
        <v>7100</v>
      </c>
      <c r="J104" s="79"/>
      <c r="K104" s="79">
        <v>7366.666666666667</v>
      </c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</row>
    <row r="105" spans="2:63" s="76" customFormat="1" ht="12.75">
      <c r="B105" s="8" t="s">
        <v>80</v>
      </c>
      <c r="C105" s="8"/>
      <c r="D105" s="8" t="s">
        <v>18</v>
      </c>
      <c r="G105" s="79">
        <v>14.6</v>
      </c>
      <c r="H105" s="79"/>
      <c r="I105" s="79">
        <v>14.4</v>
      </c>
      <c r="J105" s="79"/>
      <c r="K105" s="79">
        <v>14.6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</row>
    <row r="106" spans="2:63" s="76" customFormat="1" ht="12.75">
      <c r="B106" s="8" t="s">
        <v>81</v>
      </c>
      <c r="C106" s="8"/>
      <c r="D106" s="8" t="s">
        <v>18</v>
      </c>
      <c r="G106" s="79">
        <v>37.7</v>
      </c>
      <c r="H106" s="79"/>
      <c r="I106" s="79">
        <v>37.2</v>
      </c>
      <c r="J106" s="79"/>
      <c r="K106" s="79">
        <v>36.8</v>
      </c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</row>
    <row r="107" spans="2:63" s="76" customFormat="1" ht="12.75">
      <c r="B107" s="8" t="s">
        <v>74</v>
      </c>
      <c r="C107" s="8"/>
      <c r="D107" s="8" t="s">
        <v>19</v>
      </c>
      <c r="G107" s="79">
        <v>194</v>
      </c>
      <c r="H107" s="79"/>
      <c r="I107" s="79">
        <v>198</v>
      </c>
      <c r="J107" s="79"/>
      <c r="K107" s="79">
        <v>198</v>
      </c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</row>
    <row r="108" spans="7:63" s="76" customFormat="1" ht="12.75"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</row>
    <row r="109" spans="1:57" s="80" customFormat="1" ht="12.75">
      <c r="A109" s="80" t="s">
        <v>172</v>
      </c>
      <c r="B109" s="80" t="s">
        <v>188</v>
      </c>
      <c r="C109" s="80" t="s">
        <v>260</v>
      </c>
      <c r="D109" s="80" t="s">
        <v>18</v>
      </c>
      <c r="G109" s="81">
        <v>99.999998</v>
      </c>
      <c r="H109" s="81"/>
      <c r="I109" s="81">
        <v>99.999998</v>
      </c>
      <c r="J109" s="81"/>
      <c r="K109" s="81">
        <v>99.999998</v>
      </c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</row>
    <row r="110" spans="7:57" s="80" customFormat="1" ht="12.75"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</row>
    <row r="111" spans="2:57" s="80" customFormat="1" ht="12.75">
      <c r="B111" s="80" t="s">
        <v>78</v>
      </c>
      <c r="C111" s="80" t="s">
        <v>258</v>
      </c>
      <c r="D111" s="80" t="str">
        <f aca="true" t="shared" si="9" ref="D111:D126">IF(B111="PM","gr/dscf",(IF(OR(B111="CO",B111="HC",B111="Cl2",B111="HCl"),"ppmv","ug/dscm")))</f>
        <v>ug/dscm</v>
      </c>
      <c r="E111" s="76" t="s">
        <v>15</v>
      </c>
      <c r="F111" s="77" t="s">
        <v>96</v>
      </c>
      <c r="G111" s="88">
        <f aca="true" t="shared" si="10" ref="G111:G116">G77*(21-7)/(21-G$99)</f>
        <v>1.372463980663159</v>
      </c>
      <c r="H111" s="77" t="s">
        <v>96</v>
      </c>
      <c r="I111" s="88">
        <f aca="true" t="shared" si="11" ref="I111:I116">I77*(21-7)/(21-I$99)</f>
        <v>1.3975653572936733</v>
      </c>
      <c r="J111" s="77" t="s">
        <v>96</v>
      </c>
      <c r="K111" s="88">
        <f aca="true" t="shared" si="12" ref="K111:K116">K77*(21-7)/(21-K$99)</f>
        <v>1.3794335425129347</v>
      </c>
      <c r="L111" s="81"/>
      <c r="M111" s="81"/>
      <c r="N111" s="81">
        <v>100</v>
      </c>
      <c r="O111" s="88">
        <f>AVERAGE(G111,I111,K111)</f>
        <v>1.3831542934899224</v>
      </c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</row>
    <row r="112" spans="2:57" s="80" customFormat="1" ht="12.75">
      <c r="B112" s="80" t="s">
        <v>106</v>
      </c>
      <c r="C112" s="80" t="s">
        <v>258</v>
      </c>
      <c r="D112" s="80" t="str">
        <f t="shared" si="9"/>
        <v>ug/dscm</v>
      </c>
      <c r="E112" s="76" t="s">
        <v>15</v>
      </c>
      <c r="F112" s="77" t="s">
        <v>96</v>
      </c>
      <c r="G112" s="88">
        <f t="shared" si="10"/>
        <v>27.449279613263176</v>
      </c>
      <c r="H112" s="77" t="s">
        <v>96</v>
      </c>
      <c r="I112" s="88">
        <f t="shared" si="11"/>
        <v>27.951307145873464</v>
      </c>
      <c r="J112" s="77" t="s">
        <v>96</v>
      </c>
      <c r="K112" s="88">
        <f t="shared" si="12"/>
        <v>27.588670850258698</v>
      </c>
      <c r="L112" s="81"/>
      <c r="M112" s="81"/>
      <c r="N112" s="81">
        <v>100</v>
      </c>
      <c r="O112" s="88">
        <f aca="true" t="shared" si="13" ref="O112:O123">AVERAGE(G112,I112,K112)</f>
        <v>27.663085869798447</v>
      </c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</row>
    <row r="113" spans="2:57" s="80" customFormat="1" ht="12.75">
      <c r="B113" s="80" t="s">
        <v>77</v>
      </c>
      <c r="C113" s="80" t="s">
        <v>258</v>
      </c>
      <c r="D113" s="80" t="str">
        <f t="shared" si="9"/>
        <v>ug/dscm</v>
      </c>
      <c r="E113" s="76" t="s">
        <v>15</v>
      </c>
      <c r="F113" s="81" t="s">
        <v>96</v>
      </c>
      <c r="G113" s="88">
        <f t="shared" si="10"/>
        <v>10.979711845305273</v>
      </c>
      <c r="H113" s="81" t="s">
        <v>96</v>
      </c>
      <c r="I113" s="88">
        <f t="shared" si="11"/>
        <v>11.180522858349386</v>
      </c>
      <c r="J113" s="81" t="s">
        <v>96</v>
      </c>
      <c r="K113" s="88">
        <f t="shared" si="12"/>
        <v>11.035468340103478</v>
      </c>
      <c r="L113" s="81"/>
      <c r="M113" s="81"/>
      <c r="N113" s="81">
        <v>100</v>
      </c>
      <c r="O113" s="88">
        <f t="shared" si="13"/>
        <v>11.065234347919379</v>
      </c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</row>
    <row r="114" spans="2:57" s="80" customFormat="1" ht="12.75">
      <c r="B114" s="80" t="s">
        <v>82</v>
      </c>
      <c r="C114" s="80" t="s">
        <v>258</v>
      </c>
      <c r="D114" s="80" t="str">
        <f t="shared" si="9"/>
        <v>ug/dscm</v>
      </c>
      <c r="E114" s="76" t="s">
        <v>15</v>
      </c>
      <c r="F114" s="81" t="s">
        <v>96</v>
      </c>
      <c r="G114" s="88">
        <f t="shared" si="10"/>
        <v>10.979711845305273</v>
      </c>
      <c r="H114" s="81" t="s">
        <v>96</v>
      </c>
      <c r="I114" s="88">
        <f t="shared" si="11"/>
        <v>11.180522858349386</v>
      </c>
      <c r="J114" s="81" t="s">
        <v>96</v>
      </c>
      <c r="K114" s="88">
        <f t="shared" si="12"/>
        <v>11.035468340103478</v>
      </c>
      <c r="L114" s="81"/>
      <c r="M114" s="81"/>
      <c r="N114" s="81">
        <v>100</v>
      </c>
      <c r="O114" s="88">
        <f t="shared" si="13"/>
        <v>11.065234347919379</v>
      </c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</row>
    <row r="115" spans="2:57" s="80" customFormat="1" ht="12.75">
      <c r="B115" s="80" t="s">
        <v>76</v>
      </c>
      <c r="C115" s="80" t="s">
        <v>258</v>
      </c>
      <c r="D115" s="80" t="str">
        <f t="shared" si="9"/>
        <v>ug/dscm</v>
      </c>
      <c r="E115" s="76" t="s">
        <v>15</v>
      </c>
      <c r="F115" s="77"/>
      <c r="G115" s="88">
        <f t="shared" si="10"/>
        <v>24.01811966160528</v>
      </c>
      <c r="H115" s="81" t="s">
        <v>96</v>
      </c>
      <c r="I115" s="88">
        <f t="shared" si="11"/>
        <v>9.223931358138243</v>
      </c>
      <c r="J115" s="77"/>
      <c r="K115" s="88">
        <f t="shared" si="12"/>
        <v>4.483159013167039</v>
      </c>
      <c r="L115" s="81"/>
      <c r="M115" s="81"/>
      <c r="N115" s="81">
        <f>I115/(O115*3)*100</f>
        <v>24.45031147630857</v>
      </c>
      <c r="O115" s="88">
        <f t="shared" si="13"/>
        <v>12.575070010970187</v>
      </c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</row>
    <row r="116" spans="2:57" s="80" customFormat="1" ht="12.75">
      <c r="B116" s="80" t="s">
        <v>109</v>
      </c>
      <c r="C116" s="80" t="s">
        <v>258</v>
      </c>
      <c r="D116" s="80" t="str">
        <f t="shared" si="9"/>
        <v>ug/dscm</v>
      </c>
      <c r="E116" s="76" t="s">
        <v>15</v>
      </c>
      <c r="F116" s="81" t="s">
        <v>96</v>
      </c>
      <c r="G116" s="88">
        <f t="shared" si="10"/>
        <v>10.979711845305273</v>
      </c>
      <c r="H116" s="81" t="s">
        <v>96</v>
      </c>
      <c r="I116" s="88">
        <f t="shared" si="11"/>
        <v>11.180522858349386</v>
      </c>
      <c r="J116" s="81" t="s">
        <v>96</v>
      </c>
      <c r="K116" s="88">
        <f t="shared" si="12"/>
        <v>11.035468340103478</v>
      </c>
      <c r="L116" s="81"/>
      <c r="M116" s="81"/>
      <c r="N116" s="81">
        <v>100</v>
      </c>
      <c r="O116" s="88">
        <f t="shared" si="13"/>
        <v>11.065234347919379</v>
      </c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</row>
    <row r="117" spans="2:57" s="80" customFormat="1" ht="12.75">
      <c r="B117" s="80" t="s">
        <v>118</v>
      </c>
      <c r="C117" s="80" t="s">
        <v>258</v>
      </c>
      <c r="D117" s="80" t="str">
        <f t="shared" si="9"/>
        <v>ug/dscm</v>
      </c>
      <c r="E117" s="76" t="s">
        <v>15</v>
      </c>
      <c r="F117" s="81" t="s">
        <v>96</v>
      </c>
      <c r="G117" s="88">
        <f aca="true" t="shared" si="14" ref="G117:G123">G83*(21-7)/(21-G$99)</f>
        <v>109.7971184530527</v>
      </c>
      <c r="H117" s="81" t="s">
        <v>96</v>
      </c>
      <c r="I117" s="88">
        <f aca="true" t="shared" si="15" ref="I117:I123">I83*(21-7)/(21-I$99)</f>
        <v>11.180522858349386</v>
      </c>
      <c r="J117" s="81" t="s">
        <v>96</v>
      </c>
      <c r="K117" s="88">
        <f aca="true" t="shared" si="16" ref="K117:K123">K83*(21-7)/(21-K$99)</f>
        <v>11.035468340103478</v>
      </c>
      <c r="L117" s="81"/>
      <c r="M117" s="81"/>
      <c r="N117" s="81">
        <v>100</v>
      </c>
      <c r="O117" s="88">
        <f t="shared" si="13"/>
        <v>44.00436988383519</v>
      </c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</row>
    <row r="118" spans="2:57" s="80" customFormat="1" ht="12.75">
      <c r="B118" s="80" t="s">
        <v>116</v>
      </c>
      <c r="C118" s="80" t="s">
        <v>258</v>
      </c>
      <c r="D118" s="80" t="str">
        <f t="shared" si="9"/>
        <v>ug/dscm</v>
      </c>
      <c r="E118" s="76" t="s">
        <v>15</v>
      </c>
      <c r="F118" s="81" t="s">
        <v>96</v>
      </c>
      <c r="G118" s="88">
        <f t="shared" si="14"/>
        <v>10.979711845305273</v>
      </c>
      <c r="H118" s="81" t="s">
        <v>96</v>
      </c>
      <c r="I118" s="88">
        <f t="shared" si="15"/>
        <v>11.180522858349386</v>
      </c>
      <c r="J118" s="81" t="s">
        <v>96</v>
      </c>
      <c r="K118" s="88">
        <f t="shared" si="16"/>
        <v>11.035468340103478</v>
      </c>
      <c r="L118" s="81"/>
      <c r="M118" s="81"/>
      <c r="N118" s="81">
        <v>100</v>
      </c>
      <c r="O118" s="88">
        <f t="shared" si="13"/>
        <v>11.065234347919379</v>
      </c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</row>
    <row r="119" spans="2:57" s="80" customFormat="1" ht="12.75">
      <c r="B119" s="80" t="s">
        <v>107</v>
      </c>
      <c r="C119" s="80" t="s">
        <v>258</v>
      </c>
      <c r="D119" s="80" t="str">
        <f t="shared" si="9"/>
        <v>ug/dscm</v>
      </c>
      <c r="E119" s="76" t="s">
        <v>15</v>
      </c>
      <c r="F119" s="81"/>
      <c r="G119" s="88">
        <f t="shared" si="14"/>
        <v>17.842031748621064</v>
      </c>
      <c r="H119" s="81"/>
      <c r="I119" s="88">
        <f t="shared" si="15"/>
        <v>11.180522858349386</v>
      </c>
      <c r="J119" s="81" t="s">
        <v>96</v>
      </c>
      <c r="K119" s="88">
        <f t="shared" si="16"/>
        <v>11.035468340103478</v>
      </c>
      <c r="L119" s="81"/>
      <c r="M119" s="81"/>
      <c r="N119" s="81"/>
      <c r="O119" s="88">
        <f t="shared" si="13"/>
        <v>13.35267431569131</v>
      </c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</row>
    <row r="120" spans="2:57" s="80" customFormat="1" ht="12.75">
      <c r="B120" s="80" t="s">
        <v>104</v>
      </c>
      <c r="C120" s="80" t="s">
        <v>258</v>
      </c>
      <c r="D120" s="80" t="str">
        <f t="shared" si="9"/>
        <v>ug/dscm</v>
      </c>
      <c r="E120" s="76" t="s">
        <v>15</v>
      </c>
      <c r="F120" s="81" t="s">
        <v>96</v>
      </c>
      <c r="G120" s="88">
        <f t="shared" si="14"/>
        <v>13.724639806631588</v>
      </c>
      <c r="H120" s="81" t="s">
        <v>96</v>
      </c>
      <c r="I120" s="88">
        <f t="shared" si="15"/>
        <v>13.975653572936732</v>
      </c>
      <c r="J120" s="81" t="s">
        <v>96</v>
      </c>
      <c r="K120" s="88">
        <f t="shared" si="16"/>
        <v>13.794335425129349</v>
      </c>
      <c r="L120" s="81"/>
      <c r="M120" s="81"/>
      <c r="N120" s="81">
        <v>100</v>
      </c>
      <c r="O120" s="88">
        <f t="shared" si="13"/>
        <v>13.831542934899224</v>
      </c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</row>
    <row r="121" spans="2:57" s="80" customFormat="1" ht="12.75">
      <c r="B121" s="80" t="s">
        <v>115</v>
      </c>
      <c r="C121" s="80" t="s">
        <v>258</v>
      </c>
      <c r="D121" s="80" t="str">
        <f t="shared" si="9"/>
        <v>ug/dscm</v>
      </c>
      <c r="E121" s="76" t="s">
        <v>15</v>
      </c>
      <c r="F121" s="81" t="s">
        <v>96</v>
      </c>
      <c r="G121" s="88">
        <f t="shared" si="14"/>
        <v>10.979711845305273</v>
      </c>
      <c r="H121" s="81" t="s">
        <v>96</v>
      </c>
      <c r="I121" s="88">
        <f t="shared" si="15"/>
        <v>11.180522858349386</v>
      </c>
      <c r="J121" s="81" t="s">
        <v>96</v>
      </c>
      <c r="K121" s="88">
        <f t="shared" si="16"/>
        <v>11.035468340103478</v>
      </c>
      <c r="L121" s="81"/>
      <c r="M121" s="81"/>
      <c r="N121" s="81">
        <v>100</v>
      </c>
      <c r="O121" s="88">
        <f t="shared" si="13"/>
        <v>11.065234347919379</v>
      </c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</row>
    <row r="122" spans="2:57" s="80" customFormat="1" ht="12.75">
      <c r="B122" s="80" t="s">
        <v>113</v>
      </c>
      <c r="C122" s="80" t="s">
        <v>258</v>
      </c>
      <c r="D122" s="80" t="str">
        <f t="shared" si="9"/>
        <v>ug/dscm</v>
      </c>
      <c r="E122" s="76" t="s">
        <v>15</v>
      </c>
      <c r="F122" s="81"/>
      <c r="G122" s="88">
        <f t="shared" si="14"/>
        <v>12.62666862210106</v>
      </c>
      <c r="H122" s="81"/>
      <c r="I122" s="88">
        <f t="shared" si="15"/>
        <v>75.46852929385835</v>
      </c>
      <c r="J122" s="81"/>
      <c r="K122" s="88">
        <f t="shared" si="16"/>
        <v>14.208165487883232</v>
      </c>
      <c r="L122" s="81"/>
      <c r="M122" s="81"/>
      <c r="N122" s="81"/>
      <c r="O122" s="88">
        <f t="shared" si="13"/>
        <v>34.10112113461422</v>
      </c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</row>
    <row r="123" spans="2:57" s="80" customFormat="1" ht="12.75">
      <c r="B123" s="80" t="s">
        <v>112</v>
      </c>
      <c r="C123" s="80" t="s">
        <v>258</v>
      </c>
      <c r="D123" s="80" t="str">
        <f t="shared" si="9"/>
        <v>ug/dscm</v>
      </c>
      <c r="E123" s="76" t="s">
        <v>15</v>
      </c>
      <c r="F123" s="81"/>
      <c r="G123" s="88">
        <f t="shared" si="14"/>
        <v>126.26668622101062</v>
      </c>
      <c r="H123" s="81"/>
      <c r="I123" s="88">
        <f t="shared" si="15"/>
        <v>92.23931358138243</v>
      </c>
      <c r="J123" s="81"/>
      <c r="K123" s="88">
        <f t="shared" si="16"/>
        <v>56.55677524303033</v>
      </c>
      <c r="L123" s="81"/>
      <c r="M123" s="81"/>
      <c r="N123" s="81"/>
      <c r="O123" s="88">
        <f t="shared" si="13"/>
        <v>91.68759168180777</v>
      </c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</row>
    <row r="124" spans="5:57" s="80" customFormat="1" ht="12.75">
      <c r="E124" s="76"/>
      <c r="F124" s="81"/>
      <c r="G124" s="88"/>
      <c r="H124" s="81"/>
      <c r="I124" s="88"/>
      <c r="J124" s="81"/>
      <c r="K124" s="88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</row>
    <row r="125" spans="2:57" s="80" customFormat="1" ht="12.75">
      <c r="B125" s="80" t="s">
        <v>55</v>
      </c>
      <c r="D125" s="80" t="str">
        <f t="shared" si="9"/>
        <v>ug/dscm</v>
      </c>
      <c r="E125" s="76" t="s">
        <v>15</v>
      </c>
      <c r="F125" s="92">
        <f>G116/G125*100</f>
        <v>31.37254901960785</v>
      </c>
      <c r="G125" s="88">
        <f>SUM(G115,G116)</f>
        <v>34.99783150691055</v>
      </c>
      <c r="H125" s="81">
        <v>100</v>
      </c>
      <c r="I125" s="88">
        <f>SUM(I115,I116)</f>
        <v>20.40445421648763</v>
      </c>
      <c r="J125" s="92">
        <f>K116/K125*100</f>
        <v>71.1111111111111</v>
      </c>
      <c r="K125" s="88">
        <f>SUM(K115,K116)</f>
        <v>15.518627353270517</v>
      </c>
      <c r="L125" s="81"/>
      <c r="M125" s="81"/>
      <c r="N125" s="81">
        <f>(F125*G125+H125*I125+J125*K125)/(O125*3)</f>
        <v>59.81258920910797</v>
      </c>
      <c r="O125" s="88">
        <f>AVERAGE(G125,I125,K125)</f>
        <v>23.640304358889566</v>
      </c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</row>
    <row r="126" spans="2:57" s="80" customFormat="1" ht="12.75">
      <c r="B126" s="80" t="s">
        <v>56</v>
      </c>
      <c r="D126" s="80" t="str">
        <f t="shared" si="9"/>
        <v>ug/dscm</v>
      </c>
      <c r="E126" s="76" t="s">
        <v>15</v>
      </c>
      <c r="F126" s="80">
        <v>100</v>
      </c>
      <c r="G126" s="88">
        <f>SUM(G112:G114)</f>
        <v>49.40870330387372</v>
      </c>
      <c r="H126" s="80">
        <v>100</v>
      </c>
      <c r="I126" s="88">
        <f>SUM(I112:I114)</f>
        <v>50.31235286257223</v>
      </c>
      <c r="J126" s="80">
        <v>100</v>
      </c>
      <c r="K126" s="88">
        <f>SUM(K112:K114)</f>
        <v>49.65960753046565</v>
      </c>
      <c r="L126" s="81"/>
      <c r="M126" s="81"/>
      <c r="N126" s="80">
        <v>100</v>
      </c>
      <c r="O126" s="88">
        <f>AVERAGE(G126,I126,K126)</f>
        <v>49.7935545656372</v>
      </c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</row>
    <row r="127" spans="7:57" s="80" customFormat="1" ht="12.75"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</row>
    <row r="128" spans="2:23" s="76" customFormat="1" ht="12.75">
      <c r="B128" s="41" t="s">
        <v>174</v>
      </c>
      <c r="F128" s="77"/>
      <c r="G128" s="51" t="s">
        <v>179</v>
      </c>
      <c r="H128" s="51"/>
      <c r="I128" s="51" t="s">
        <v>180</v>
      </c>
      <c r="J128" s="51"/>
      <c r="K128" s="51" t="s">
        <v>181</v>
      </c>
      <c r="L128" s="51"/>
      <c r="M128" s="51" t="s">
        <v>182</v>
      </c>
      <c r="N128" s="51"/>
      <c r="O128" s="51" t="s">
        <v>47</v>
      </c>
      <c r="P128" s="77"/>
      <c r="Q128" s="77"/>
      <c r="R128" s="77"/>
      <c r="S128" s="77"/>
      <c r="T128" s="77"/>
      <c r="U128" s="77"/>
      <c r="V128" s="77"/>
      <c r="W128" s="77"/>
    </row>
    <row r="129" spans="6:23" s="76" customFormat="1" ht="12.75">
      <c r="F129" s="77"/>
      <c r="G129" s="79"/>
      <c r="H129" s="79"/>
      <c r="I129" s="79"/>
      <c r="J129" s="79"/>
      <c r="K129" s="79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</row>
    <row r="130" spans="1:24" s="76" customFormat="1" ht="12.75">
      <c r="A130" s="76" t="s">
        <v>174</v>
      </c>
      <c r="B130" s="76" t="s">
        <v>13</v>
      </c>
      <c r="C130" s="76" t="s">
        <v>257</v>
      </c>
      <c r="D130" s="76" t="s">
        <v>14</v>
      </c>
      <c r="E130" s="76" t="s">
        <v>15</v>
      </c>
      <c r="F130" s="77" t="s">
        <v>183</v>
      </c>
      <c r="G130" s="78">
        <v>0.00123601226112</v>
      </c>
      <c r="H130" s="78" t="s">
        <v>183</v>
      </c>
      <c r="I130" s="78">
        <v>0.0028100278752</v>
      </c>
      <c r="J130" s="78" t="s">
        <v>183</v>
      </c>
      <c r="K130" s="78">
        <v>0.00249802478016</v>
      </c>
      <c r="L130" s="78" t="s">
        <v>183</v>
      </c>
      <c r="M130" s="78">
        <v>0.00241302393696</v>
      </c>
      <c r="N130" s="78" t="s">
        <v>183</v>
      </c>
      <c r="O130" s="78">
        <f>AVERAGE(G130,I130,K130,M130)</f>
        <v>0.00223927221336</v>
      </c>
      <c r="P130" s="78" t="s">
        <v>183</v>
      </c>
      <c r="Q130" s="78"/>
      <c r="R130" s="78" t="s">
        <v>183</v>
      </c>
      <c r="S130" s="78"/>
      <c r="T130" s="78" t="s">
        <v>183</v>
      </c>
      <c r="U130" s="78"/>
      <c r="V130" s="77" t="s">
        <v>183</v>
      </c>
      <c r="W130" s="77"/>
      <c r="X130" s="76">
        <v>0.00223927221336</v>
      </c>
    </row>
    <row r="131" spans="1:24" s="76" customFormat="1" ht="12.75">
      <c r="A131" s="76" t="s">
        <v>174</v>
      </c>
      <c r="B131" s="76" t="s">
        <v>282</v>
      </c>
      <c r="C131" s="76" t="s">
        <v>257</v>
      </c>
      <c r="D131" s="76" t="s">
        <v>16</v>
      </c>
      <c r="E131" s="76" t="s">
        <v>15</v>
      </c>
      <c r="F131" s="77" t="s">
        <v>183</v>
      </c>
      <c r="G131" s="79">
        <v>6.5381443298969</v>
      </c>
      <c r="H131" s="79" t="s">
        <v>183</v>
      </c>
      <c r="I131" s="79">
        <v>6.020689655172416</v>
      </c>
      <c r="J131" s="79" t="s">
        <v>183</v>
      </c>
      <c r="K131" s="79">
        <v>5.356521739130435</v>
      </c>
      <c r="L131" s="77" t="s">
        <v>183</v>
      </c>
      <c r="M131" s="79">
        <v>6.13846153846154</v>
      </c>
      <c r="N131" s="77" t="s">
        <v>183</v>
      </c>
      <c r="O131" s="79">
        <f>AVERAGE(G131,I131,K131,M131)</f>
        <v>6.013454315665323</v>
      </c>
      <c r="P131" s="77" t="s">
        <v>183</v>
      </c>
      <c r="Q131" s="77"/>
      <c r="R131" s="77" t="s">
        <v>183</v>
      </c>
      <c r="S131" s="77"/>
      <c r="T131" s="77" t="s">
        <v>183</v>
      </c>
      <c r="U131" s="77"/>
      <c r="V131" s="77" t="s">
        <v>183</v>
      </c>
      <c r="W131" s="77"/>
      <c r="X131" s="76">
        <v>6.013454315665323</v>
      </c>
    </row>
    <row r="132" spans="6:23" s="76" customFormat="1" ht="12.75">
      <c r="F132" s="77"/>
      <c r="G132" s="79"/>
      <c r="H132" s="79"/>
      <c r="I132" s="79"/>
      <c r="J132" s="79"/>
      <c r="K132" s="79"/>
      <c r="L132" s="77"/>
      <c r="M132" s="79"/>
      <c r="N132" s="77"/>
      <c r="O132" s="79"/>
      <c r="P132" s="77"/>
      <c r="Q132" s="77"/>
      <c r="R132" s="77"/>
      <c r="S132" s="77"/>
      <c r="T132" s="77"/>
      <c r="U132" s="77"/>
      <c r="V132" s="77"/>
      <c r="W132" s="77"/>
    </row>
    <row r="133" spans="1:24" s="76" customFormat="1" ht="12.75">
      <c r="A133" s="76" t="s">
        <v>174</v>
      </c>
      <c r="B133" s="76" t="s">
        <v>48</v>
      </c>
      <c r="C133" s="76" t="s">
        <v>257</v>
      </c>
      <c r="D133" s="76" t="s">
        <v>16</v>
      </c>
      <c r="E133" s="76" t="s">
        <v>15</v>
      </c>
      <c r="F133" s="77" t="s">
        <v>96</v>
      </c>
      <c r="G133" s="79">
        <v>0.2072711733712925</v>
      </c>
      <c r="H133" s="79" t="s">
        <v>96</v>
      </c>
      <c r="I133" s="79">
        <v>0.2104116456951</v>
      </c>
      <c r="J133" s="79" t="s">
        <v>183</v>
      </c>
      <c r="K133" s="79">
        <v>0.8869003338255487</v>
      </c>
      <c r="L133" s="77" t="s">
        <v>96</v>
      </c>
      <c r="M133" s="79">
        <v>0.2104116456951</v>
      </c>
      <c r="N133" s="77" t="s">
        <v>183</v>
      </c>
      <c r="O133" s="91">
        <f>AVERAGE(G133,I133,K133,M133)</f>
        <v>0.3787486996467603</v>
      </c>
      <c r="P133" s="77" t="s">
        <v>183</v>
      </c>
      <c r="Q133" s="77"/>
      <c r="R133" s="77" t="s">
        <v>183</v>
      </c>
      <c r="S133" s="77"/>
      <c r="T133" s="77" t="s">
        <v>183</v>
      </c>
      <c r="U133" s="77"/>
      <c r="V133" s="77" t="s">
        <v>183</v>
      </c>
      <c r="W133" s="77"/>
      <c r="X133" s="76">
        <v>0.3787486996467603</v>
      </c>
    </row>
    <row r="134" spans="6:23" s="76" customFormat="1" ht="12.75">
      <c r="F134" s="77"/>
      <c r="G134" s="79"/>
      <c r="H134" s="79"/>
      <c r="I134" s="79"/>
      <c r="J134" s="79"/>
      <c r="K134" s="79"/>
      <c r="L134" s="77"/>
      <c r="M134" s="79"/>
      <c r="N134" s="77"/>
      <c r="O134" s="78"/>
      <c r="P134" s="77"/>
      <c r="Q134" s="77"/>
      <c r="R134" s="77"/>
      <c r="S134" s="77"/>
      <c r="T134" s="77"/>
      <c r="U134" s="77"/>
      <c r="V134" s="77"/>
      <c r="W134" s="77"/>
    </row>
    <row r="135" spans="1:24" s="76" customFormat="1" ht="12.75">
      <c r="A135" s="76" t="s">
        <v>174</v>
      </c>
      <c r="B135" s="76" t="s">
        <v>106</v>
      </c>
      <c r="C135" s="80" t="s">
        <v>258</v>
      </c>
      <c r="D135" s="76" t="s">
        <v>54</v>
      </c>
      <c r="E135" s="76" t="s">
        <v>15</v>
      </c>
      <c r="F135" s="77" t="s">
        <v>96</v>
      </c>
      <c r="G135" s="79">
        <f>10/1.596229*(21-7)/(21-G$160)</f>
        <v>14.146244154999266</v>
      </c>
      <c r="H135" s="79" t="s">
        <v>96</v>
      </c>
      <c r="I135" s="79">
        <f>10/1.486643*(21-7)/(21-I$160)</f>
        <v>13.648101845879452</v>
      </c>
      <c r="J135" s="79" t="s">
        <v>183</v>
      </c>
      <c r="K135" s="79">
        <f>30.3/1.474749*(21-7)/(21-K$160)</f>
        <v>42.30031886183782</v>
      </c>
      <c r="L135" s="77" t="s">
        <v>96</v>
      </c>
      <c r="M135" s="79">
        <f>10/1.561399*(21-7)/(21-M$160)</f>
        <v>14.009871916146993</v>
      </c>
      <c r="N135" s="77">
        <f>(G135+I135+M135)/(O135*4)*100</f>
        <v>49.705068856085305</v>
      </c>
      <c r="O135" s="91">
        <f aca="true" t="shared" si="17" ref="O135:O144">AVERAGE(G135,I135,K135,M135)</f>
        <v>21.026134194715883</v>
      </c>
      <c r="P135" s="77" t="s">
        <v>183</v>
      </c>
      <c r="Q135" s="77"/>
      <c r="R135" s="77" t="s">
        <v>183</v>
      </c>
      <c r="S135" s="77"/>
      <c r="T135" s="77" t="s">
        <v>183</v>
      </c>
      <c r="U135" s="77"/>
      <c r="V135" s="77" t="s">
        <v>183</v>
      </c>
      <c r="W135" s="77"/>
      <c r="X135" s="76">
        <v>15.0040494458653</v>
      </c>
    </row>
    <row r="136" spans="1:24" s="76" customFormat="1" ht="12.75">
      <c r="A136" s="76" t="s">
        <v>174</v>
      </c>
      <c r="B136" s="76" t="s">
        <v>107</v>
      </c>
      <c r="C136" s="80" t="s">
        <v>258</v>
      </c>
      <c r="D136" s="76" t="s">
        <v>54</v>
      </c>
      <c r="E136" s="76" t="s">
        <v>15</v>
      </c>
      <c r="F136" s="77" t="s">
        <v>96</v>
      </c>
      <c r="G136" s="79">
        <f>20/1.6*(21-7)/(21-G$160)</f>
        <v>28.225806451612907</v>
      </c>
      <c r="H136" s="79" t="s">
        <v>96</v>
      </c>
      <c r="I136" s="79">
        <f>20/1.49*(21-7)/(21-I$160)</f>
        <v>27.23470479525338</v>
      </c>
      <c r="J136" s="79" t="s">
        <v>96</v>
      </c>
      <c r="K136" s="79">
        <f>20/1.48*(21-7)/(21-K$160)</f>
        <v>27.821939586645467</v>
      </c>
      <c r="L136" s="77" t="s">
        <v>96</v>
      </c>
      <c r="M136" s="79">
        <f>20/1.56*(21-7)/(21-M$160)</f>
        <v>28.044871794871792</v>
      </c>
      <c r="N136" s="77" t="s">
        <v>183</v>
      </c>
      <c r="O136" s="91">
        <f t="shared" si="17"/>
        <v>27.83183065709589</v>
      </c>
      <c r="P136" s="77" t="s">
        <v>183</v>
      </c>
      <c r="Q136" s="77"/>
      <c r="R136" s="77" t="s">
        <v>183</v>
      </c>
      <c r="S136" s="77"/>
      <c r="T136" s="77" t="s">
        <v>183</v>
      </c>
      <c r="U136" s="77"/>
      <c r="V136" s="77" t="s">
        <v>183</v>
      </c>
      <c r="W136" s="77"/>
      <c r="X136" s="76">
        <v>12.205002337540929</v>
      </c>
    </row>
    <row r="137" spans="2:23" s="76" customFormat="1" ht="12.75">
      <c r="B137" s="80" t="s">
        <v>77</v>
      </c>
      <c r="C137" s="80" t="s">
        <v>258</v>
      </c>
      <c r="D137" s="80" t="s">
        <v>54</v>
      </c>
      <c r="E137" s="76" t="s">
        <v>15</v>
      </c>
      <c r="F137" s="77" t="s">
        <v>96</v>
      </c>
      <c r="G137" s="79">
        <f>4/1.596229*(21-7)/(21-G$160)</f>
        <v>5.658497661999708</v>
      </c>
      <c r="H137" s="79" t="s">
        <v>96</v>
      </c>
      <c r="I137" s="79">
        <f>4/1.486643*(21-7)/(21-I$160)</f>
        <v>5.459240738351781</v>
      </c>
      <c r="J137" s="79" t="s">
        <v>96</v>
      </c>
      <c r="K137" s="79">
        <f>4/1.474749*(21-7)/(21-K$160)</f>
        <v>5.584200509813574</v>
      </c>
      <c r="L137" s="77" t="s">
        <v>96</v>
      </c>
      <c r="M137" s="79">
        <f>4/1.561399*(21-7)/(21-M$160)</f>
        <v>5.603948766458797</v>
      </c>
      <c r="N137" s="77">
        <v>100</v>
      </c>
      <c r="O137" s="91">
        <f t="shared" si="17"/>
        <v>5.576471919155964</v>
      </c>
      <c r="P137" s="77"/>
      <c r="Q137" s="77"/>
      <c r="R137" s="77"/>
      <c r="S137" s="77"/>
      <c r="T137" s="77"/>
      <c r="U137" s="77"/>
      <c r="V137" s="77"/>
      <c r="W137" s="77"/>
    </row>
    <row r="138" spans="1:24" s="76" customFormat="1" ht="12.75">
      <c r="A138" s="76" t="s">
        <v>174</v>
      </c>
      <c r="B138" s="76" t="s">
        <v>108</v>
      </c>
      <c r="C138" s="80" t="s">
        <v>258</v>
      </c>
      <c r="D138" s="76" t="s">
        <v>54</v>
      </c>
      <c r="E138" s="76" t="s">
        <v>15</v>
      </c>
      <c r="F138" s="77" t="s">
        <v>183</v>
      </c>
      <c r="G138" s="79">
        <f>15*(21-7)/(21-G$160)</f>
        <v>33.87096774193549</v>
      </c>
      <c r="H138" s="79" t="s">
        <v>183</v>
      </c>
      <c r="I138" s="79">
        <f>24*(21-7)/(21-I$154)</f>
        <v>50.909090909090914</v>
      </c>
      <c r="J138" s="79" t="s">
        <v>183</v>
      </c>
      <c r="K138" s="79">
        <f>130*(21-7)/(21-K$160)</f>
        <v>267.6470588235294</v>
      </c>
      <c r="L138" s="77" t="s">
        <v>183</v>
      </c>
      <c r="M138" s="79">
        <f>116*(21-7)/(21-M$154)</f>
        <v>246.06060606060606</v>
      </c>
      <c r="N138" s="77" t="s">
        <v>183</v>
      </c>
      <c r="O138" s="91">
        <f t="shared" si="17"/>
        <v>149.62193088379047</v>
      </c>
      <c r="P138" s="77" t="s">
        <v>183</v>
      </c>
      <c r="Q138" s="77"/>
      <c r="R138" s="77" t="s">
        <v>183</v>
      </c>
      <c r="S138" s="77"/>
      <c r="T138" s="77" t="s">
        <v>183</v>
      </c>
      <c r="U138" s="77"/>
      <c r="V138" s="77" t="s">
        <v>183</v>
      </c>
      <c r="W138" s="77"/>
      <c r="X138" s="76">
        <v>150.9909196848446</v>
      </c>
    </row>
    <row r="139" spans="2:23" s="76" customFormat="1" ht="12.75">
      <c r="B139" s="80" t="s">
        <v>109</v>
      </c>
      <c r="C139" s="80" t="s">
        <v>258</v>
      </c>
      <c r="D139" s="80" t="s">
        <v>54</v>
      </c>
      <c r="E139" s="76" t="s">
        <v>15</v>
      </c>
      <c r="F139" s="77" t="s">
        <v>96</v>
      </c>
      <c r="G139" s="79">
        <f>5/1.596229*(21-7)/(21-G$160)</f>
        <v>7.073122077499633</v>
      </c>
      <c r="H139" s="79" t="s">
        <v>96</v>
      </c>
      <c r="I139" s="79">
        <f>5/1.486643*(21-7)/(21-I$160)</f>
        <v>6.824050922939726</v>
      </c>
      <c r="J139" s="79" t="s">
        <v>96</v>
      </c>
      <c r="K139" s="79">
        <f>5/1.474749*(21-7)/(21-K$160)</f>
        <v>6.980250637266966</v>
      </c>
      <c r="L139" s="77" t="s">
        <v>96</v>
      </c>
      <c r="M139" s="79">
        <f>5/1.561399*(21-7)/(21-M$160)</f>
        <v>7.004935958073497</v>
      </c>
      <c r="N139" s="77">
        <v>100</v>
      </c>
      <c r="O139" s="91">
        <f t="shared" si="17"/>
        <v>6.970589898944955</v>
      </c>
      <c r="P139" s="77"/>
      <c r="Q139" s="77"/>
      <c r="R139" s="77"/>
      <c r="S139" s="77"/>
      <c r="T139" s="77"/>
      <c r="U139" s="77"/>
      <c r="V139" s="77"/>
      <c r="W139" s="77"/>
    </row>
    <row r="140" spans="1:24" s="76" customFormat="1" ht="12.75">
      <c r="A140" s="76" t="s">
        <v>174</v>
      </c>
      <c r="B140" s="76" t="s">
        <v>82</v>
      </c>
      <c r="C140" s="80" t="s">
        <v>258</v>
      </c>
      <c r="D140" s="76" t="s">
        <v>54</v>
      </c>
      <c r="E140" s="76" t="s">
        <v>15</v>
      </c>
      <c r="F140" s="81" t="s">
        <v>96</v>
      </c>
      <c r="G140" s="79">
        <f>5/1.596229*(21-7)/(21-G$160)</f>
        <v>7.073122077499633</v>
      </c>
      <c r="H140" s="79" t="s">
        <v>96</v>
      </c>
      <c r="I140" s="79">
        <f>5/1.486643*(21-7)/(21-I$160)</f>
        <v>6.824050922939726</v>
      </c>
      <c r="J140" s="79" t="s">
        <v>183</v>
      </c>
      <c r="K140" s="79">
        <f>4.7/1.474749*(21-7)/(21-K$160)</f>
        <v>6.561435599030949</v>
      </c>
      <c r="L140" s="77"/>
      <c r="M140" s="79">
        <f>3.93/1.561399*(21-7)/(21-M$160)</f>
        <v>5.50587966304577</v>
      </c>
      <c r="N140" s="77">
        <f>(G140+I140)/(O140*4)*100</f>
        <v>53.52377008139293</v>
      </c>
      <c r="O140" s="91">
        <f t="shared" si="17"/>
        <v>6.491122065629019</v>
      </c>
      <c r="P140" s="77" t="s">
        <v>183</v>
      </c>
      <c r="Q140" s="77"/>
      <c r="R140" s="77" t="s">
        <v>183</v>
      </c>
      <c r="S140" s="77"/>
      <c r="T140" s="77" t="s">
        <v>183</v>
      </c>
      <c r="U140" s="77"/>
      <c r="V140" s="77" t="s">
        <v>183</v>
      </c>
      <c r="W140" s="77"/>
      <c r="X140" s="76">
        <v>3.1290219453840464</v>
      </c>
    </row>
    <row r="141" spans="1:24" s="76" customFormat="1" ht="12.75">
      <c r="A141" s="76" t="s">
        <v>174</v>
      </c>
      <c r="B141" s="76" t="s">
        <v>111</v>
      </c>
      <c r="C141" s="80" t="s">
        <v>258</v>
      </c>
      <c r="D141" s="76" t="s">
        <v>54</v>
      </c>
      <c r="E141" s="76" t="s">
        <v>15</v>
      </c>
      <c r="F141" s="77" t="s">
        <v>96</v>
      </c>
      <c r="G141" s="79">
        <f>3.1*(21-7)/(21-G$160)</f>
        <v>7.000000000000001</v>
      </c>
      <c r="H141" s="79" t="s">
        <v>96</v>
      </c>
      <c r="I141" s="79">
        <f>3.4*(21-7)/(21-I$154)</f>
        <v>7.212121212121213</v>
      </c>
      <c r="J141" s="79" t="s">
        <v>183</v>
      </c>
      <c r="K141" s="79">
        <f>5*(21-7)/(21-K$154)</f>
        <v>10.144927536231883</v>
      </c>
      <c r="L141" s="77" t="s">
        <v>96</v>
      </c>
      <c r="M141" s="79">
        <f>3.2*(21-7)/(21-M$154)</f>
        <v>6.787878787878789</v>
      </c>
      <c r="N141" s="77" t="s">
        <v>183</v>
      </c>
      <c r="O141" s="91">
        <f t="shared" si="17"/>
        <v>7.786231884057972</v>
      </c>
      <c r="P141" s="77" t="s">
        <v>183</v>
      </c>
      <c r="Q141" s="77"/>
      <c r="R141" s="77" t="s">
        <v>183</v>
      </c>
      <c r="S141" s="77"/>
      <c r="T141" s="77" t="s">
        <v>183</v>
      </c>
      <c r="U141" s="77"/>
      <c r="V141" s="77" t="s">
        <v>183</v>
      </c>
      <c r="W141" s="77"/>
      <c r="X141" s="76">
        <v>7.798167092924126</v>
      </c>
    </row>
    <row r="142" spans="1:24" s="76" customFormat="1" ht="12.75">
      <c r="A142" s="76" t="s">
        <v>174</v>
      </c>
      <c r="B142" s="76" t="s">
        <v>76</v>
      </c>
      <c r="C142" s="80" t="s">
        <v>258</v>
      </c>
      <c r="D142" s="76" t="s">
        <v>54</v>
      </c>
      <c r="E142" s="76" t="s">
        <v>15</v>
      </c>
      <c r="F142" s="77" t="s">
        <v>96</v>
      </c>
      <c r="G142" s="79">
        <f>10/1.596229*(21-7)/(21-G$160)</f>
        <v>14.146244154999266</v>
      </c>
      <c r="H142" s="79" t="s">
        <v>96</v>
      </c>
      <c r="I142" s="79">
        <f>10/1.486643*(21-7)/(21-I$160)</f>
        <v>13.648101845879452</v>
      </c>
      <c r="J142" s="79" t="s">
        <v>183</v>
      </c>
      <c r="K142" s="79">
        <f>69.1/1.474749*(21-7)/(21-K$160)</f>
        <v>96.46706380702946</v>
      </c>
      <c r="L142" s="77"/>
      <c r="M142" s="79">
        <f>8.2/1.561399*(21-7)/(21-M$160)</f>
        <v>11.488094971240534</v>
      </c>
      <c r="N142" s="77">
        <f>(G142+I142)/(O142*4)*100</f>
        <v>20.47473104678903</v>
      </c>
      <c r="O142" s="91">
        <f t="shared" si="17"/>
        <v>33.93737619478718</v>
      </c>
      <c r="P142" s="77" t="s">
        <v>183</v>
      </c>
      <c r="Q142" s="77"/>
      <c r="R142" s="77" t="s">
        <v>183</v>
      </c>
      <c r="S142" s="77"/>
      <c r="T142" s="77" t="s">
        <v>183</v>
      </c>
      <c r="U142" s="77"/>
      <c r="V142" s="77" t="s">
        <v>183</v>
      </c>
      <c r="W142" s="77"/>
      <c r="X142" s="76">
        <v>28.65983988704177</v>
      </c>
    </row>
    <row r="143" spans="1:24" s="76" customFormat="1" ht="12.75">
      <c r="A143" s="76" t="s">
        <v>174</v>
      </c>
      <c r="B143" s="76" t="s">
        <v>112</v>
      </c>
      <c r="C143" s="80" t="s">
        <v>258</v>
      </c>
      <c r="D143" s="76" t="s">
        <v>54</v>
      </c>
      <c r="E143" s="76" t="s">
        <v>15</v>
      </c>
      <c r="F143" s="77" t="s">
        <v>183</v>
      </c>
      <c r="G143" s="79">
        <f>8.9*(21-7)/(21-G$154)</f>
        <v>18.597014925373138</v>
      </c>
      <c r="H143" s="79" t="s">
        <v>183</v>
      </c>
      <c r="I143" s="79">
        <f>47*(21-7)/(21-I$160)</f>
        <v>95.3623188405797</v>
      </c>
      <c r="J143" s="79" t="s">
        <v>183</v>
      </c>
      <c r="K143" s="79">
        <f>67*(21-7)/(21-K$160)</f>
        <v>137.94117647058823</v>
      </c>
      <c r="L143" s="77" t="s">
        <v>183</v>
      </c>
      <c r="M143" s="79">
        <f>238*(21-7)/(21-M$166)</f>
        <v>512.6153846153846</v>
      </c>
      <c r="N143" s="77" t="s">
        <v>183</v>
      </c>
      <c r="O143" s="91">
        <f t="shared" si="17"/>
        <v>191.12897371298143</v>
      </c>
      <c r="P143" s="77" t="s">
        <v>183</v>
      </c>
      <c r="Q143" s="77"/>
      <c r="R143" s="77" t="s">
        <v>183</v>
      </c>
      <c r="S143" s="77"/>
      <c r="T143" s="77" t="s">
        <v>183</v>
      </c>
      <c r="U143" s="77"/>
      <c r="V143" s="77" t="s">
        <v>183</v>
      </c>
      <c r="W143" s="77"/>
      <c r="X143" s="76">
        <v>193.5063173761791</v>
      </c>
    </row>
    <row r="144" spans="2:23" s="76" customFormat="1" ht="12.75">
      <c r="B144" s="80" t="s">
        <v>115</v>
      </c>
      <c r="C144" s="80" t="s">
        <v>258</v>
      </c>
      <c r="D144" s="80" t="s">
        <v>54</v>
      </c>
      <c r="E144" s="76" t="s">
        <v>15</v>
      </c>
      <c r="F144" s="77" t="s">
        <v>96</v>
      </c>
      <c r="G144" s="79">
        <f>20/1.6*(21-7)/(21-G$160)</f>
        <v>28.225806451612907</v>
      </c>
      <c r="H144" s="79" t="s">
        <v>96</v>
      </c>
      <c r="I144" s="79">
        <f>20/1.49*(21-7)/(21-I$160)</f>
        <v>27.23470479525338</v>
      </c>
      <c r="J144" s="79" t="s">
        <v>96</v>
      </c>
      <c r="K144" s="79">
        <f>20/1.48*(21-7)/(21-K$160)</f>
        <v>27.821939586645467</v>
      </c>
      <c r="L144" s="77" t="s">
        <v>96</v>
      </c>
      <c r="M144" s="79">
        <f>20/1.56*(21-7)/(21-M$160)</f>
        <v>28.044871794871792</v>
      </c>
      <c r="N144" s="77"/>
      <c r="O144" s="91">
        <f t="shared" si="17"/>
        <v>27.83183065709589</v>
      </c>
      <c r="P144" s="77"/>
      <c r="Q144" s="77"/>
      <c r="R144" s="77"/>
      <c r="S144" s="77"/>
      <c r="T144" s="77"/>
      <c r="U144" s="77"/>
      <c r="V144" s="77"/>
      <c r="W144" s="77"/>
    </row>
    <row r="145" spans="1:24" s="76" customFormat="1" ht="12.75">
      <c r="A145" s="76" t="s">
        <v>174</v>
      </c>
      <c r="B145" s="76" t="s">
        <v>78</v>
      </c>
      <c r="C145" s="80" t="s">
        <v>258</v>
      </c>
      <c r="D145" s="76" t="s">
        <v>54</v>
      </c>
      <c r="E145" s="76" t="s">
        <v>15</v>
      </c>
      <c r="F145" s="77" t="s">
        <v>96</v>
      </c>
      <c r="G145" s="79">
        <f>7.2/1.596229*(21-7)/(21-G$160)</f>
        <v>10.185295791599472</v>
      </c>
      <c r="H145" s="79" t="s">
        <v>96</v>
      </c>
      <c r="I145" s="79">
        <f>7.2/1.486643*(21-7)/(21-I$160)</f>
        <v>9.826633329033207</v>
      </c>
      <c r="J145" s="79" t="s">
        <v>183</v>
      </c>
      <c r="K145" s="79">
        <f>12/1.474749*(21-7)/(21-K$160)</f>
        <v>16.75260152944072</v>
      </c>
      <c r="L145" s="77" t="s">
        <v>183</v>
      </c>
      <c r="M145" s="79">
        <f>6.4/1.561399*(21-7)/(21-M$160)</f>
        <v>8.966318026334076</v>
      </c>
      <c r="N145" s="77" t="s">
        <v>183</v>
      </c>
      <c r="O145" s="91">
        <f aca="true" t="shared" si="18" ref="O145:O150">AVERAGE(G145,I145,K145,M145)</f>
        <v>11.432712169101869</v>
      </c>
      <c r="P145" s="77" t="s">
        <v>183</v>
      </c>
      <c r="Q145" s="77"/>
      <c r="R145" s="77" t="s">
        <v>183</v>
      </c>
      <c r="S145" s="77"/>
      <c r="T145" s="77" t="s">
        <v>183</v>
      </c>
      <c r="U145" s="77"/>
      <c r="V145" s="77" t="s">
        <v>183</v>
      </c>
      <c r="W145" s="77"/>
      <c r="X145" s="76">
        <v>5.995946042336991</v>
      </c>
    </row>
    <row r="146" spans="1:24" s="76" customFormat="1" ht="12.75">
      <c r="A146" s="76" t="s">
        <v>174</v>
      </c>
      <c r="B146" s="76" t="s">
        <v>116</v>
      </c>
      <c r="C146" s="80" t="s">
        <v>258</v>
      </c>
      <c r="D146" s="76" t="s">
        <v>54</v>
      </c>
      <c r="E146" s="76" t="s">
        <v>15</v>
      </c>
      <c r="F146" s="77" t="s">
        <v>96</v>
      </c>
      <c r="G146" s="79">
        <f>10/1.6*(21-7)/(21-G$160)</f>
        <v>14.112903225806454</v>
      </c>
      <c r="H146" s="79" t="s">
        <v>96</v>
      </c>
      <c r="I146" s="79">
        <f>10/1.49*(21-7)/(21-I$160)</f>
        <v>13.61735239762669</v>
      </c>
      <c r="J146" s="79" t="s">
        <v>183</v>
      </c>
      <c r="K146" s="79">
        <f>13.2/1.48*(21-7)/(21-K$160)</f>
        <v>18.362480127186007</v>
      </c>
      <c r="L146" s="77" t="s">
        <v>96</v>
      </c>
      <c r="M146" s="79">
        <f>10/1.56*(21-7)/(21-M$160)</f>
        <v>14.022435897435896</v>
      </c>
      <c r="N146" s="77" t="s">
        <v>183</v>
      </c>
      <c r="O146" s="91">
        <f t="shared" si="18"/>
        <v>15.028792912013763</v>
      </c>
      <c r="P146" s="77" t="s">
        <v>183</v>
      </c>
      <c r="Q146" s="77"/>
      <c r="R146" s="77" t="s">
        <v>183</v>
      </c>
      <c r="S146" s="77"/>
      <c r="T146" s="77" t="s">
        <v>183</v>
      </c>
      <c r="U146" s="77"/>
      <c r="V146" s="77" t="s">
        <v>183</v>
      </c>
      <c r="W146" s="77"/>
      <c r="X146" s="76">
        <v>8.930520034100596</v>
      </c>
    </row>
    <row r="147" spans="2:23" s="76" customFormat="1" ht="12.75">
      <c r="B147" s="80" t="s">
        <v>104</v>
      </c>
      <c r="C147" s="80" t="s">
        <v>258</v>
      </c>
      <c r="D147" s="80" t="s">
        <v>54</v>
      </c>
      <c r="E147" s="76" t="s">
        <v>15</v>
      </c>
      <c r="F147" s="77" t="s">
        <v>96</v>
      </c>
      <c r="G147" s="79">
        <f>20/1.6*(21-7)/(21-G$160)</f>
        <v>28.225806451612907</v>
      </c>
      <c r="H147" s="79" t="s">
        <v>96</v>
      </c>
      <c r="I147" s="79">
        <f>20/1.49*(21-7)/(21-I$160)</f>
        <v>27.23470479525338</v>
      </c>
      <c r="J147" s="79" t="s">
        <v>96</v>
      </c>
      <c r="K147" s="79">
        <f>20/1.48*(21-7)/(21-K$160)</f>
        <v>27.821939586645467</v>
      </c>
      <c r="L147" s="77" t="s">
        <v>96</v>
      </c>
      <c r="M147" s="79">
        <f>20/1.56*(21-7)/(21-M$160)</f>
        <v>28.044871794871792</v>
      </c>
      <c r="N147" s="77"/>
      <c r="O147" s="91">
        <f t="shared" si="18"/>
        <v>27.83183065709589</v>
      </c>
      <c r="P147" s="77"/>
      <c r="Q147" s="77"/>
      <c r="R147" s="77"/>
      <c r="S147" s="77"/>
      <c r="T147" s="77"/>
      <c r="U147" s="77"/>
      <c r="V147" s="77"/>
      <c r="W147" s="77"/>
    </row>
    <row r="148" spans="2:23" s="76" customFormat="1" ht="12.75">
      <c r="B148" s="80" t="s">
        <v>113</v>
      </c>
      <c r="C148" s="80" t="s">
        <v>258</v>
      </c>
      <c r="D148" s="80" t="s">
        <v>54</v>
      </c>
      <c r="E148" s="76" t="s">
        <v>15</v>
      </c>
      <c r="F148" s="77" t="s">
        <v>96</v>
      </c>
      <c r="G148" s="79">
        <f>10/1.6*(21-7)/(21-G$160)</f>
        <v>14.112903225806454</v>
      </c>
      <c r="H148" s="79" t="s">
        <v>96</v>
      </c>
      <c r="I148" s="79">
        <f>10/1.49*(21-7)/(21-I$160)</f>
        <v>13.61735239762669</v>
      </c>
      <c r="J148" s="79" t="s">
        <v>96</v>
      </c>
      <c r="K148" s="79">
        <f>10/1.48*(21-7)/(21-K$160)</f>
        <v>13.910969793322733</v>
      </c>
      <c r="L148" s="77" t="s">
        <v>96</v>
      </c>
      <c r="M148" s="79">
        <f>10/1.56*(21-7)/(21-M$160)</f>
        <v>14.022435897435896</v>
      </c>
      <c r="N148" s="77"/>
      <c r="O148" s="91">
        <f t="shared" si="18"/>
        <v>13.915915328547944</v>
      </c>
      <c r="P148" s="77"/>
      <c r="Q148" s="77"/>
      <c r="R148" s="77"/>
      <c r="S148" s="77"/>
      <c r="T148" s="77"/>
      <c r="U148" s="77"/>
      <c r="V148" s="77"/>
      <c r="W148" s="77"/>
    </row>
    <row r="149" spans="2:23" s="76" customFormat="1" ht="12.75">
      <c r="B149" s="80" t="s">
        <v>55</v>
      </c>
      <c r="C149" s="80" t="s">
        <v>258</v>
      </c>
      <c r="D149" s="80" t="s">
        <v>54</v>
      </c>
      <c r="E149" s="76" t="s">
        <v>15</v>
      </c>
      <c r="F149" s="77">
        <v>100</v>
      </c>
      <c r="G149" s="79">
        <f>SUM(G142,G139)</f>
        <v>21.2193662324989</v>
      </c>
      <c r="H149" s="93">
        <v>100</v>
      </c>
      <c r="I149" s="79">
        <f>SUM(I142,I139)</f>
        <v>20.47215276881918</v>
      </c>
      <c r="J149" s="93">
        <f>K139/K149*100</f>
        <v>6.7476383265856965</v>
      </c>
      <c r="K149" s="79">
        <f>SUM(K142,K139)</f>
        <v>103.44731444429642</v>
      </c>
      <c r="L149" s="93">
        <f>M139/M149*100</f>
        <v>37.878787878787875</v>
      </c>
      <c r="M149" s="79">
        <f>SUM(M142,M139)</f>
        <v>18.49303092931403</v>
      </c>
      <c r="N149" s="93">
        <f>SUM(N142*O142,N139*O139)/O149</f>
        <v>34.025588970304035</v>
      </c>
      <c r="O149" s="91">
        <f t="shared" si="18"/>
        <v>40.90796609373213</v>
      </c>
      <c r="P149" s="77"/>
      <c r="Q149" s="77"/>
      <c r="R149" s="77"/>
      <c r="S149" s="77"/>
      <c r="T149" s="77"/>
      <c r="U149" s="77"/>
      <c r="V149" s="77"/>
      <c r="W149" s="77"/>
    </row>
    <row r="150" spans="2:23" s="76" customFormat="1" ht="12.75">
      <c r="B150" s="80" t="s">
        <v>56</v>
      </c>
      <c r="C150" s="80" t="s">
        <v>258</v>
      </c>
      <c r="D150" s="80" t="s">
        <v>54</v>
      </c>
      <c r="E150" s="76" t="s">
        <v>15</v>
      </c>
      <c r="F150" s="77">
        <v>100</v>
      </c>
      <c r="G150" s="79">
        <f>SUM(G140,G137,G135)</f>
        <v>26.877863894498606</v>
      </c>
      <c r="H150" s="93">
        <v>100</v>
      </c>
      <c r="I150" s="79">
        <f>SUM(I140,I137,I135)</f>
        <v>25.93139350717096</v>
      </c>
      <c r="J150" s="93">
        <f>K137/K150*100</f>
        <v>10.256410256410255</v>
      </c>
      <c r="K150" s="79">
        <f>SUM(K140,K137,K135)</f>
        <v>54.445954970682344</v>
      </c>
      <c r="L150" s="77">
        <f>(M135+M137)/M150*100</f>
        <v>78.08142777467931</v>
      </c>
      <c r="M150" s="79">
        <f>SUM(M140,M137,M135)</f>
        <v>25.11970034565156</v>
      </c>
      <c r="N150" s="93">
        <f>SUM(N140*O140,N137*O137,N135*O135)/O150</f>
        <v>58.92905006877459</v>
      </c>
      <c r="O150" s="91">
        <f t="shared" si="18"/>
        <v>33.093728179500864</v>
      </c>
      <c r="P150" s="77"/>
      <c r="Q150" s="77"/>
      <c r="R150" s="77"/>
      <c r="S150" s="77"/>
      <c r="T150" s="77"/>
      <c r="U150" s="77"/>
      <c r="V150" s="77"/>
      <c r="W150" s="77"/>
    </row>
    <row r="152" spans="2:4" ht="12.75">
      <c r="B152" t="s">
        <v>83</v>
      </c>
      <c r="C152" s="76" t="s">
        <v>184</v>
      </c>
      <c r="D152" t="s">
        <v>257</v>
      </c>
    </row>
    <row r="153" spans="2:63" s="76" customFormat="1" ht="12.75">
      <c r="B153" s="8" t="s">
        <v>75</v>
      </c>
      <c r="C153" s="8"/>
      <c r="D153" s="8" t="s">
        <v>17</v>
      </c>
      <c r="G153" s="79">
        <v>7165</v>
      </c>
      <c r="H153" s="79"/>
      <c r="I153" s="79">
        <v>7102</v>
      </c>
      <c r="J153" s="79"/>
      <c r="K153" s="79">
        <v>6674</v>
      </c>
      <c r="L153" s="79"/>
      <c r="M153" s="79">
        <v>6905</v>
      </c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</row>
    <row r="154" spans="2:63" s="76" customFormat="1" ht="12.75">
      <c r="B154" s="8" t="s">
        <v>80</v>
      </c>
      <c r="C154" s="8"/>
      <c r="D154" s="8" t="s">
        <v>18</v>
      </c>
      <c r="G154" s="79">
        <v>14.3</v>
      </c>
      <c r="H154" s="79"/>
      <c r="I154" s="79">
        <v>14.4</v>
      </c>
      <c r="J154" s="79"/>
      <c r="K154" s="79">
        <v>14.1</v>
      </c>
      <c r="L154" s="79"/>
      <c r="M154" s="79">
        <v>14.4</v>
      </c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</row>
    <row r="155" spans="1:63" s="76" customFormat="1" ht="12.75">
      <c r="A155" s="76" t="s">
        <v>174</v>
      </c>
      <c r="B155" s="8" t="s">
        <v>81</v>
      </c>
      <c r="C155" s="8"/>
      <c r="D155" s="8" t="s">
        <v>18</v>
      </c>
      <c r="G155" s="79">
        <v>36.7</v>
      </c>
      <c r="H155" s="79"/>
      <c r="I155" s="79">
        <v>37.9</v>
      </c>
      <c r="J155" s="79"/>
      <c r="K155" s="79">
        <v>40</v>
      </c>
      <c r="L155" s="79"/>
      <c r="M155" s="79">
        <v>38.9</v>
      </c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</row>
    <row r="156" spans="2:63" s="76" customFormat="1" ht="12.75">
      <c r="B156" s="8" t="s">
        <v>74</v>
      </c>
      <c r="C156" s="8"/>
      <c r="D156" s="8" t="s">
        <v>19</v>
      </c>
      <c r="G156" s="79">
        <v>192</v>
      </c>
      <c r="H156" s="79"/>
      <c r="I156" s="79">
        <v>193</v>
      </c>
      <c r="J156" s="79"/>
      <c r="K156" s="79">
        <v>195</v>
      </c>
      <c r="L156" s="79"/>
      <c r="M156" s="79">
        <v>195</v>
      </c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</row>
    <row r="157" spans="7:63" s="76" customFormat="1" ht="12.75"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</row>
    <row r="158" spans="2:63" s="76" customFormat="1" ht="12.75">
      <c r="B158" t="s">
        <v>83</v>
      </c>
      <c r="C158" s="76" t="s">
        <v>95</v>
      </c>
      <c r="D158" s="76" t="s">
        <v>258</v>
      </c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</row>
    <row r="159" spans="2:63" s="76" customFormat="1" ht="12.75">
      <c r="B159" s="8" t="s">
        <v>75</v>
      </c>
      <c r="C159" s="8"/>
      <c r="D159" s="8" t="s">
        <v>17</v>
      </c>
      <c r="G159" s="79">
        <v>7122</v>
      </c>
      <c r="H159" s="79"/>
      <c r="I159" s="79">
        <v>6406</v>
      </c>
      <c r="J159" s="79"/>
      <c r="K159" s="79">
        <v>6674</v>
      </c>
      <c r="L159" s="79"/>
      <c r="M159" s="79">
        <v>6896</v>
      </c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</row>
    <row r="160" spans="2:63" s="76" customFormat="1" ht="12.75">
      <c r="B160" s="8" t="s">
        <v>80</v>
      </c>
      <c r="C160" s="8"/>
      <c r="D160" s="8" t="s">
        <v>18</v>
      </c>
      <c r="G160" s="79">
        <v>14.8</v>
      </c>
      <c r="H160" s="79"/>
      <c r="I160" s="79">
        <v>14.1</v>
      </c>
      <c r="J160" s="79"/>
      <c r="K160" s="79">
        <v>14.2</v>
      </c>
      <c r="L160" s="79"/>
      <c r="M160" s="79">
        <v>14.6</v>
      </c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</row>
    <row r="161" spans="2:63" s="76" customFormat="1" ht="12.75">
      <c r="B161" s="8" t="s">
        <v>81</v>
      </c>
      <c r="C161" s="8"/>
      <c r="D161" s="8" t="s">
        <v>18</v>
      </c>
      <c r="G161" s="79">
        <v>37.4</v>
      </c>
      <c r="H161" s="79"/>
      <c r="I161" s="79">
        <v>41.7</v>
      </c>
      <c r="J161" s="79"/>
      <c r="K161" s="79">
        <v>14.2</v>
      </c>
      <c r="L161" s="79"/>
      <c r="M161" s="79">
        <v>39.3</v>
      </c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</row>
    <row r="162" spans="2:63" s="76" customFormat="1" ht="12.75">
      <c r="B162" s="8" t="s">
        <v>74</v>
      </c>
      <c r="C162" s="8"/>
      <c r="D162" s="8" t="s">
        <v>19</v>
      </c>
      <c r="G162" s="79">
        <v>194</v>
      </c>
      <c r="H162" s="79"/>
      <c r="I162" s="79">
        <v>193</v>
      </c>
      <c r="J162" s="79"/>
      <c r="K162" s="79">
        <v>195</v>
      </c>
      <c r="L162" s="79"/>
      <c r="M162" s="79">
        <v>194</v>
      </c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</row>
    <row r="163" spans="7:63" s="76" customFormat="1" ht="12.75"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</row>
    <row r="164" spans="2:63" s="76" customFormat="1" ht="12.75">
      <c r="B164" t="s">
        <v>83</v>
      </c>
      <c r="C164" s="76" t="s">
        <v>186</v>
      </c>
      <c r="D164" s="76" t="s">
        <v>260</v>
      </c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</row>
    <row r="165" spans="2:63" s="76" customFormat="1" ht="12.75">
      <c r="B165" s="8" t="s">
        <v>75</v>
      </c>
      <c r="C165" s="8"/>
      <c r="D165" s="8" t="s">
        <v>17</v>
      </c>
      <c r="G165" s="79">
        <v>9690</v>
      </c>
      <c r="H165" s="79"/>
      <c r="I165" s="79">
        <v>8217</v>
      </c>
      <c r="J165" s="79"/>
      <c r="K165" s="79">
        <v>8493</v>
      </c>
      <c r="L165" s="79"/>
      <c r="M165" s="79">
        <v>8578</v>
      </c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</row>
    <row r="166" spans="2:63" s="76" customFormat="1" ht="12.75">
      <c r="B166" s="8" t="s">
        <v>80</v>
      </c>
      <c r="C166" s="8"/>
      <c r="D166" s="8" t="s">
        <v>18</v>
      </c>
      <c r="G166" s="79">
        <v>14.5</v>
      </c>
      <c r="H166" s="79"/>
      <c r="I166" s="79">
        <v>14.2</v>
      </c>
      <c r="J166" s="79"/>
      <c r="K166" s="79">
        <v>14</v>
      </c>
      <c r="L166" s="79"/>
      <c r="M166" s="79">
        <v>14.5</v>
      </c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</row>
    <row r="167" spans="2:63" s="76" customFormat="1" ht="12.75">
      <c r="B167" s="8" t="s">
        <v>81</v>
      </c>
      <c r="C167" s="8"/>
      <c r="D167" s="8" t="s">
        <v>18</v>
      </c>
      <c r="G167" s="79">
        <v>35.7</v>
      </c>
      <c r="H167" s="79"/>
      <c r="I167" s="79">
        <v>37.4</v>
      </c>
      <c r="J167" s="79"/>
      <c r="K167" s="79">
        <v>39.5</v>
      </c>
      <c r="L167" s="79"/>
      <c r="M167" s="79">
        <v>38.1</v>
      </c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</row>
    <row r="168" spans="2:63" s="76" customFormat="1" ht="12.75">
      <c r="B168" s="8" t="s">
        <v>74</v>
      </c>
      <c r="C168" s="8"/>
      <c r="D168" s="8" t="s">
        <v>19</v>
      </c>
      <c r="G168" s="79">
        <v>200</v>
      </c>
      <c r="H168" s="79"/>
      <c r="I168" s="79">
        <v>202</v>
      </c>
      <c r="J168" s="79"/>
      <c r="K168" s="79">
        <v>204</v>
      </c>
      <c r="L168" s="79"/>
      <c r="M168" s="79">
        <v>203</v>
      </c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</row>
    <row r="170" spans="1:57" s="80" customFormat="1" ht="12.75">
      <c r="A170" s="80" t="s">
        <v>174</v>
      </c>
      <c r="B170" s="80" t="s">
        <v>189</v>
      </c>
      <c r="C170" s="80" t="s">
        <v>260</v>
      </c>
      <c r="D170" s="80" t="s">
        <v>18</v>
      </c>
      <c r="G170" s="81">
        <v>99.999965</v>
      </c>
      <c r="H170" s="81"/>
      <c r="I170" s="81">
        <v>99.999953</v>
      </c>
      <c r="J170" s="81"/>
      <c r="K170" s="81">
        <v>99.999975</v>
      </c>
      <c r="L170" s="81"/>
      <c r="M170" s="81">
        <v>99.999972</v>
      </c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14"/>
  <sheetViews>
    <sheetView workbookViewId="0" topLeftCell="B1">
      <selection activeCell="B31" sqref="B31"/>
    </sheetView>
  </sheetViews>
  <sheetFormatPr defaultColWidth="9.140625" defaultRowHeight="12.75"/>
  <cols>
    <col min="1" max="1" width="2.28125" style="3" hidden="1" customWidth="1"/>
    <col min="2" max="2" width="22.57421875" style="2" customWidth="1"/>
    <col min="3" max="3" width="6.421875" style="2" customWidth="1"/>
    <col min="4" max="4" width="19.28125" style="2" customWidth="1"/>
    <col min="5" max="5" width="6.421875" style="2" customWidth="1"/>
    <col min="6" max="6" width="2.8515625" style="3" customWidth="1"/>
    <col min="7" max="7" width="10.28125" style="4" customWidth="1"/>
    <col min="8" max="8" width="3.140625" style="4" customWidth="1"/>
    <col min="9" max="9" width="10.7109375" style="3" customWidth="1"/>
    <col min="10" max="10" width="3.140625" style="3" customWidth="1"/>
    <col min="11" max="11" width="8.8515625" style="3" customWidth="1"/>
    <col min="12" max="12" width="3.421875" style="3" customWidth="1"/>
    <col min="13" max="14" width="9.421875" style="3" customWidth="1"/>
    <col min="15" max="15" width="7.00390625" style="3" customWidth="1"/>
    <col min="16" max="16" width="6.7109375" style="3" customWidth="1"/>
    <col min="17" max="17" width="6.8515625" style="3" customWidth="1"/>
    <col min="18" max="18" width="9.00390625" style="3" customWidth="1"/>
    <col min="19" max="19" width="9.28125" style="3" customWidth="1"/>
    <col min="20" max="20" width="1.57421875" style="3" customWidth="1"/>
    <col min="21" max="21" width="14.28125" style="3" customWidth="1"/>
    <col min="22" max="22" width="16.140625" style="3" customWidth="1"/>
    <col min="23" max="16384" width="8.8515625" style="3" customWidth="1"/>
  </cols>
  <sheetData>
    <row r="1" spans="2:21" ht="12.75">
      <c r="B1" s="26" t="s">
        <v>238</v>
      </c>
      <c r="C1" s="26"/>
      <c r="D1" s="9"/>
      <c r="E1" s="9"/>
      <c r="F1" s="27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1" ht="12.75">
      <c r="B2" s="9"/>
      <c r="C2" s="9"/>
      <c r="D2" s="9"/>
      <c r="E2" s="9"/>
      <c r="F2" s="27"/>
      <c r="G2" s="28"/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2:21" ht="12.75">
      <c r="B3" s="9"/>
      <c r="C3" s="9"/>
      <c r="D3" s="9"/>
      <c r="E3" s="9"/>
      <c r="F3" s="27"/>
      <c r="G3" s="28"/>
      <c r="H3" s="2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2.75">
      <c r="A4" s="3" t="s">
        <v>84</v>
      </c>
      <c r="B4" s="26" t="str">
        <f>'emiss 1'!B6</f>
        <v>344C10</v>
      </c>
      <c r="C4" s="26"/>
      <c r="D4" s="9"/>
      <c r="E4" s="9"/>
      <c r="F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2:21" ht="12.75">
      <c r="B5" s="9"/>
      <c r="C5" s="9"/>
      <c r="D5" s="9"/>
      <c r="E5" s="9"/>
      <c r="F5" s="27"/>
      <c r="G5" s="29"/>
      <c r="H5" s="29"/>
      <c r="I5" s="29"/>
      <c r="J5" s="29"/>
      <c r="K5" s="29"/>
      <c r="L5" s="29"/>
      <c r="M5" s="29"/>
      <c r="N5" s="29"/>
      <c r="O5" s="27"/>
      <c r="P5" s="27"/>
      <c r="Q5" s="27"/>
      <c r="R5" s="50"/>
      <c r="S5" s="27"/>
      <c r="T5" s="27"/>
      <c r="U5" s="27"/>
    </row>
    <row r="6" spans="2:19" s="50" customFormat="1" ht="12.75">
      <c r="B6" s="50" t="s">
        <v>239</v>
      </c>
      <c r="F6" s="48"/>
      <c r="G6" s="59"/>
      <c r="H6" s="59"/>
      <c r="I6" s="59"/>
      <c r="J6" s="59"/>
      <c r="K6" s="59"/>
      <c r="L6" s="59"/>
      <c r="M6" s="59"/>
      <c r="N6" s="59"/>
      <c r="S6" s="54"/>
    </row>
    <row r="7" spans="2:21" ht="12.75">
      <c r="B7" s="9"/>
      <c r="C7" s="9"/>
      <c r="D7" s="9"/>
      <c r="E7" s="9"/>
      <c r="F7"/>
      <c r="G7"/>
      <c r="H7"/>
      <c r="I7"/>
      <c r="J7"/>
      <c r="K7"/>
      <c r="L7"/>
      <c r="M7"/>
      <c r="N7" s="64"/>
      <c r="O7" s="40"/>
      <c r="P7" s="40"/>
      <c r="Q7" s="40"/>
      <c r="R7" s="63"/>
      <c r="S7" s="27"/>
      <c r="T7" s="27"/>
      <c r="U7" s="27"/>
    </row>
    <row r="8" spans="2:21" ht="12.75">
      <c r="B8" s="9"/>
      <c r="C8" s="9"/>
      <c r="D8" s="9"/>
      <c r="E8" s="9"/>
      <c r="F8"/>
      <c r="G8"/>
      <c r="H8"/>
      <c r="I8"/>
      <c r="J8"/>
      <c r="K8"/>
      <c r="L8"/>
      <c r="M8"/>
      <c r="N8" s="63"/>
      <c r="O8" s="40"/>
      <c r="P8" s="40"/>
      <c r="Q8" s="40"/>
      <c r="R8" s="63"/>
      <c r="S8" s="27"/>
      <c r="T8" s="27"/>
      <c r="U8" s="27"/>
    </row>
    <row r="9" spans="2:21" ht="12.75">
      <c r="B9" s="9"/>
      <c r="C9" s="9"/>
      <c r="D9" s="9"/>
      <c r="E9" s="9"/>
      <c r="F9" s="29"/>
      <c r="G9" s="61"/>
      <c r="H9" s="61"/>
      <c r="I9" s="61"/>
      <c r="J9" s="61"/>
      <c r="K9" s="61"/>
      <c r="L9" s="61"/>
      <c r="M9" s="62"/>
      <c r="N9" s="63"/>
      <c r="O9" s="62"/>
      <c r="P9" s="62"/>
      <c r="Q9" s="62"/>
      <c r="R9" s="63"/>
      <c r="S9" s="27"/>
      <c r="T9" s="27"/>
      <c r="U9" s="27"/>
    </row>
    <row r="10" spans="2:21" ht="12.75">
      <c r="B10" s="9"/>
      <c r="C10" s="9"/>
      <c r="D10" s="9"/>
      <c r="E10" s="9"/>
      <c r="F10" s="27"/>
      <c r="G10" s="61"/>
      <c r="H10" s="61"/>
      <c r="I10" s="62"/>
      <c r="J10" s="62"/>
      <c r="K10" s="62"/>
      <c r="L10" s="62"/>
      <c r="M10" s="62"/>
      <c r="N10" s="63"/>
      <c r="O10" s="62"/>
      <c r="P10" s="62"/>
      <c r="Q10" s="62"/>
      <c r="R10" s="63"/>
      <c r="S10" s="27"/>
      <c r="T10" s="27"/>
      <c r="U10" s="27"/>
    </row>
    <row r="11" spans="2:21" ht="12.75">
      <c r="B11" s="9"/>
      <c r="C11" s="9"/>
      <c r="D11" s="9"/>
      <c r="E11" s="9"/>
      <c r="F11" s="27"/>
      <c r="G11" s="61"/>
      <c r="H11" s="61"/>
      <c r="I11" s="62"/>
      <c r="J11" s="62"/>
      <c r="K11" s="62"/>
      <c r="L11" s="62"/>
      <c r="M11" s="62"/>
      <c r="N11" s="63"/>
      <c r="O11" s="62"/>
      <c r="P11" s="62"/>
      <c r="Q11" s="62"/>
      <c r="R11" s="63"/>
      <c r="S11" s="27"/>
      <c r="T11" s="27"/>
      <c r="U11" s="27"/>
    </row>
    <row r="12" spans="2:21" ht="12.75">
      <c r="B12" s="9"/>
      <c r="C12" s="9"/>
      <c r="D12" s="9"/>
      <c r="E12" s="9"/>
      <c r="F12" s="27"/>
      <c r="G12" s="61"/>
      <c r="H12" s="61"/>
      <c r="I12" s="62"/>
      <c r="J12" s="62"/>
      <c r="K12" s="62"/>
      <c r="L12" s="62"/>
      <c r="M12" s="62"/>
      <c r="N12" s="63"/>
      <c r="O12" s="62"/>
      <c r="P12" s="62"/>
      <c r="Q12" s="62"/>
      <c r="R12" s="63"/>
      <c r="S12" s="27"/>
      <c r="T12" s="27"/>
      <c r="U12" s="27"/>
    </row>
    <row r="13" spans="2:21" ht="12.75">
      <c r="B13" s="9"/>
      <c r="C13" s="9"/>
      <c r="D13" s="9"/>
      <c r="E13" s="9"/>
      <c r="F13" s="27"/>
      <c r="G13" s="61"/>
      <c r="H13" s="61"/>
      <c r="I13" s="62"/>
      <c r="J13" s="62"/>
      <c r="K13" s="62"/>
      <c r="L13" s="62"/>
      <c r="M13" s="62"/>
      <c r="N13" s="63"/>
      <c r="O13" s="62"/>
      <c r="P13" s="62"/>
      <c r="Q13" s="62"/>
      <c r="R13" s="63"/>
      <c r="S13" s="27"/>
      <c r="T13" s="27"/>
      <c r="U13" s="27"/>
    </row>
    <row r="14" spans="2:21" ht="12.75">
      <c r="B14" s="9"/>
      <c r="C14" s="9"/>
      <c r="D14" s="9"/>
      <c r="E14" s="9"/>
      <c r="F14" s="27"/>
      <c r="G14" s="61"/>
      <c r="H14" s="61"/>
      <c r="I14" s="62"/>
      <c r="J14" s="62"/>
      <c r="K14" s="62"/>
      <c r="L14" s="62"/>
      <c r="M14" s="62"/>
      <c r="N14" s="63"/>
      <c r="O14" s="62"/>
      <c r="P14" s="62"/>
      <c r="Q14" s="62"/>
      <c r="R14" s="63"/>
      <c r="S14" s="27"/>
      <c r="T14" s="27"/>
      <c r="U14" s="27"/>
    </row>
    <row r="15" spans="2:21" ht="12.75">
      <c r="B15" s="9"/>
      <c r="C15" s="9"/>
      <c r="D15" s="9"/>
      <c r="E15" s="9"/>
      <c r="F15" s="27"/>
      <c r="G15" s="61"/>
      <c r="H15" s="61"/>
      <c r="I15" s="62"/>
      <c r="J15" s="62"/>
      <c r="K15" s="62"/>
      <c r="L15" s="62"/>
      <c r="M15" s="62"/>
      <c r="N15" s="63"/>
      <c r="O15" s="62"/>
      <c r="P15" s="62"/>
      <c r="Q15" s="62"/>
      <c r="R15" s="63"/>
      <c r="S15" s="27"/>
      <c r="T15" s="27"/>
      <c r="U15" s="27"/>
    </row>
    <row r="16" spans="2:21" ht="12.75">
      <c r="B16" s="9"/>
      <c r="C16" s="9"/>
      <c r="D16" s="9"/>
      <c r="E16" s="9"/>
      <c r="F16" s="27"/>
      <c r="G16" s="61"/>
      <c r="H16" s="61"/>
      <c r="I16" s="62"/>
      <c r="J16" s="62"/>
      <c r="K16" s="62"/>
      <c r="L16" s="62"/>
      <c r="M16" s="62"/>
      <c r="N16" s="63"/>
      <c r="O16" s="62"/>
      <c r="P16" s="62"/>
      <c r="Q16" s="62"/>
      <c r="R16" s="63"/>
      <c r="S16" s="27"/>
      <c r="T16" s="27"/>
      <c r="U16" s="27"/>
    </row>
    <row r="17" spans="2:21" ht="12.75">
      <c r="B17" s="9"/>
      <c r="C17" s="9"/>
      <c r="D17" s="9"/>
      <c r="E17" s="9"/>
      <c r="F17" s="27"/>
      <c r="G17" s="61"/>
      <c r="H17" s="61"/>
      <c r="I17" s="61"/>
      <c r="J17" s="61"/>
      <c r="K17" s="61"/>
      <c r="L17" s="61"/>
      <c r="M17" s="62"/>
      <c r="N17" s="63"/>
      <c r="O17" s="62"/>
      <c r="P17" s="62"/>
      <c r="Q17" s="62"/>
      <c r="R17" s="63"/>
      <c r="S17" s="27"/>
      <c r="T17" s="27"/>
      <c r="U17" s="27"/>
    </row>
    <row r="18" spans="2:21" ht="12.75">
      <c r="B18" s="9"/>
      <c r="C18" s="9"/>
      <c r="D18" s="9"/>
      <c r="E18" s="9"/>
      <c r="F18" s="27"/>
      <c r="G18" s="61"/>
      <c r="H18" s="61"/>
      <c r="I18" s="61"/>
      <c r="J18" s="61"/>
      <c r="K18" s="61"/>
      <c r="L18" s="61"/>
      <c r="M18" s="62"/>
      <c r="N18" s="63"/>
      <c r="O18" s="62"/>
      <c r="P18" s="62"/>
      <c r="Q18" s="62"/>
      <c r="R18" s="63"/>
      <c r="S18" s="27"/>
      <c r="T18" s="27"/>
      <c r="U18" s="27"/>
    </row>
    <row r="19" spans="2:21" ht="12.75">
      <c r="B19" s="9"/>
      <c r="C19" s="9"/>
      <c r="D19" s="9"/>
      <c r="E19" s="9"/>
      <c r="F19" s="27"/>
      <c r="G19" s="61"/>
      <c r="H19" s="61"/>
      <c r="I19" s="61"/>
      <c r="J19" s="61"/>
      <c r="K19" s="61"/>
      <c r="L19" s="61"/>
      <c r="M19" s="62"/>
      <c r="N19" s="63"/>
      <c r="O19" s="62"/>
      <c r="P19" s="62"/>
      <c r="Q19" s="62"/>
      <c r="R19" s="63"/>
      <c r="S19" s="27"/>
      <c r="T19" s="27"/>
      <c r="U19" s="27"/>
    </row>
    <row r="20" spans="2:21" ht="12.75">
      <c r="B20" s="9"/>
      <c r="C20" s="9"/>
      <c r="D20" s="9"/>
      <c r="E20" s="9"/>
      <c r="F20" s="27"/>
      <c r="G20" s="61"/>
      <c r="H20" s="61"/>
      <c r="I20" s="61"/>
      <c r="J20" s="61"/>
      <c r="K20" s="61"/>
      <c r="L20" s="61"/>
      <c r="M20" s="62"/>
      <c r="N20" s="63"/>
      <c r="O20" s="62"/>
      <c r="P20" s="62"/>
      <c r="Q20" s="62"/>
      <c r="R20" s="63"/>
      <c r="S20" s="27"/>
      <c r="T20" s="27"/>
      <c r="U20" s="27"/>
    </row>
    <row r="21" spans="2:21" ht="12.75">
      <c r="B21" s="9"/>
      <c r="C21" s="9"/>
      <c r="D21" s="9"/>
      <c r="E21" s="9"/>
      <c r="F21" s="27"/>
      <c r="G21" s="61"/>
      <c r="H21" s="61"/>
      <c r="I21" s="62"/>
      <c r="J21" s="62"/>
      <c r="K21" s="62"/>
      <c r="L21" s="62"/>
      <c r="M21" s="62"/>
      <c r="N21" s="63"/>
      <c r="O21" s="62"/>
      <c r="P21" s="62"/>
      <c r="Q21" s="62"/>
      <c r="R21" s="63"/>
      <c r="S21" s="27"/>
      <c r="T21" s="27"/>
      <c r="U21" s="27"/>
    </row>
    <row r="22" spans="2:21" ht="12.75">
      <c r="B22" s="9"/>
      <c r="C22" s="9"/>
      <c r="D22" s="9"/>
      <c r="E22" s="9"/>
      <c r="F22" s="27"/>
      <c r="G22" s="61"/>
      <c r="H22" s="61"/>
      <c r="I22" s="62"/>
      <c r="J22" s="62"/>
      <c r="K22" s="62"/>
      <c r="L22" s="62"/>
      <c r="M22" s="62"/>
      <c r="N22" s="63"/>
      <c r="O22" s="62"/>
      <c r="P22" s="62"/>
      <c r="Q22" s="62"/>
      <c r="R22" s="63"/>
      <c r="S22" s="30"/>
      <c r="T22" s="30"/>
      <c r="U22" s="27"/>
    </row>
    <row r="23" spans="2:21" ht="12.75">
      <c r="B23" s="9"/>
      <c r="C23" s="9"/>
      <c r="D23" s="9"/>
      <c r="E23" s="9"/>
      <c r="F23" s="27"/>
      <c r="G23" s="61"/>
      <c r="H23" s="61"/>
      <c r="I23" s="62"/>
      <c r="J23" s="62"/>
      <c r="K23" s="62"/>
      <c r="L23" s="62"/>
      <c r="M23" s="62"/>
      <c r="N23" s="63"/>
      <c r="O23" s="62"/>
      <c r="P23" s="62"/>
      <c r="Q23" s="62"/>
      <c r="R23" s="63"/>
      <c r="S23" s="10"/>
      <c r="T23" s="10"/>
      <c r="U23" s="27"/>
    </row>
    <row r="24" spans="2:21" ht="12.75">
      <c r="B24" s="9"/>
      <c r="C24" s="9"/>
      <c r="D24" s="9"/>
      <c r="E24" s="9"/>
      <c r="F24" s="27"/>
      <c r="G24" s="61"/>
      <c r="H24" s="61"/>
      <c r="I24" s="62"/>
      <c r="J24" s="62"/>
      <c r="K24" s="62"/>
      <c r="L24" s="62"/>
      <c r="M24" s="62"/>
      <c r="N24" s="63"/>
      <c r="O24" s="62"/>
      <c r="P24" s="62"/>
      <c r="Q24" s="62"/>
      <c r="R24" s="63"/>
      <c r="S24" s="10"/>
      <c r="T24" s="10"/>
      <c r="U24" s="27"/>
    </row>
    <row r="25" spans="2:21" ht="12.75">
      <c r="B25" s="9"/>
      <c r="C25" s="45"/>
      <c r="D25" s="9"/>
      <c r="E25" s="9"/>
      <c r="F25" s="27"/>
      <c r="G25" s="61"/>
      <c r="H25" s="61"/>
      <c r="I25" s="62"/>
      <c r="J25" s="62"/>
      <c r="K25" s="62"/>
      <c r="L25" s="62"/>
      <c r="M25" s="62"/>
      <c r="N25" s="63"/>
      <c r="O25" s="62"/>
      <c r="P25" s="62"/>
      <c r="Q25" s="62"/>
      <c r="R25" s="63"/>
      <c r="S25" s="10"/>
      <c r="T25" s="10"/>
      <c r="U25" s="27"/>
    </row>
    <row r="26" spans="2:21" ht="12.75">
      <c r="B26" s="9"/>
      <c r="C26" s="9"/>
      <c r="D26" s="9"/>
      <c r="E26" s="9"/>
      <c r="F26" s="17"/>
      <c r="G26" s="61"/>
      <c r="H26" s="61"/>
      <c r="I26" s="62"/>
      <c r="J26" s="62"/>
      <c r="K26" s="62"/>
      <c r="L26" s="62"/>
      <c r="M26" s="62"/>
      <c r="N26" s="63"/>
      <c r="O26" s="62"/>
      <c r="P26" s="62"/>
      <c r="Q26" s="62"/>
      <c r="R26" s="63"/>
      <c r="S26" s="27"/>
      <c r="T26" s="27"/>
      <c r="U26" s="27"/>
    </row>
    <row r="27" spans="2:21" ht="12.75">
      <c r="B27" s="9"/>
      <c r="C27" s="9"/>
      <c r="D27" s="9"/>
      <c r="E27" s="9"/>
      <c r="F27" s="17"/>
      <c r="G27" s="61"/>
      <c r="H27" s="61"/>
      <c r="I27" s="61"/>
      <c r="J27" s="61"/>
      <c r="K27" s="61"/>
      <c r="L27" s="61"/>
      <c r="M27" s="62"/>
      <c r="N27" s="63"/>
      <c r="O27" s="62"/>
      <c r="P27" s="62"/>
      <c r="Q27" s="62"/>
      <c r="R27" s="63"/>
      <c r="S27" s="27"/>
      <c r="T27" s="27"/>
      <c r="U27" s="27"/>
    </row>
    <row r="28" spans="2:21" ht="12.75">
      <c r="B28" s="9"/>
      <c r="C28" s="9"/>
      <c r="D28" s="9"/>
      <c r="E28" s="9"/>
      <c r="F28" s="27"/>
      <c r="G28" s="61"/>
      <c r="H28" s="61"/>
      <c r="I28" s="62"/>
      <c r="J28" s="62"/>
      <c r="K28" s="62"/>
      <c r="L28" s="62"/>
      <c r="M28" s="62"/>
      <c r="N28" s="63"/>
      <c r="O28" s="62"/>
      <c r="P28" s="62"/>
      <c r="Q28" s="62"/>
      <c r="R28" s="63"/>
      <c r="S28" s="27"/>
      <c r="T28" s="27"/>
      <c r="U28" s="27"/>
    </row>
    <row r="29" spans="2:21" ht="12.75">
      <c r="B29" s="9"/>
      <c r="C29" s="9"/>
      <c r="D29" s="9"/>
      <c r="E29" s="9"/>
      <c r="F29" s="27"/>
      <c r="G29" s="10"/>
      <c r="H29" s="10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2:21" ht="12.75">
      <c r="B30" s="9"/>
      <c r="D30" s="9"/>
      <c r="E30" s="9"/>
      <c r="F30" s="29"/>
      <c r="G30" s="10"/>
      <c r="H30" s="10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2:21" ht="12.75">
      <c r="B31" s="9"/>
      <c r="D31" s="9"/>
      <c r="E31" s="9"/>
      <c r="F31" s="29"/>
      <c r="G31" s="10"/>
      <c r="H31" s="10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21" ht="12.75">
      <c r="B32" s="9"/>
      <c r="C32" s="9"/>
      <c r="D32" s="9"/>
      <c r="E32" s="9"/>
      <c r="F32" s="29"/>
      <c r="G32" s="10"/>
      <c r="H32" s="10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2:21" ht="12.75">
      <c r="B33" s="45"/>
      <c r="C33" s="9"/>
      <c r="D33" s="9"/>
      <c r="E33" s="9"/>
      <c r="F33" s="27"/>
      <c r="G33" s="10"/>
      <c r="H33" s="10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2:21" ht="12.75">
      <c r="B34" s="9"/>
      <c r="C34" s="9"/>
      <c r="D34" s="9"/>
      <c r="E34" s="9"/>
      <c r="F34" s="27"/>
      <c r="G34" s="10"/>
      <c r="H34" s="10"/>
      <c r="I34" s="27"/>
      <c r="J34" s="27"/>
      <c r="K34" s="27"/>
      <c r="L34" s="27"/>
      <c r="M34" s="27"/>
      <c r="N34" s="30"/>
      <c r="O34" s="27"/>
      <c r="P34" s="27"/>
      <c r="Q34" s="27"/>
      <c r="R34" s="30"/>
      <c r="S34" s="30"/>
      <c r="T34" s="27"/>
      <c r="U34" s="27"/>
    </row>
    <row r="35" spans="2:21" ht="12.75">
      <c r="B35" s="9"/>
      <c r="C35" s="9"/>
      <c r="D35" s="9"/>
      <c r="E35" s="9"/>
      <c r="F35" s="27"/>
      <c r="G35" s="10"/>
      <c r="H35" s="10"/>
      <c r="I35" s="27"/>
      <c r="J35" s="27"/>
      <c r="K35" s="27"/>
      <c r="L35" s="27"/>
      <c r="M35" s="27"/>
      <c r="N35" s="30"/>
      <c r="O35" s="27"/>
      <c r="P35" s="27"/>
      <c r="Q35" s="27"/>
      <c r="R35" s="30"/>
      <c r="S35" s="30"/>
      <c r="T35" s="27"/>
      <c r="U35" s="27"/>
    </row>
    <row r="36" spans="2:21" ht="12.75">
      <c r="B36" s="9"/>
      <c r="C36" s="9"/>
      <c r="D36" s="9"/>
      <c r="E36" s="9"/>
      <c r="F36" s="27"/>
      <c r="G36" s="10"/>
      <c r="H36" s="10"/>
      <c r="I36" s="27"/>
      <c r="J36" s="27"/>
      <c r="K36" s="27"/>
      <c r="L36" s="27"/>
      <c r="M36" s="27"/>
      <c r="N36" s="30"/>
      <c r="O36" s="27"/>
      <c r="P36" s="27"/>
      <c r="Q36" s="27"/>
      <c r="R36" s="30"/>
      <c r="S36" s="30"/>
      <c r="T36" s="27"/>
      <c r="U36" s="27"/>
    </row>
    <row r="37" spans="2:21" ht="12.75">
      <c r="B37" s="9"/>
      <c r="C37" s="9"/>
      <c r="D37" s="9"/>
      <c r="E37" s="9"/>
      <c r="F37" s="27"/>
      <c r="G37" s="10"/>
      <c r="H37" s="10"/>
      <c r="I37" s="27"/>
      <c r="J37" s="27"/>
      <c r="K37" s="27"/>
      <c r="L37" s="27"/>
      <c r="M37" s="27"/>
      <c r="N37" s="30"/>
      <c r="O37" s="27"/>
      <c r="P37" s="27"/>
      <c r="Q37" s="27"/>
      <c r="R37" s="30"/>
      <c r="S37" s="30"/>
      <c r="T37" s="27"/>
      <c r="U37" s="27"/>
    </row>
    <row r="38" spans="2:21" ht="12.75">
      <c r="B38" s="9"/>
      <c r="C38" s="9"/>
      <c r="D38" s="9"/>
      <c r="E38" s="9"/>
      <c r="F38" s="27"/>
      <c r="G38" s="10"/>
      <c r="H38" s="10"/>
      <c r="I38" s="27"/>
      <c r="J38" s="27"/>
      <c r="K38" s="27"/>
      <c r="L38" s="27"/>
      <c r="M38" s="27"/>
      <c r="N38" s="30"/>
      <c r="O38" s="27"/>
      <c r="P38" s="27"/>
      <c r="Q38" s="27"/>
      <c r="R38" s="30"/>
      <c r="S38" s="30"/>
      <c r="T38" s="27"/>
      <c r="U38" s="27"/>
    </row>
    <row r="39" spans="2:21" ht="12.75">
      <c r="B39" s="9"/>
      <c r="C39" s="9"/>
      <c r="D39" s="9"/>
      <c r="E39" s="9"/>
      <c r="F39" s="27"/>
      <c r="G39" s="10"/>
      <c r="H39" s="10"/>
      <c r="I39" s="27"/>
      <c r="J39" s="27"/>
      <c r="K39" s="27"/>
      <c r="L39" s="27"/>
      <c r="M39" s="27"/>
      <c r="N39" s="30"/>
      <c r="O39" s="27"/>
      <c r="P39" s="27"/>
      <c r="Q39" s="27"/>
      <c r="R39" s="30"/>
      <c r="S39" s="30"/>
      <c r="T39" s="27"/>
      <c r="U39" s="27"/>
    </row>
    <row r="40" spans="2:21" ht="12.75">
      <c r="B40" s="9"/>
      <c r="C40" s="9"/>
      <c r="D40" s="9"/>
      <c r="E40" s="9"/>
      <c r="F40" s="27"/>
      <c r="G40" s="10"/>
      <c r="H40" s="10"/>
      <c r="I40" s="27"/>
      <c r="J40" s="27"/>
      <c r="K40" s="27"/>
      <c r="L40" s="27"/>
      <c r="M40" s="27"/>
      <c r="N40" s="30"/>
      <c r="O40" s="27"/>
      <c r="P40" s="27"/>
      <c r="Q40" s="27"/>
      <c r="R40" s="30"/>
      <c r="S40" s="30"/>
      <c r="T40" s="27"/>
      <c r="U40" s="27"/>
    </row>
    <row r="41" spans="2:21" ht="12.75">
      <c r="B41" s="9"/>
      <c r="C41" s="9"/>
      <c r="D41" s="9"/>
      <c r="E41" s="9"/>
      <c r="F41" s="27"/>
      <c r="G41" s="10"/>
      <c r="H41" s="10"/>
      <c r="I41" s="27"/>
      <c r="J41" s="27"/>
      <c r="K41" s="27"/>
      <c r="L41" s="27"/>
      <c r="M41" s="27"/>
      <c r="N41" s="30"/>
      <c r="O41" s="27"/>
      <c r="P41" s="27"/>
      <c r="Q41" s="27"/>
      <c r="R41" s="30"/>
      <c r="S41" s="30"/>
      <c r="T41" s="27"/>
      <c r="U41" s="27"/>
    </row>
    <row r="42" spans="2:21" ht="12.75">
      <c r="B42" s="9"/>
      <c r="C42" s="9"/>
      <c r="D42" s="9"/>
      <c r="E42" s="9"/>
      <c r="F42" s="27"/>
      <c r="G42" s="10"/>
      <c r="H42" s="10"/>
      <c r="I42" s="27"/>
      <c r="J42" s="27"/>
      <c r="K42" s="27"/>
      <c r="L42" s="27"/>
      <c r="M42" s="27"/>
      <c r="N42" s="30"/>
      <c r="O42" s="27"/>
      <c r="P42" s="27"/>
      <c r="Q42" s="27"/>
      <c r="R42" s="30"/>
      <c r="S42" s="30"/>
      <c r="T42" s="27"/>
      <c r="U42" s="27"/>
    </row>
    <row r="43" spans="2:21" ht="12.75">
      <c r="B43" s="9"/>
      <c r="C43" s="9"/>
      <c r="D43" s="9"/>
      <c r="E43" s="9"/>
      <c r="F43" s="27"/>
      <c r="G43" s="28"/>
      <c r="H43" s="28"/>
      <c r="I43" s="27"/>
      <c r="J43" s="27"/>
      <c r="K43" s="27"/>
      <c r="L43" s="27"/>
      <c r="M43" s="27"/>
      <c r="N43" s="30"/>
      <c r="O43" s="27"/>
      <c r="P43" s="27"/>
      <c r="Q43" s="27"/>
      <c r="R43" s="30"/>
      <c r="S43" s="30"/>
      <c r="T43" s="27"/>
      <c r="U43" s="27"/>
    </row>
    <row r="44" spans="2:21" ht="12.75">
      <c r="B44" s="9"/>
      <c r="C44" s="26"/>
      <c r="D44" s="9"/>
      <c r="E44" s="9"/>
      <c r="F44" s="27"/>
      <c r="G44" s="28"/>
      <c r="H44" s="28"/>
      <c r="I44" s="27"/>
      <c r="J44" s="27"/>
      <c r="K44" s="27"/>
      <c r="L44" s="27"/>
      <c r="M44" s="27"/>
      <c r="N44" s="30"/>
      <c r="O44" s="27"/>
      <c r="P44" s="27"/>
      <c r="Q44" s="27"/>
      <c r="R44" s="30"/>
      <c r="S44" s="30"/>
      <c r="T44" s="27"/>
      <c r="U44" s="27"/>
    </row>
    <row r="45" spans="2:21" ht="12.75">
      <c r="B45" s="9"/>
      <c r="C45" s="9"/>
      <c r="D45" s="9"/>
      <c r="E45" s="9"/>
      <c r="F45" s="27"/>
      <c r="G45" s="28"/>
      <c r="H45" s="28"/>
      <c r="I45" s="27"/>
      <c r="J45" s="27"/>
      <c r="K45" s="27"/>
      <c r="L45" s="27"/>
      <c r="M45" s="27"/>
      <c r="N45" s="30"/>
      <c r="O45" s="27"/>
      <c r="P45" s="27"/>
      <c r="Q45" s="27"/>
      <c r="R45" s="30"/>
      <c r="S45" s="30"/>
      <c r="T45" s="27"/>
      <c r="U45" s="27"/>
    </row>
    <row r="46" spans="2:21" ht="12.75">
      <c r="B46" s="9"/>
      <c r="C46" s="9"/>
      <c r="D46" s="9"/>
      <c r="E46" s="9"/>
      <c r="F46" s="27"/>
      <c r="G46" s="28"/>
      <c r="H46" s="28"/>
      <c r="I46" s="27"/>
      <c r="J46" s="27"/>
      <c r="K46" s="27"/>
      <c r="L46" s="27"/>
      <c r="M46" s="27"/>
      <c r="N46" s="30"/>
      <c r="O46" s="27"/>
      <c r="P46" s="27"/>
      <c r="Q46" s="27"/>
      <c r="R46" s="30"/>
      <c r="S46" s="30"/>
      <c r="T46" s="27"/>
      <c r="U46" s="27"/>
    </row>
    <row r="47" spans="2:21" ht="12.75">
      <c r="B47" s="9"/>
      <c r="C47" s="9"/>
      <c r="D47" s="9"/>
      <c r="E47" s="9"/>
      <c r="F47" s="27"/>
      <c r="G47" s="28"/>
      <c r="H47" s="28"/>
      <c r="I47" s="27"/>
      <c r="J47" s="27"/>
      <c r="K47" s="27"/>
      <c r="L47" s="27"/>
      <c r="M47" s="27"/>
      <c r="N47" s="30"/>
      <c r="O47" s="27"/>
      <c r="P47" s="27"/>
      <c r="Q47" s="27"/>
      <c r="R47" s="30"/>
      <c r="S47" s="30"/>
      <c r="T47" s="27"/>
      <c r="U47" s="27"/>
    </row>
    <row r="48" spans="2:21" ht="12.75">
      <c r="B48" s="9"/>
      <c r="C48" s="9"/>
      <c r="D48" s="9"/>
      <c r="E48" s="9"/>
      <c r="F48" s="27"/>
      <c r="G48" s="28"/>
      <c r="H48" s="28"/>
      <c r="I48" s="27"/>
      <c r="J48" s="27"/>
      <c r="K48" s="27"/>
      <c r="L48" s="27"/>
      <c r="M48" s="27"/>
      <c r="N48" s="30"/>
      <c r="O48" s="27"/>
      <c r="P48" s="27"/>
      <c r="Q48" s="27"/>
      <c r="R48" s="30"/>
      <c r="S48" s="30"/>
      <c r="T48" s="27"/>
      <c r="U48" s="27"/>
    </row>
    <row r="49" spans="2:21" ht="12.75">
      <c r="B49" s="9"/>
      <c r="C49" s="9"/>
      <c r="D49" s="9"/>
      <c r="E49" s="9"/>
      <c r="F49" s="27"/>
      <c r="G49" s="28"/>
      <c r="H49" s="28"/>
      <c r="I49" s="27"/>
      <c r="J49" s="27"/>
      <c r="K49" s="27"/>
      <c r="L49" s="27"/>
      <c r="M49" s="27"/>
      <c r="N49" s="30"/>
      <c r="O49" s="27"/>
      <c r="P49" s="27"/>
      <c r="Q49" s="27"/>
      <c r="R49" s="30"/>
      <c r="S49" s="30"/>
      <c r="T49" s="27"/>
      <c r="U49" s="27"/>
    </row>
    <row r="50" spans="2:21" ht="12.75">
      <c r="B50" s="9"/>
      <c r="C50" s="9"/>
      <c r="D50" s="9"/>
      <c r="E50" s="9"/>
      <c r="F50" s="27"/>
      <c r="G50" s="28"/>
      <c r="H50" s="28"/>
      <c r="I50" s="27"/>
      <c r="J50" s="27"/>
      <c r="K50" s="27"/>
      <c r="L50" s="27"/>
      <c r="M50" s="27"/>
      <c r="N50" s="30"/>
      <c r="O50" s="27"/>
      <c r="P50" s="27"/>
      <c r="Q50" s="27"/>
      <c r="R50" s="30"/>
      <c r="S50" s="30"/>
      <c r="T50" s="27"/>
      <c r="U50" s="27"/>
    </row>
    <row r="51" spans="2:21" ht="12.75">
      <c r="B51" s="9"/>
      <c r="C51" s="9"/>
      <c r="D51" s="9"/>
      <c r="E51" s="9"/>
      <c r="F51" s="27"/>
      <c r="G51" s="28"/>
      <c r="H51" s="28"/>
      <c r="I51" s="27"/>
      <c r="J51" s="27"/>
      <c r="K51" s="27"/>
      <c r="L51" s="27"/>
      <c r="M51" s="27"/>
      <c r="N51" s="30"/>
      <c r="O51" s="27"/>
      <c r="P51" s="27"/>
      <c r="Q51" s="27"/>
      <c r="R51" s="30"/>
      <c r="S51" s="30"/>
      <c r="T51" s="27"/>
      <c r="U51" s="27"/>
    </row>
    <row r="52" spans="2:21" ht="12.75">
      <c r="B52" s="9"/>
      <c r="C52" s="9"/>
      <c r="D52" s="9"/>
      <c r="E52" s="9"/>
      <c r="F52" s="27"/>
      <c r="G52" s="28"/>
      <c r="H52" s="28"/>
      <c r="I52" s="27"/>
      <c r="J52" s="27"/>
      <c r="K52" s="27"/>
      <c r="L52" s="27"/>
      <c r="M52" s="27"/>
      <c r="N52" s="30"/>
      <c r="O52" s="27"/>
      <c r="P52" s="27"/>
      <c r="Q52" s="27"/>
      <c r="R52" s="30"/>
      <c r="S52" s="30"/>
      <c r="T52" s="27"/>
      <c r="U52" s="27"/>
    </row>
    <row r="53" spans="2:21" ht="12.75">
      <c r="B53" s="9"/>
      <c r="C53" s="9"/>
      <c r="D53" s="9"/>
      <c r="E53" s="9"/>
      <c r="F53" s="27"/>
      <c r="G53" s="28"/>
      <c r="H53" s="28"/>
      <c r="I53" s="27"/>
      <c r="J53" s="27"/>
      <c r="K53" s="27"/>
      <c r="L53" s="27"/>
      <c r="M53" s="27"/>
      <c r="N53" s="30"/>
      <c r="O53" s="27"/>
      <c r="P53" s="27"/>
      <c r="Q53" s="27"/>
      <c r="R53" s="30"/>
      <c r="S53" s="30"/>
      <c r="T53" s="27"/>
      <c r="U53" s="27"/>
    </row>
    <row r="55" spans="2:19" s="27" customFormat="1" ht="12.75">
      <c r="B55" s="9"/>
      <c r="C55" s="9"/>
      <c r="D55" s="9"/>
      <c r="E55" s="9"/>
      <c r="G55" s="28"/>
      <c r="H55" s="28"/>
      <c r="S55" s="30"/>
    </row>
    <row r="56" spans="2:19" s="27" customFormat="1" ht="12.75">
      <c r="B56" s="9"/>
      <c r="C56" s="9"/>
      <c r="D56" s="9"/>
      <c r="E56" s="9"/>
      <c r="G56" s="28"/>
      <c r="H56" s="28"/>
      <c r="S56" s="30"/>
    </row>
    <row r="60" spans="2:19" ht="12.75">
      <c r="B60" s="26"/>
      <c r="C60" s="26"/>
      <c r="D60" s="9"/>
      <c r="E60" s="9"/>
      <c r="F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</row>
    <row r="61" spans="2:19" ht="12.75">
      <c r="B61" s="9"/>
      <c r="C61" s="9"/>
      <c r="D61" s="9"/>
      <c r="E61" s="9"/>
      <c r="F61" s="27"/>
      <c r="G61" s="29"/>
      <c r="H61" s="29"/>
      <c r="I61" s="29"/>
      <c r="J61" s="29"/>
      <c r="K61" s="29"/>
      <c r="L61" s="29"/>
      <c r="M61" s="29"/>
      <c r="N61" s="29"/>
      <c r="O61" s="27"/>
      <c r="P61" s="27"/>
      <c r="Q61" s="27"/>
      <c r="R61" s="50"/>
      <c r="S61" s="27"/>
    </row>
    <row r="62" spans="1:19" ht="12.75">
      <c r="A62" s="50"/>
      <c r="B62" s="50"/>
      <c r="C62" s="50"/>
      <c r="D62" s="50"/>
      <c r="E62" s="50"/>
      <c r="F62" s="48"/>
      <c r="G62" s="59"/>
      <c r="H62" s="59"/>
      <c r="I62" s="59"/>
      <c r="J62" s="59"/>
      <c r="K62" s="59"/>
      <c r="L62" s="59"/>
      <c r="M62" s="59"/>
      <c r="N62" s="59"/>
      <c r="O62" s="50"/>
      <c r="P62" s="50"/>
      <c r="Q62" s="50"/>
      <c r="R62" s="50"/>
      <c r="S62" s="54"/>
    </row>
    <row r="63" spans="2:19" ht="12.75">
      <c r="B63" s="9"/>
      <c r="C63" s="9"/>
      <c r="D63" s="9"/>
      <c r="E63" s="9"/>
      <c r="F63"/>
      <c r="G63"/>
      <c r="H63"/>
      <c r="I63"/>
      <c r="J63"/>
      <c r="K63"/>
      <c r="L63"/>
      <c r="M63"/>
      <c r="N63" s="64"/>
      <c r="O63" s="40"/>
      <c r="P63" s="40"/>
      <c r="Q63" s="40"/>
      <c r="R63" s="63"/>
      <c r="S63" s="27"/>
    </row>
    <row r="64" spans="2:19" ht="12.75">
      <c r="B64" s="9"/>
      <c r="C64" s="9"/>
      <c r="D64" s="9"/>
      <c r="E64" s="9"/>
      <c r="F64"/>
      <c r="G64"/>
      <c r="H64"/>
      <c r="I64"/>
      <c r="J64"/>
      <c r="K64"/>
      <c r="L64"/>
      <c r="M64"/>
      <c r="N64" s="63"/>
      <c r="O64" s="40"/>
      <c r="P64" s="40"/>
      <c r="Q64" s="40"/>
      <c r="R64" s="63"/>
      <c r="S64" s="27"/>
    </row>
    <row r="65" spans="2:19" ht="12.75">
      <c r="B65" s="9"/>
      <c r="C65" s="9"/>
      <c r="D65" s="9"/>
      <c r="E65" s="9"/>
      <c r="F65" s="29"/>
      <c r="G65" s="68"/>
      <c r="H65" s="61"/>
      <c r="I65" s="68"/>
      <c r="J65" s="61"/>
      <c r="K65" s="61"/>
      <c r="L65" s="61"/>
      <c r="M65" s="34"/>
      <c r="N65" s="63"/>
      <c r="O65" s="62"/>
      <c r="P65" s="62"/>
      <c r="Q65" s="62"/>
      <c r="R65" s="63"/>
      <c r="S65" s="27"/>
    </row>
    <row r="66" spans="2:19" ht="12.75">
      <c r="B66" s="9"/>
      <c r="C66" s="9"/>
      <c r="D66" s="9"/>
      <c r="E66" s="9"/>
      <c r="F66" s="27"/>
      <c r="G66" s="68"/>
      <c r="H66" s="61"/>
      <c r="I66" s="34"/>
      <c r="J66" s="62"/>
      <c r="K66" s="62"/>
      <c r="L66" s="62"/>
      <c r="M66" s="34"/>
      <c r="N66" s="63"/>
      <c r="O66" s="62"/>
      <c r="P66" s="62"/>
      <c r="Q66" s="62"/>
      <c r="R66" s="63"/>
      <c r="S66" s="27"/>
    </row>
    <row r="67" spans="2:19" ht="12.75">
      <c r="B67" s="9"/>
      <c r="C67" s="9"/>
      <c r="D67" s="9"/>
      <c r="E67" s="9"/>
      <c r="F67" s="27"/>
      <c r="G67" s="68"/>
      <c r="H67" s="61"/>
      <c r="I67" s="34"/>
      <c r="J67" s="62"/>
      <c r="K67" s="62"/>
      <c r="L67" s="62"/>
      <c r="M67" s="34"/>
      <c r="N67" s="63"/>
      <c r="O67" s="62"/>
      <c r="P67" s="62"/>
      <c r="Q67" s="62"/>
      <c r="R67" s="63"/>
      <c r="S67" s="27"/>
    </row>
    <row r="68" spans="2:19" ht="12.75">
      <c r="B68" s="9"/>
      <c r="C68" s="9"/>
      <c r="D68" s="9"/>
      <c r="E68" s="9"/>
      <c r="F68" s="27"/>
      <c r="G68" s="68"/>
      <c r="H68" s="61"/>
      <c r="I68" s="25"/>
      <c r="J68" s="18"/>
      <c r="K68" s="18"/>
      <c r="L68" s="18"/>
      <c r="M68" s="25"/>
      <c r="N68" s="63"/>
      <c r="O68" s="62"/>
      <c r="P68" s="62"/>
      <c r="Q68" s="62"/>
      <c r="R68" s="63"/>
      <c r="S68" s="27"/>
    </row>
    <row r="69" spans="2:19" ht="12.75">
      <c r="B69" s="9"/>
      <c r="C69" s="9"/>
      <c r="D69" s="9"/>
      <c r="E69" s="9"/>
      <c r="F69" s="27"/>
      <c r="G69" s="68"/>
      <c r="H69" s="61"/>
      <c r="I69" s="25"/>
      <c r="J69" s="18"/>
      <c r="K69" s="18"/>
      <c r="L69" s="18"/>
      <c r="M69" s="25"/>
      <c r="N69" s="63"/>
      <c r="O69" s="62"/>
      <c r="P69" s="62"/>
      <c r="Q69" s="62"/>
      <c r="R69" s="63"/>
      <c r="S69" s="27"/>
    </row>
    <row r="70" spans="2:19" ht="12.75">
      <c r="B70" s="9"/>
      <c r="C70" s="9"/>
      <c r="D70" s="9"/>
      <c r="E70" s="9"/>
      <c r="F70" s="17"/>
      <c r="G70" s="68"/>
      <c r="H70" s="61"/>
      <c r="I70" s="25"/>
      <c r="J70" s="18"/>
      <c r="K70" s="18"/>
      <c r="L70" s="18"/>
      <c r="M70" s="25"/>
      <c r="N70" s="63"/>
      <c r="O70" s="62"/>
      <c r="P70" s="62"/>
      <c r="Q70" s="62"/>
      <c r="R70" s="63"/>
      <c r="S70" s="27"/>
    </row>
    <row r="71" spans="2:19" ht="12.75">
      <c r="B71" s="9"/>
      <c r="C71" s="9"/>
      <c r="D71" s="9"/>
      <c r="E71" s="9"/>
      <c r="F71" s="17"/>
      <c r="G71" s="68"/>
      <c r="H71" s="61"/>
      <c r="I71" s="25"/>
      <c r="J71" s="18"/>
      <c r="K71" s="18"/>
      <c r="L71" s="18"/>
      <c r="M71" s="25"/>
      <c r="N71" s="63"/>
      <c r="O71" s="62"/>
      <c r="P71" s="62"/>
      <c r="Q71" s="62"/>
      <c r="R71" s="63"/>
      <c r="S71" s="27"/>
    </row>
    <row r="72" spans="2:19" ht="12.75">
      <c r="B72" s="9"/>
      <c r="C72" s="9"/>
      <c r="D72" s="9"/>
      <c r="E72" s="9"/>
      <c r="F72" s="27"/>
      <c r="G72" s="68"/>
      <c r="H72" s="61"/>
      <c r="I72" s="34"/>
      <c r="J72" s="62"/>
      <c r="K72" s="62"/>
      <c r="L72" s="62"/>
      <c r="M72" s="25"/>
      <c r="N72" s="63"/>
      <c r="O72" s="62"/>
      <c r="P72" s="62"/>
      <c r="Q72" s="62"/>
      <c r="R72" s="63"/>
      <c r="S72" s="27"/>
    </row>
    <row r="73" spans="2:19" ht="12.75">
      <c r="B73" s="9"/>
      <c r="C73" s="9"/>
      <c r="D73" s="9"/>
      <c r="E73" s="9"/>
      <c r="F73" s="17"/>
      <c r="G73" s="68"/>
      <c r="H73" s="61"/>
      <c r="I73" s="68"/>
      <c r="J73" s="61"/>
      <c r="K73" s="61"/>
      <c r="L73" s="61"/>
      <c r="M73" s="25"/>
      <c r="N73" s="63"/>
      <c r="O73" s="62"/>
      <c r="P73" s="62"/>
      <c r="Q73" s="62"/>
      <c r="R73" s="63"/>
      <c r="S73" s="27"/>
    </row>
    <row r="74" spans="2:19" ht="12.75">
      <c r="B74" s="9"/>
      <c r="C74" s="9"/>
      <c r="D74" s="9"/>
      <c r="E74" s="9"/>
      <c r="F74" s="27"/>
      <c r="G74" s="68"/>
      <c r="H74" s="61"/>
      <c r="I74" s="61"/>
      <c r="J74" s="61"/>
      <c r="K74" s="61"/>
      <c r="L74" s="61"/>
      <c r="M74" s="18"/>
      <c r="N74" s="63"/>
      <c r="O74" s="62"/>
      <c r="P74" s="62"/>
      <c r="Q74" s="62"/>
      <c r="R74" s="63"/>
      <c r="S74" s="27"/>
    </row>
    <row r="75" spans="2:19" ht="12.75">
      <c r="B75" s="9"/>
      <c r="C75" s="9"/>
      <c r="D75" s="9"/>
      <c r="E75" s="9"/>
      <c r="F75" s="27"/>
      <c r="G75" s="68"/>
      <c r="H75" s="61"/>
      <c r="I75" s="61"/>
      <c r="J75" s="61"/>
      <c r="K75" s="61"/>
      <c r="L75" s="61"/>
      <c r="M75" s="18"/>
      <c r="N75" s="63"/>
      <c r="O75" s="62"/>
      <c r="P75" s="62"/>
      <c r="Q75" s="62"/>
      <c r="R75" s="63"/>
      <c r="S75" s="27"/>
    </row>
    <row r="76" spans="2:19" ht="12.75">
      <c r="B76" s="9"/>
      <c r="C76" s="9"/>
      <c r="D76" s="9"/>
      <c r="E76" s="9"/>
      <c r="F76" s="27"/>
      <c r="G76" s="68"/>
      <c r="H76" s="61"/>
      <c r="I76" s="61"/>
      <c r="J76" s="61"/>
      <c r="K76" s="61"/>
      <c r="L76" s="61"/>
      <c r="M76" s="18"/>
      <c r="N76" s="63"/>
      <c r="O76" s="62"/>
      <c r="P76" s="62"/>
      <c r="Q76" s="62"/>
      <c r="R76" s="63"/>
      <c r="S76" s="27"/>
    </row>
    <row r="77" spans="2:19" ht="12.75">
      <c r="B77" s="9"/>
      <c r="C77" s="9"/>
      <c r="D77" s="9"/>
      <c r="E77" s="9"/>
      <c r="F77" s="27"/>
      <c r="G77" s="68"/>
      <c r="H77" s="61"/>
      <c r="I77" s="61"/>
      <c r="J77" s="61"/>
      <c r="K77" s="61"/>
      <c r="L77" s="61"/>
      <c r="M77" s="18"/>
      <c r="N77" s="63"/>
      <c r="O77" s="62"/>
      <c r="P77" s="62"/>
      <c r="Q77" s="62"/>
      <c r="R77" s="63"/>
      <c r="S77" s="27"/>
    </row>
    <row r="78" spans="2:19" ht="12.75">
      <c r="B78" s="9"/>
      <c r="C78" s="9"/>
      <c r="D78" s="9"/>
      <c r="E78" s="9"/>
      <c r="F78" s="27"/>
      <c r="G78" s="68"/>
      <c r="H78" s="61"/>
      <c r="I78" s="60"/>
      <c r="J78" s="24"/>
      <c r="K78" s="24"/>
      <c r="L78" s="24"/>
      <c r="M78" s="25"/>
      <c r="N78" s="63"/>
      <c r="O78" s="62"/>
      <c r="P78" s="62"/>
      <c r="Q78" s="62"/>
      <c r="R78" s="63"/>
      <c r="S78" s="27"/>
    </row>
    <row r="79" spans="2:19" ht="12.75">
      <c r="B79" s="9"/>
      <c r="C79" s="9"/>
      <c r="D79" s="9"/>
      <c r="E79" s="9"/>
      <c r="F79" s="27"/>
      <c r="G79" s="68"/>
      <c r="H79" s="61"/>
      <c r="I79" s="24"/>
      <c r="J79" s="62"/>
      <c r="K79" s="62"/>
      <c r="L79" s="62"/>
      <c r="M79" s="18"/>
      <c r="N79" s="63"/>
      <c r="O79" s="62"/>
      <c r="P79" s="62"/>
      <c r="Q79" s="62"/>
      <c r="R79" s="63"/>
      <c r="S79" s="30"/>
    </row>
    <row r="80" spans="2:19" ht="12.75">
      <c r="B80" s="9"/>
      <c r="C80" s="9"/>
      <c r="D80" s="9"/>
      <c r="E80" s="9"/>
      <c r="F80" s="61"/>
      <c r="G80" s="68"/>
      <c r="H80" s="61"/>
      <c r="I80" s="60"/>
      <c r="J80" s="24"/>
      <c r="K80" s="24"/>
      <c r="L80" s="24"/>
      <c r="M80" s="25"/>
      <c r="N80" s="63"/>
      <c r="O80" s="62"/>
      <c r="P80" s="62"/>
      <c r="Q80" s="62"/>
      <c r="R80" s="63"/>
      <c r="S80" s="10"/>
    </row>
    <row r="81" spans="2:19" ht="12.75">
      <c r="B81" s="9"/>
      <c r="C81" s="9"/>
      <c r="D81" s="9"/>
      <c r="E81" s="9"/>
      <c r="F81" s="61"/>
      <c r="G81" s="68"/>
      <c r="H81" s="61"/>
      <c r="I81" s="60"/>
      <c r="J81" s="24"/>
      <c r="K81" s="24"/>
      <c r="L81" s="24"/>
      <c r="M81" s="25"/>
      <c r="N81" s="63"/>
      <c r="O81" s="62"/>
      <c r="P81" s="62"/>
      <c r="Q81" s="62"/>
      <c r="R81" s="63"/>
      <c r="S81" s="10"/>
    </row>
    <row r="82" spans="2:19" ht="12.75">
      <c r="B82" s="9"/>
      <c r="C82" s="45"/>
      <c r="D82" s="9"/>
      <c r="E82" s="9"/>
      <c r="F82" s="61"/>
      <c r="G82" s="68"/>
      <c r="H82" s="61"/>
      <c r="I82" s="60"/>
      <c r="J82" s="24"/>
      <c r="K82" s="24"/>
      <c r="L82" s="24"/>
      <c r="M82" s="25"/>
      <c r="N82" s="63"/>
      <c r="O82" s="62"/>
      <c r="P82" s="62"/>
      <c r="Q82" s="62"/>
      <c r="R82" s="63"/>
      <c r="S82" s="10"/>
    </row>
    <row r="83" spans="2:19" ht="12.75">
      <c r="B83" s="9"/>
      <c r="C83" s="9"/>
      <c r="D83" s="9"/>
      <c r="E83" s="9"/>
      <c r="F83" s="24"/>
      <c r="G83" s="68"/>
      <c r="H83" s="61"/>
      <c r="I83" s="60"/>
      <c r="J83" s="24"/>
      <c r="K83" s="24"/>
      <c r="L83" s="24"/>
      <c r="M83" s="25"/>
      <c r="N83" s="63"/>
      <c r="O83" s="62"/>
      <c r="P83" s="62"/>
      <c r="Q83" s="62"/>
      <c r="R83" s="63"/>
      <c r="S83" s="27"/>
    </row>
    <row r="84" spans="2:19" ht="12.75">
      <c r="B84" s="9"/>
      <c r="C84" s="9"/>
      <c r="D84" s="9"/>
      <c r="E84" s="9"/>
      <c r="F84" s="24"/>
      <c r="G84" s="68"/>
      <c r="H84" s="61"/>
      <c r="I84" s="60"/>
      <c r="J84" s="61"/>
      <c r="K84" s="61"/>
      <c r="L84" s="61"/>
      <c r="M84" s="25"/>
      <c r="N84" s="63"/>
      <c r="O84" s="62"/>
      <c r="P84" s="62"/>
      <c r="Q84" s="62"/>
      <c r="R84" s="63"/>
      <c r="S84" s="27"/>
    </row>
    <row r="85" spans="2:19" ht="12.75">
      <c r="B85" s="9"/>
      <c r="C85" s="9"/>
      <c r="D85" s="9"/>
      <c r="E85" s="9"/>
      <c r="F85" s="27"/>
      <c r="G85" s="68"/>
      <c r="H85" s="61"/>
      <c r="I85" s="24"/>
      <c r="J85" s="62"/>
      <c r="K85" s="62"/>
      <c r="L85" s="62"/>
      <c r="M85" s="18"/>
      <c r="N85" s="63"/>
      <c r="O85" s="62"/>
      <c r="P85" s="62"/>
      <c r="Q85" s="62"/>
      <c r="R85" s="63"/>
      <c r="S85" s="27"/>
    </row>
    <row r="86" spans="2:19" ht="12.75">
      <c r="B86" s="9"/>
      <c r="C86" s="9"/>
      <c r="D86" s="9"/>
      <c r="E86" s="9"/>
      <c r="F86" s="27"/>
      <c r="G86" s="10"/>
      <c r="H86" s="10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2.75">
      <c r="B87" s="9"/>
      <c r="D87" s="9"/>
      <c r="E87" s="9"/>
      <c r="F87" s="29"/>
      <c r="G87" s="10"/>
      <c r="H87" s="10"/>
      <c r="I87" s="27"/>
      <c r="J87" s="27"/>
      <c r="K87" s="27"/>
      <c r="L87" s="27"/>
      <c r="M87" s="27"/>
      <c r="N87" s="40"/>
      <c r="O87" s="27"/>
      <c r="P87" s="27"/>
      <c r="Q87" s="27"/>
      <c r="R87" s="27"/>
      <c r="S87" s="27"/>
    </row>
    <row r="88" spans="2:19" ht="12.75">
      <c r="B88" s="9"/>
      <c r="D88" s="9"/>
      <c r="E88" s="9"/>
      <c r="F88" s="29"/>
      <c r="G88" s="10"/>
      <c r="H88" s="10"/>
      <c r="I88" s="27"/>
      <c r="J88" s="27"/>
      <c r="K88" s="27"/>
      <c r="L88" s="27"/>
      <c r="M88" s="27"/>
      <c r="N88" s="30"/>
      <c r="O88" s="27"/>
      <c r="P88" s="27"/>
      <c r="Q88" s="27"/>
      <c r="R88" s="27"/>
      <c r="S88" s="27"/>
    </row>
    <row r="89" spans="2:19" ht="12.75">
      <c r="B89" s="9"/>
      <c r="C89" s="9"/>
      <c r="D89" s="9"/>
      <c r="E89" s="9"/>
      <c r="F89" s="29"/>
      <c r="G89" s="10"/>
      <c r="H89" s="10"/>
      <c r="I89" s="27"/>
      <c r="J89" s="27"/>
      <c r="K89" s="27"/>
      <c r="L89" s="27"/>
      <c r="M89" s="27"/>
      <c r="N89" s="30"/>
      <c r="O89" s="27"/>
      <c r="P89" s="27"/>
      <c r="Q89" s="27"/>
      <c r="R89" s="27"/>
      <c r="S89" s="27"/>
    </row>
    <row r="90" spans="2:19" ht="12.75">
      <c r="B90" s="45"/>
      <c r="C90" s="9"/>
      <c r="D90" s="9"/>
      <c r="E90" s="9"/>
      <c r="F90" s="27"/>
      <c r="G90" s="10"/>
      <c r="H90" s="10"/>
      <c r="I90" s="27"/>
      <c r="J90" s="27"/>
      <c r="K90" s="27"/>
      <c r="L90" s="27"/>
      <c r="M90" s="27"/>
      <c r="N90" s="30"/>
      <c r="O90" s="27"/>
      <c r="P90" s="27"/>
      <c r="Q90" s="40"/>
      <c r="R90" s="27"/>
      <c r="S90" s="27"/>
    </row>
    <row r="91" spans="2:19" ht="12.75">
      <c r="B91" s="9"/>
      <c r="C91" s="9"/>
      <c r="D91" s="9"/>
      <c r="E91" s="9"/>
      <c r="F91" s="29"/>
      <c r="G91" s="30"/>
      <c r="H91" s="61"/>
      <c r="I91" s="30"/>
      <c r="J91" s="61"/>
      <c r="K91" s="61"/>
      <c r="L91" s="61"/>
      <c r="M91" s="30"/>
      <c r="N91" s="40"/>
      <c r="O91" s="27"/>
      <c r="P91" s="27"/>
      <c r="Q91" s="27"/>
      <c r="R91" s="30"/>
      <c r="S91" s="30"/>
    </row>
    <row r="92" spans="2:19" ht="12.75">
      <c r="B92" s="9"/>
      <c r="C92" s="9"/>
      <c r="D92" s="9"/>
      <c r="E92" s="9"/>
      <c r="F92" s="27"/>
      <c r="G92" s="30"/>
      <c r="H92" s="61"/>
      <c r="I92" s="30"/>
      <c r="J92" s="62"/>
      <c r="K92" s="62"/>
      <c r="L92" s="62"/>
      <c r="M92" s="30"/>
      <c r="N92" s="30"/>
      <c r="O92" s="27"/>
      <c r="P92" s="27"/>
      <c r="Q92" s="27"/>
      <c r="R92" s="30"/>
      <c r="S92" s="30"/>
    </row>
    <row r="93" spans="2:19" ht="12.75">
      <c r="B93" s="9"/>
      <c r="C93" s="9"/>
      <c r="D93" s="9"/>
      <c r="E93" s="9"/>
      <c r="F93" s="27"/>
      <c r="G93" s="30"/>
      <c r="H93" s="61"/>
      <c r="I93" s="30"/>
      <c r="J93" s="62"/>
      <c r="K93" s="62"/>
      <c r="L93" s="62"/>
      <c r="M93" s="30"/>
      <c r="N93" s="40"/>
      <c r="O93" s="27"/>
      <c r="P93" s="27"/>
      <c r="Q93" s="27"/>
      <c r="R93" s="30"/>
      <c r="S93" s="30"/>
    </row>
    <row r="94" spans="2:19" ht="12.75">
      <c r="B94" s="9"/>
      <c r="C94" s="9"/>
      <c r="D94" s="9"/>
      <c r="E94" s="9"/>
      <c r="F94" s="27"/>
      <c r="G94" s="30"/>
      <c r="H94" s="61"/>
      <c r="I94" s="30"/>
      <c r="J94" s="18"/>
      <c r="K94" s="18"/>
      <c r="L94" s="18"/>
      <c r="M94" s="30"/>
      <c r="N94" s="30"/>
      <c r="O94" s="27"/>
      <c r="P94" s="27"/>
      <c r="Q94" s="27"/>
      <c r="R94" s="30"/>
      <c r="S94" s="30"/>
    </row>
    <row r="95" spans="2:19" ht="12.75">
      <c r="B95" s="9"/>
      <c r="C95" s="9"/>
      <c r="D95" s="9"/>
      <c r="E95" s="9"/>
      <c r="F95" s="27"/>
      <c r="G95" s="30"/>
      <c r="H95" s="61"/>
      <c r="I95" s="30"/>
      <c r="J95" s="18"/>
      <c r="K95" s="18"/>
      <c r="L95" s="18"/>
      <c r="M95" s="30"/>
      <c r="N95" s="30"/>
      <c r="O95" s="27"/>
      <c r="P95" s="27"/>
      <c r="Q95" s="27"/>
      <c r="R95" s="30"/>
      <c r="S95" s="30"/>
    </row>
    <row r="96" spans="2:19" ht="12.75">
      <c r="B96" s="9"/>
      <c r="C96" s="9"/>
      <c r="D96" s="9"/>
      <c r="E96" s="9"/>
      <c r="F96" s="17"/>
      <c r="G96" s="30"/>
      <c r="H96" s="61"/>
      <c r="I96" s="30"/>
      <c r="J96" s="18"/>
      <c r="K96" s="18"/>
      <c r="L96" s="18"/>
      <c r="M96" s="30"/>
      <c r="N96" s="40"/>
      <c r="O96" s="27"/>
      <c r="P96" s="27"/>
      <c r="Q96" s="27"/>
      <c r="R96" s="30"/>
      <c r="S96" s="30"/>
    </row>
    <row r="97" spans="2:19" ht="12.75">
      <c r="B97" s="9"/>
      <c r="C97" s="9"/>
      <c r="D97" s="9"/>
      <c r="E97" s="9"/>
      <c r="F97" s="17"/>
      <c r="G97" s="30"/>
      <c r="H97" s="61"/>
      <c r="I97" s="30"/>
      <c r="J97" s="18"/>
      <c r="K97" s="18"/>
      <c r="L97" s="18"/>
      <c r="M97" s="30"/>
      <c r="N97" s="30"/>
      <c r="O97" s="27"/>
      <c r="P97" s="27"/>
      <c r="Q97" s="27"/>
      <c r="R97" s="30"/>
      <c r="S97" s="30"/>
    </row>
    <row r="98" spans="2:19" ht="12.75">
      <c r="B98" s="9"/>
      <c r="C98" s="9"/>
      <c r="D98" s="9"/>
      <c r="E98" s="9"/>
      <c r="F98" s="27"/>
      <c r="G98" s="30"/>
      <c r="H98" s="61"/>
      <c r="I98" s="30"/>
      <c r="J98" s="62"/>
      <c r="K98" s="62"/>
      <c r="L98" s="62"/>
      <c r="M98" s="30"/>
      <c r="N98" s="40"/>
      <c r="O98" s="27"/>
      <c r="P98" s="27"/>
      <c r="Q98" s="27"/>
      <c r="R98" s="30"/>
      <c r="S98" s="30"/>
    </row>
    <row r="99" spans="2:19" ht="12.75">
      <c r="B99" s="9"/>
      <c r="C99" s="9"/>
      <c r="D99" s="9"/>
      <c r="E99" s="9"/>
      <c r="F99" s="17"/>
      <c r="G99" s="30"/>
      <c r="H99" s="61"/>
      <c r="I99" s="30"/>
      <c r="J99" s="61"/>
      <c r="K99" s="61"/>
      <c r="L99" s="61"/>
      <c r="M99" s="30"/>
      <c r="N99" s="40"/>
      <c r="O99" s="27"/>
      <c r="P99" s="27"/>
      <c r="Q99" s="27"/>
      <c r="R99" s="30"/>
      <c r="S99" s="30"/>
    </row>
    <row r="100" spans="2:19" ht="12.75">
      <c r="B100" s="9"/>
      <c r="C100" s="9"/>
      <c r="D100" s="9"/>
      <c r="E100" s="9"/>
      <c r="F100" s="27"/>
      <c r="G100" s="30"/>
      <c r="H100" s="61"/>
      <c r="I100" s="30"/>
      <c r="J100" s="61"/>
      <c r="K100" s="61"/>
      <c r="L100" s="61"/>
      <c r="M100" s="30"/>
      <c r="N100" s="40"/>
      <c r="O100" s="27"/>
      <c r="P100" s="27"/>
      <c r="Q100" s="27"/>
      <c r="R100" s="30"/>
      <c r="S100" s="30"/>
    </row>
    <row r="101" spans="2:19" ht="12.75">
      <c r="B101" s="9"/>
      <c r="C101" s="9"/>
      <c r="D101" s="9"/>
      <c r="E101" s="9"/>
      <c r="F101" s="27"/>
      <c r="G101" s="30"/>
      <c r="H101" s="61"/>
      <c r="I101" s="30"/>
      <c r="J101" s="61"/>
      <c r="K101" s="61"/>
      <c r="L101" s="61"/>
      <c r="M101" s="30"/>
      <c r="N101" s="40"/>
      <c r="O101" s="27"/>
      <c r="P101" s="27"/>
      <c r="Q101" s="27"/>
      <c r="R101" s="30"/>
      <c r="S101" s="30"/>
    </row>
    <row r="102" spans="2:19" ht="12.75">
      <c r="B102" s="9"/>
      <c r="C102" s="26"/>
      <c r="D102" s="9"/>
      <c r="E102" s="9"/>
      <c r="F102" s="27"/>
      <c r="G102" s="30"/>
      <c r="H102" s="61"/>
      <c r="I102" s="30"/>
      <c r="J102" s="61"/>
      <c r="K102" s="61"/>
      <c r="L102" s="61"/>
      <c r="M102" s="30"/>
      <c r="N102" s="40"/>
      <c r="O102" s="27"/>
      <c r="P102" s="27"/>
      <c r="Q102" s="27"/>
      <c r="R102" s="30"/>
      <c r="S102" s="30"/>
    </row>
    <row r="103" spans="2:19" ht="12.75">
      <c r="B103" s="9"/>
      <c r="C103" s="9"/>
      <c r="D103" s="9"/>
      <c r="E103" s="9"/>
      <c r="F103" s="27"/>
      <c r="G103" s="30"/>
      <c r="H103" s="61"/>
      <c r="I103" s="30"/>
      <c r="J103" s="61"/>
      <c r="K103" s="61"/>
      <c r="L103" s="61"/>
      <c r="M103" s="30"/>
      <c r="N103" s="40"/>
      <c r="O103" s="27"/>
      <c r="P103" s="27"/>
      <c r="Q103" s="27"/>
      <c r="R103" s="30"/>
      <c r="S103" s="30"/>
    </row>
    <row r="104" spans="2:19" ht="12.75">
      <c r="B104" s="9"/>
      <c r="C104" s="9"/>
      <c r="D104" s="9"/>
      <c r="E104" s="9"/>
      <c r="F104" s="27"/>
      <c r="G104" s="30"/>
      <c r="H104" s="61"/>
      <c r="I104" s="30"/>
      <c r="J104" s="24"/>
      <c r="K104" s="24"/>
      <c r="L104" s="24"/>
      <c r="M104" s="30"/>
      <c r="N104" s="30"/>
      <c r="O104" s="27"/>
      <c r="P104" s="27"/>
      <c r="Q104" s="27"/>
      <c r="R104" s="30"/>
      <c r="S104" s="30"/>
    </row>
    <row r="105" spans="2:19" ht="12.75">
      <c r="B105" s="9"/>
      <c r="C105" s="9"/>
      <c r="D105" s="9"/>
      <c r="E105" s="9"/>
      <c r="F105" s="27"/>
      <c r="G105" s="30"/>
      <c r="H105" s="61"/>
      <c r="I105" s="30"/>
      <c r="J105" s="62"/>
      <c r="K105" s="62"/>
      <c r="L105" s="62"/>
      <c r="M105" s="30"/>
      <c r="N105" s="40"/>
      <c r="O105" s="27"/>
      <c r="P105" s="27"/>
      <c r="Q105" s="27"/>
      <c r="R105" s="30"/>
      <c r="S105" s="30"/>
    </row>
    <row r="106" spans="2:19" ht="12.75">
      <c r="B106" s="9"/>
      <c r="C106" s="9"/>
      <c r="D106" s="9"/>
      <c r="E106" s="9"/>
      <c r="F106" s="61"/>
      <c r="G106" s="30"/>
      <c r="H106" s="61"/>
      <c r="I106" s="30"/>
      <c r="J106" s="24"/>
      <c r="K106" s="24"/>
      <c r="L106" s="24"/>
      <c r="M106" s="30"/>
      <c r="N106" s="30"/>
      <c r="O106" s="27"/>
      <c r="P106" s="27"/>
      <c r="Q106" s="27"/>
      <c r="R106" s="30"/>
      <c r="S106" s="30"/>
    </row>
    <row r="107" spans="2:19" ht="12.75">
      <c r="B107" s="9"/>
      <c r="C107" s="9"/>
      <c r="D107" s="9"/>
      <c r="E107" s="9"/>
      <c r="F107" s="61"/>
      <c r="G107" s="30"/>
      <c r="H107" s="61"/>
      <c r="I107" s="30"/>
      <c r="J107" s="24"/>
      <c r="K107" s="24"/>
      <c r="L107" s="24"/>
      <c r="M107" s="30"/>
      <c r="N107" s="30"/>
      <c r="O107" s="27"/>
      <c r="P107" s="27"/>
      <c r="Q107" s="27"/>
      <c r="R107" s="30"/>
      <c r="S107" s="30"/>
    </row>
    <row r="108" spans="2:19" ht="12.75">
      <c r="B108" s="9"/>
      <c r="C108" s="9"/>
      <c r="D108" s="9"/>
      <c r="E108" s="9"/>
      <c r="F108" s="61"/>
      <c r="G108" s="30"/>
      <c r="H108" s="61"/>
      <c r="I108" s="30"/>
      <c r="J108" s="24"/>
      <c r="K108" s="24"/>
      <c r="L108" s="24"/>
      <c r="M108" s="30"/>
      <c r="N108" s="30"/>
      <c r="O108" s="27"/>
      <c r="P108" s="27"/>
      <c r="Q108" s="27"/>
      <c r="R108" s="30"/>
      <c r="S108" s="30"/>
    </row>
    <row r="109" spans="2:19" ht="12.75">
      <c r="B109" s="9"/>
      <c r="C109" s="9"/>
      <c r="D109" s="9"/>
      <c r="E109" s="9"/>
      <c r="F109" s="24"/>
      <c r="G109" s="30"/>
      <c r="H109" s="61"/>
      <c r="I109" s="30"/>
      <c r="J109" s="24"/>
      <c r="K109" s="24"/>
      <c r="L109" s="24"/>
      <c r="M109" s="30"/>
      <c r="N109" s="30"/>
      <c r="O109" s="27"/>
      <c r="P109" s="27"/>
      <c r="Q109" s="27"/>
      <c r="R109" s="30"/>
      <c r="S109" s="30"/>
    </row>
    <row r="110" spans="2:19" ht="12.75">
      <c r="B110" s="9"/>
      <c r="C110" s="9"/>
      <c r="D110" s="9"/>
      <c r="E110" s="9"/>
      <c r="F110" s="24"/>
      <c r="G110" s="30"/>
      <c r="H110" s="61"/>
      <c r="I110" s="30"/>
      <c r="J110" s="61"/>
      <c r="K110" s="61"/>
      <c r="L110" s="61"/>
      <c r="M110" s="30"/>
      <c r="N110" s="30"/>
      <c r="O110" s="27"/>
      <c r="P110" s="27"/>
      <c r="Q110" s="27"/>
      <c r="R110" s="30"/>
      <c r="S110" s="30"/>
    </row>
    <row r="111" spans="2:19" ht="12.75">
      <c r="B111" s="9"/>
      <c r="C111" s="9"/>
      <c r="D111" s="9"/>
      <c r="E111" s="9"/>
      <c r="F111" s="27"/>
      <c r="G111" s="30"/>
      <c r="H111" s="61"/>
      <c r="I111" s="30"/>
      <c r="J111" s="62"/>
      <c r="K111" s="62"/>
      <c r="L111" s="62"/>
      <c r="M111" s="30"/>
      <c r="N111" s="40"/>
      <c r="O111" s="27"/>
      <c r="P111" s="27"/>
      <c r="Q111" s="27"/>
      <c r="R111" s="30"/>
      <c r="S111" s="30"/>
    </row>
    <row r="112" spans="4:5" ht="12.75">
      <c r="D112" s="9"/>
      <c r="E112" s="9"/>
    </row>
    <row r="113" spans="1:19" ht="12.75">
      <c r="A113" s="27"/>
      <c r="B113" s="9"/>
      <c r="C113" s="9"/>
      <c r="D113" s="9"/>
      <c r="E113" s="9"/>
      <c r="F113" s="27"/>
      <c r="G113" s="69"/>
      <c r="H113" s="69"/>
      <c r="I113" s="69"/>
      <c r="J113" s="69"/>
      <c r="K113" s="69"/>
      <c r="L113" s="69"/>
      <c r="M113" s="69"/>
      <c r="N113" s="40"/>
      <c r="O113" s="27"/>
      <c r="P113" s="27"/>
      <c r="Q113" s="27"/>
      <c r="R113" s="27"/>
      <c r="S113" s="30"/>
    </row>
    <row r="114" spans="1:19" ht="12.75">
      <c r="A114" s="27"/>
      <c r="B114" s="9"/>
      <c r="C114" s="9"/>
      <c r="D114" s="9"/>
      <c r="E114" s="9"/>
      <c r="F114" s="27"/>
      <c r="G114" s="69"/>
      <c r="H114" s="69"/>
      <c r="I114" s="69"/>
      <c r="J114" s="69"/>
      <c r="K114" s="69"/>
      <c r="L114" s="69"/>
      <c r="M114" s="69"/>
      <c r="N114" s="40"/>
      <c r="O114" s="27"/>
      <c r="P114" s="27"/>
      <c r="Q114" s="27"/>
      <c r="R114" s="27"/>
      <c r="S114" s="3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"/>
  <sheetViews>
    <sheetView workbookViewId="0" topLeftCell="B1">
      <selection activeCell="B31" sqref="B31"/>
    </sheetView>
  </sheetViews>
  <sheetFormatPr defaultColWidth="9.140625" defaultRowHeight="12.75"/>
  <cols>
    <col min="1" max="1" width="6.57421875" style="80" hidden="1" customWidth="1"/>
    <col min="2" max="2" width="25.140625" style="80" customWidth="1"/>
    <col min="3" max="3" width="6.421875" style="80" customWidth="1"/>
    <col min="4" max="4" width="6.140625" style="80" customWidth="1"/>
    <col min="5" max="5" width="2.28125" style="80" customWidth="1"/>
    <col min="6" max="6" width="6.00390625" style="80" customWidth="1"/>
    <col min="7" max="7" width="2.7109375" style="80" customWidth="1"/>
    <col min="8" max="8" width="5.421875" style="80" customWidth="1"/>
    <col min="9" max="9" width="2.8515625" style="80" customWidth="1"/>
    <col min="10" max="10" width="6.57421875" style="80" customWidth="1"/>
    <col min="11" max="11" width="3.00390625" style="80" customWidth="1"/>
    <col min="12" max="12" width="6.00390625" style="80" bestFit="1" customWidth="1"/>
    <col min="13" max="13" width="2.57421875" style="80" customWidth="1"/>
    <col min="14" max="14" width="6.00390625" style="80" bestFit="1" customWidth="1"/>
    <col min="15" max="15" width="2.28125" style="80" customWidth="1"/>
    <col min="16" max="16" width="6.00390625" style="80" bestFit="1" customWidth="1"/>
    <col min="17" max="17" width="1.8515625" style="80" customWidth="1"/>
    <col min="18" max="18" width="6.00390625" style="80" bestFit="1" customWidth="1"/>
    <col min="19" max="19" width="2.421875" style="80" customWidth="1"/>
    <col min="20" max="20" width="6.00390625" style="80" bestFit="1" customWidth="1"/>
    <col min="21" max="21" width="2.7109375" style="80" customWidth="1"/>
    <col min="22" max="22" width="6.00390625" style="80" bestFit="1" customWidth="1"/>
    <col min="23" max="23" width="2.421875" style="80" customWidth="1"/>
    <col min="24" max="24" width="6.00390625" style="80" bestFit="1" customWidth="1"/>
    <col min="25" max="25" width="2.421875" style="80" customWidth="1"/>
    <col min="26" max="26" width="8.00390625" style="80" bestFit="1" customWidth="1"/>
    <col min="27" max="27" width="3.57421875" style="80" customWidth="1"/>
    <col min="28" max="28" width="8.00390625" style="80" bestFit="1" customWidth="1"/>
    <col min="29" max="29" width="3.00390625" style="80" customWidth="1"/>
    <col min="30" max="30" width="8.00390625" style="80" bestFit="1" customWidth="1"/>
    <col min="31" max="31" width="3.140625" style="80" customWidth="1"/>
    <col min="32" max="32" width="8.00390625" style="80" bestFit="1" customWidth="1"/>
    <col min="33" max="16384" width="9.140625" style="80" customWidth="1"/>
  </cols>
  <sheetData>
    <row r="1" ht="12.75">
      <c r="B1" s="16" t="s">
        <v>240</v>
      </c>
    </row>
    <row r="5" spans="2:32" ht="12.75">
      <c r="B5" s="16" t="s">
        <v>166</v>
      </c>
      <c r="D5" s="87" t="s">
        <v>179</v>
      </c>
      <c r="E5" s="87"/>
      <c r="F5" s="87" t="s">
        <v>180</v>
      </c>
      <c r="G5" s="87"/>
      <c r="H5" s="87" t="s">
        <v>181</v>
      </c>
      <c r="I5" s="87"/>
      <c r="J5" s="87" t="s">
        <v>182</v>
      </c>
      <c r="K5" s="87"/>
      <c r="L5" s="87" t="s">
        <v>179</v>
      </c>
      <c r="M5" s="87"/>
      <c r="N5" s="87" t="s">
        <v>180</v>
      </c>
      <c r="O5" s="87"/>
      <c r="P5" s="87" t="s">
        <v>181</v>
      </c>
      <c r="Q5" s="87"/>
      <c r="R5" s="87" t="s">
        <v>182</v>
      </c>
      <c r="S5" s="87"/>
      <c r="T5" s="87" t="s">
        <v>179</v>
      </c>
      <c r="U5" s="87"/>
      <c r="V5" s="87" t="s">
        <v>180</v>
      </c>
      <c r="W5" s="87"/>
      <c r="X5" s="87" t="s">
        <v>181</v>
      </c>
      <c r="Y5" s="87"/>
      <c r="Z5" s="87" t="s">
        <v>179</v>
      </c>
      <c r="AA5" s="87"/>
      <c r="AB5" s="87" t="s">
        <v>180</v>
      </c>
      <c r="AC5" s="87"/>
      <c r="AD5" s="87" t="s">
        <v>181</v>
      </c>
      <c r="AE5" s="87"/>
      <c r="AF5" s="87" t="s">
        <v>182</v>
      </c>
    </row>
    <row r="7" spans="2:32" ht="12.75">
      <c r="B7" s="80" t="s">
        <v>284</v>
      </c>
      <c r="D7" s="80" t="s">
        <v>286</v>
      </c>
      <c r="F7" s="80" t="s">
        <v>286</v>
      </c>
      <c r="H7" s="80" t="s">
        <v>286</v>
      </c>
      <c r="J7" s="80" t="s">
        <v>286</v>
      </c>
      <c r="L7" s="80" t="s">
        <v>288</v>
      </c>
      <c r="N7" s="80" t="s">
        <v>288</v>
      </c>
      <c r="P7" s="80" t="s">
        <v>288</v>
      </c>
      <c r="R7" s="80" t="s">
        <v>288</v>
      </c>
      <c r="T7" s="80" t="s">
        <v>289</v>
      </c>
      <c r="V7" s="80" t="s">
        <v>289</v>
      </c>
      <c r="X7" s="80" t="s">
        <v>289</v>
      </c>
      <c r="Z7" s="80" t="s">
        <v>290</v>
      </c>
      <c r="AB7" s="80" t="s">
        <v>290</v>
      </c>
      <c r="AD7" s="80" t="s">
        <v>290</v>
      </c>
      <c r="AF7" s="80" t="s">
        <v>290</v>
      </c>
    </row>
    <row r="8" spans="2:32" ht="12.75">
      <c r="B8" s="80" t="s">
        <v>285</v>
      </c>
      <c r="D8" s="80" t="s">
        <v>287</v>
      </c>
      <c r="F8" s="80" t="s">
        <v>287</v>
      </c>
      <c r="H8" s="80" t="s">
        <v>287</v>
      </c>
      <c r="J8" s="80" t="s">
        <v>287</v>
      </c>
      <c r="L8" s="80" t="s">
        <v>287</v>
      </c>
      <c r="N8" s="80" t="s">
        <v>287</v>
      </c>
      <c r="P8" s="80" t="s">
        <v>287</v>
      </c>
      <c r="R8" s="80" t="s">
        <v>287</v>
      </c>
      <c r="T8" s="80" t="s">
        <v>287</v>
      </c>
      <c r="V8" s="80" t="s">
        <v>287</v>
      </c>
      <c r="X8" s="80" t="s">
        <v>287</v>
      </c>
      <c r="Z8" s="80" t="s">
        <v>287</v>
      </c>
      <c r="AB8" s="80" t="s">
        <v>287</v>
      </c>
      <c r="AD8" s="80" t="s">
        <v>287</v>
      </c>
      <c r="AF8" s="80" t="s">
        <v>287</v>
      </c>
    </row>
    <row r="9" spans="2:32" ht="12.75">
      <c r="B9" s="80" t="s">
        <v>283</v>
      </c>
      <c r="D9" s="80" t="s">
        <v>190</v>
      </c>
      <c r="F9" s="80" t="s">
        <v>190</v>
      </c>
      <c r="H9" s="80" t="s">
        <v>190</v>
      </c>
      <c r="J9" s="80" t="s">
        <v>190</v>
      </c>
      <c r="L9" s="80" t="s">
        <v>191</v>
      </c>
      <c r="N9" s="80" t="s">
        <v>191</v>
      </c>
      <c r="P9" s="80" t="s">
        <v>191</v>
      </c>
      <c r="R9" s="80" t="s">
        <v>191</v>
      </c>
      <c r="T9" s="80" t="s">
        <v>192</v>
      </c>
      <c r="V9" s="80" t="s">
        <v>192</v>
      </c>
      <c r="X9" s="80" t="s">
        <v>192</v>
      </c>
      <c r="Z9" s="80" t="s">
        <v>193</v>
      </c>
      <c r="AB9" s="80" t="s">
        <v>193</v>
      </c>
      <c r="AD9" s="80" t="s">
        <v>193</v>
      </c>
      <c r="AF9" s="80" t="s">
        <v>193</v>
      </c>
    </row>
    <row r="10" spans="1:32" ht="12.75">
      <c r="A10" s="80" t="s">
        <v>166</v>
      </c>
      <c r="B10" s="80" t="s">
        <v>194</v>
      </c>
      <c r="C10" s="80" t="s">
        <v>51</v>
      </c>
      <c r="D10" s="81">
        <v>696</v>
      </c>
      <c r="E10" s="81"/>
      <c r="F10" s="81">
        <v>700</v>
      </c>
      <c r="G10" s="81"/>
      <c r="H10" s="81">
        <v>699</v>
      </c>
      <c r="I10" s="81"/>
      <c r="J10" s="81">
        <v>699</v>
      </c>
      <c r="K10" s="81"/>
      <c r="L10" s="81">
        <v>3.03</v>
      </c>
      <c r="M10" s="81"/>
      <c r="N10" s="81">
        <v>3.31</v>
      </c>
      <c r="O10" s="81"/>
      <c r="P10" s="81">
        <v>3.34</v>
      </c>
      <c r="Q10" s="81"/>
      <c r="R10" s="81">
        <v>3.19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</row>
    <row r="11" spans="4:32" ht="12.75"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4:32" ht="12.75"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4:32" ht="12.75"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2:32" ht="12.75">
      <c r="B14" s="16" t="s">
        <v>172</v>
      </c>
      <c r="D14" s="87" t="s">
        <v>179</v>
      </c>
      <c r="E14" s="87"/>
      <c r="F14" s="87" t="s">
        <v>180</v>
      </c>
      <c r="G14" s="87"/>
      <c r="H14" s="87" t="s">
        <v>181</v>
      </c>
      <c r="I14" s="87"/>
      <c r="J14" s="87" t="s">
        <v>182</v>
      </c>
      <c r="K14" s="87"/>
      <c r="L14" s="87" t="s">
        <v>179</v>
      </c>
      <c r="M14" s="87"/>
      <c r="N14" s="87" t="s">
        <v>180</v>
      </c>
      <c r="O14" s="87"/>
      <c r="P14" s="87" t="s">
        <v>181</v>
      </c>
      <c r="Q14" s="87"/>
      <c r="R14" s="87" t="s">
        <v>182</v>
      </c>
      <c r="S14" s="87"/>
      <c r="T14" s="87" t="s">
        <v>179</v>
      </c>
      <c r="U14" s="87"/>
      <c r="V14" s="87" t="s">
        <v>180</v>
      </c>
      <c r="W14" s="87"/>
      <c r="X14" s="87" t="s">
        <v>181</v>
      </c>
      <c r="Y14" s="87"/>
      <c r="Z14" s="87" t="s">
        <v>179</v>
      </c>
      <c r="AA14" s="87"/>
      <c r="AB14" s="87" t="s">
        <v>180</v>
      </c>
      <c r="AC14" s="87"/>
      <c r="AD14" s="87" t="s">
        <v>181</v>
      </c>
      <c r="AE14" s="87"/>
      <c r="AF14" s="87" t="s">
        <v>182</v>
      </c>
    </row>
    <row r="15" spans="4:32" ht="12.75"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2:24" ht="12.75">
      <c r="B16" s="80" t="s">
        <v>284</v>
      </c>
      <c r="T16" s="80" t="s">
        <v>286</v>
      </c>
      <c r="V16" s="80" t="s">
        <v>286</v>
      </c>
      <c r="X16" s="80" t="s">
        <v>286</v>
      </c>
    </row>
    <row r="17" spans="2:24" ht="12.75">
      <c r="B17" s="80" t="s">
        <v>285</v>
      </c>
      <c r="T17" s="80" t="s">
        <v>287</v>
      </c>
      <c r="V17" s="80" t="s">
        <v>287</v>
      </c>
      <c r="X17" s="80" t="s">
        <v>287</v>
      </c>
    </row>
    <row r="18" spans="2:32" ht="12.75">
      <c r="B18" s="80" t="s">
        <v>283</v>
      </c>
      <c r="D18" s="80" t="s">
        <v>190</v>
      </c>
      <c r="F18" s="80" t="s">
        <v>190</v>
      </c>
      <c r="H18" s="80" t="s">
        <v>190</v>
      </c>
      <c r="J18" s="80" t="s">
        <v>190</v>
      </c>
      <c r="L18" s="80" t="s">
        <v>191</v>
      </c>
      <c r="N18" s="80" t="s">
        <v>191</v>
      </c>
      <c r="P18" s="80" t="s">
        <v>191</v>
      </c>
      <c r="R18" s="80" t="s">
        <v>191</v>
      </c>
      <c r="T18" s="80" t="s">
        <v>192</v>
      </c>
      <c r="V18" s="80" t="s">
        <v>192</v>
      </c>
      <c r="X18" s="80" t="s">
        <v>192</v>
      </c>
      <c r="Z18" s="80" t="s">
        <v>193</v>
      </c>
      <c r="AB18" s="80" t="s">
        <v>193</v>
      </c>
      <c r="AD18" s="80" t="s">
        <v>193</v>
      </c>
      <c r="AF18" s="80" t="s">
        <v>193</v>
      </c>
    </row>
    <row r="19" spans="1:32" ht="12.75">
      <c r="A19" s="80" t="s">
        <v>172</v>
      </c>
      <c r="B19" s="80" t="s">
        <v>194</v>
      </c>
      <c r="C19" s="80" t="s">
        <v>51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>
        <v>750</v>
      </c>
      <c r="U19" s="81"/>
      <c r="V19" s="81">
        <v>750</v>
      </c>
      <c r="W19" s="81"/>
      <c r="X19" s="81">
        <v>750</v>
      </c>
      <c r="Y19" s="81"/>
      <c r="Z19" s="81"/>
      <c r="AA19" s="81"/>
      <c r="AB19" s="81"/>
      <c r="AC19" s="81"/>
      <c r="AD19" s="81"/>
      <c r="AE19" s="81"/>
      <c r="AF19" s="81"/>
    </row>
    <row r="20" spans="4:32" ht="12.75"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2:32" ht="12.75">
      <c r="B21" s="16" t="s">
        <v>174</v>
      </c>
      <c r="D21" s="87" t="s">
        <v>179</v>
      </c>
      <c r="E21" s="87"/>
      <c r="F21" s="87" t="s">
        <v>180</v>
      </c>
      <c r="G21" s="87"/>
      <c r="H21" s="87" t="s">
        <v>181</v>
      </c>
      <c r="I21" s="87"/>
      <c r="J21" s="87" t="s">
        <v>182</v>
      </c>
      <c r="K21" s="87"/>
      <c r="L21" s="87" t="s">
        <v>179</v>
      </c>
      <c r="M21" s="87"/>
      <c r="N21" s="87" t="s">
        <v>180</v>
      </c>
      <c r="O21" s="87"/>
      <c r="P21" s="87" t="s">
        <v>181</v>
      </c>
      <c r="Q21" s="87"/>
      <c r="R21" s="87" t="s">
        <v>182</v>
      </c>
      <c r="S21" s="87"/>
      <c r="T21" s="87" t="s">
        <v>179</v>
      </c>
      <c r="U21" s="87"/>
      <c r="V21" s="87" t="s">
        <v>180</v>
      </c>
      <c r="W21" s="87"/>
      <c r="X21" s="87" t="s">
        <v>181</v>
      </c>
      <c r="Y21" s="87"/>
      <c r="Z21" s="87" t="s">
        <v>179</v>
      </c>
      <c r="AA21" s="87"/>
      <c r="AB21" s="87" t="s">
        <v>180</v>
      </c>
      <c r="AC21" s="87"/>
      <c r="AD21" s="87" t="s">
        <v>181</v>
      </c>
      <c r="AE21" s="87"/>
      <c r="AF21" s="87" t="s">
        <v>182</v>
      </c>
    </row>
    <row r="22" spans="4:32" ht="12.75"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2:32" ht="12.75">
      <c r="B23" s="80" t="s">
        <v>284</v>
      </c>
      <c r="L23" s="80" t="s">
        <v>286</v>
      </c>
      <c r="N23" s="80" t="s">
        <v>286</v>
      </c>
      <c r="P23" s="80" t="s">
        <v>286</v>
      </c>
      <c r="R23" s="80" t="s">
        <v>286</v>
      </c>
      <c r="Z23" s="80" t="s">
        <v>288</v>
      </c>
      <c r="AB23" s="80" t="s">
        <v>288</v>
      </c>
      <c r="AD23" s="80" t="s">
        <v>288</v>
      </c>
      <c r="AF23" s="80" t="s">
        <v>288</v>
      </c>
    </row>
    <row r="24" spans="2:32" ht="12.75">
      <c r="B24" s="80" t="s">
        <v>285</v>
      </c>
      <c r="L24" s="80" t="s">
        <v>287</v>
      </c>
      <c r="N24" s="80" t="s">
        <v>287</v>
      </c>
      <c r="P24" s="80" t="s">
        <v>287</v>
      </c>
      <c r="R24" s="80" t="s">
        <v>287</v>
      </c>
      <c r="Z24" s="80" t="s">
        <v>287</v>
      </c>
      <c r="AB24" s="80" t="s">
        <v>287</v>
      </c>
      <c r="AD24" s="80" t="s">
        <v>287</v>
      </c>
      <c r="AF24" s="80" t="s">
        <v>287</v>
      </c>
    </row>
    <row r="25" spans="2:32" ht="12.75">
      <c r="B25" s="80" t="s">
        <v>283</v>
      </c>
      <c r="D25" s="80" t="s">
        <v>190</v>
      </c>
      <c r="F25" s="80" t="s">
        <v>190</v>
      </c>
      <c r="H25" s="80" t="s">
        <v>190</v>
      </c>
      <c r="J25" s="80" t="s">
        <v>190</v>
      </c>
      <c r="L25" s="80" t="s">
        <v>191</v>
      </c>
      <c r="N25" s="80" t="s">
        <v>191</v>
      </c>
      <c r="P25" s="80" t="s">
        <v>191</v>
      </c>
      <c r="R25" s="80" t="s">
        <v>191</v>
      </c>
      <c r="T25" s="80" t="s">
        <v>192</v>
      </c>
      <c r="V25" s="80" t="s">
        <v>192</v>
      </c>
      <c r="X25" s="80" t="s">
        <v>192</v>
      </c>
      <c r="Z25" s="80" t="s">
        <v>193</v>
      </c>
      <c r="AB25" s="80" t="s">
        <v>193</v>
      </c>
      <c r="AD25" s="80" t="s">
        <v>193</v>
      </c>
      <c r="AF25" s="80" t="s">
        <v>193</v>
      </c>
    </row>
    <row r="26" spans="1:32" ht="12.75">
      <c r="A26" s="80" t="s">
        <v>174</v>
      </c>
      <c r="B26" s="80" t="s">
        <v>194</v>
      </c>
      <c r="C26" s="80" t="s">
        <v>51</v>
      </c>
      <c r="D26" s="81"/>
      <c r="E26" s="81"/>
      <c r="F26" s="81"/>
      <c r="G26" s="81"/>
      <c r="H26" s="81"/>
      <c r="I26" s="81"/>
      <c r="J26" s="81"/>
      <c r="K26" s="81"/>
      <c r="L26" s="81">
        <v>3.28</v>
      </c>
      <c r="M26" s="81"/>
      <c r="N26" s="81">
        <v>3.32</v>
      </c>
      <c r="O26" s="81"/>
      <c r="P26" s="81">
        <v>3.28</v>
      </c>
      <c r="Q26" s="81"/>
      <c r="R26" s="81">
        <v>3.34</v>
      </c>
      <c r="S26" s="81"/>
      <c r="T26" s="81"/>
      <c r="U26" s="81"/>
      <c r="V26" s="81"/>
      <c r="W26" s="81"/>
      <c r="X26" s="81"/>
      <c r="Y26" s="81"/>
      <c r="Z26" s="82">
        <v>848.82</v>
      </c>
      <c r="AA26" s="82"/>
      <c r="AB26" s="82">
        <v>956.62</v>
      </c>
      <c r="AC26" s="82"/>
      <c r="AD26" s="82">
        <v>1319.69</v>
      </c>
      <c r="AE26" s="82"/>
      <c r="AF26" s="82">
        <v>1178.63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B1">
      <selection activeCell="B31" sqref="B31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6" t="s">
        <v>63</v>
      </c>
      <c r="C1" s="12"/>
      <c r="D1" s="12"/>
      <c r="E1" s="12"/>
      <c r="F1" s="12"/>
    </row>
    <row r="2" spans="2:6" ht="12.75">
      <c r="B2" s="12"/>
      <c r="C2" s="12"/>
      <c r="D2" s="12"/>
      <c r="E2" s="12"/>
      <c r="F2" s="12"/>
    </row>
    <row r="3" spans="1:6" ht="12.75">
      <c r="A3" t="s">
        <v>84</v>
      </c>
      <c r="B3" s="6" t="str">
        <f>'feed 1'!B4</f>
        <v>344C10</v>
      </c>
      <c r="C3" s="12" t="str">
        <f>cond!C10</f>
        <v>Agent GB (Sarin) trial burn</v>
      </c>
      <c r="D3" s="12"/>
      <c r="E3" t="s">
        <v>47</v>
      </c>
      <c r="F3" s="12"/>
    </row>
    <row r="4" spans="2:6" ht="12.75">
      <c r="B4" s="12"/>
      <c r="C4" s="12"/>
      <c r="D4" s="12"/>
      <c r="F4" s="12"/>
    </row>
    <row r="5" spans="2:6" ht="14.25">
      <c r="B5" s="12" t="s">
        <v>123</v>
      </c>
      <c r="C5" s="7" t="s">
        <v>53</v>
      </c>
      <c r="D5" s="7"/>
      <c r="E5">
        <v>2594</v>
      </c>
      <c r="F5" s="12"/>
    </row>
    <row r="6" spans="2:6" ht="14.25">
      <c r="B6" s="12" t="s">
        <v>124</v>
      </c>
      <c r="C6" s="7" t="s">
        <v>53</v>
      </c>
      <c r="D6" s="7"/>
      <c r="E6">
        <v>1909</v>
      </c>
      <c r="F6" s="12"/>
    </row>
    <row r="7" spans="2:5" s="12" customFormat="1" ht="12.75">
      <c r="B7" s="12" t="s">
        <v>125</v>
      </c>
      <c r="C7" s="12" t="s">
        <v>126</v>
      </c>
      <c r="E7">
        <v>-2.5</v>
      </c>
    </row>
    <row r="8" spans="2:5" s="12" customFormat="1" ht="12.75">
      <c r="B8" s="12" t="s">
        <v>127</v>
      </c>
      <c r="C8" s="12" t="s">
        <v>126</v>
      </c>
      <c r="E8">
        <v>24.9</v>
      </c>
    </row>
    <row r="9" spans="2:5" s="12" customFormat="1" ht="12.75">
      <c r="B9" t="s">
        <v>151</v>
      </c>
      <c r="C9" s="12" t="s">
        <v>126</v>
      </c>
      <c r="D9"/>
      <c r="E9">
        <v>2.3</v>
      </c>
    </row>
    <row r="10" spans="2:5" ht="12.75">
      <c r="B10" t="s">
        <v>129</v>
      </c>
      <c r="C10" t="s">
        <v>128</v>
      </c>
      <c r="E10">
        <v>599</v>
      </c>
    </row>
    <row r="11" spans="2:5" ht="12.75">
      <c r="B11" t="s">
        <v>130</v>
      </c>
      <c r="E11">
        <v>8.2</v>
      </c>
    </row>
    <row r="12" spans="2:5" ht="12.75">
      <c r="B12" t="s">
        <v>131</v>
      </c>
      <c r="E12">
        <v>8.4</v>
      </c>
    </row>
    <row r="15" spans="2:5" ht="12.75">
      <c r="B15" s="6"/>
      <c r="C15" s="12"/>
      <c r="D15" s="12"/>
      <c r="E15" s="12"/>
    </row>
    <row r="16" spans="2:4" ht="12.75">
      <c r="B16" s="12"/>
      <c r="C16" s="12"/>
      <c r="D16" s="12"/>
    </row>
    <row r="17" spans="2:4" ht="14.25">
      <c r="B17" s="12"/>
      <c r="C17" s="7"/>
      <c r="D17" s="7"/>
    </row>
    <row r="18" spans="2:4" ht="14.25">
      <c r="B18" s="12"/>
      <c r="C18" s="7"/>
      <c r="D18" s="7"/>
    </row>
    <row r="19" spans="2:4" ht="12.75">
      <c r="B19" s="12"/>
      <c r="C19" s="12"/>
      <c r="D19" s="12"/>
    </row>
    <row r="20" spans="2:4" ht="12.75">
      <c r="B20" s="12"/>
      <c r="C20" s="12"/>
      <c r="D20" s="12"/>
    </row>
    <row r="21" spans="2:4" ht="12.75">
      <c r="B21" s="12"/>
      <c r="C21" s="12"/>
      <c r="D21" s="12"/>
    </row>
    <row r="28" spans="2:5" ht="12.75">
      <c r="B28" s="6"/>
      <c r="C28" s="12"/>
      <c r="D28" s="12"/>
      <c r="E28" s="12"/>
    </row>
    <row r="29" spans="2:4" ht="12.75">
      <c r="B29" s="12"/>
      <c r="C29" s="12"/>
      <c r="D29" s="12"/>
    </row>
    <row r="30" spans="2:4" ht="14.25">
      <c r="B30" s="12"/>
      <c r="C30" s="7"/>
      <c r="D30" s="7"/>
    </row>
    <row r="31" spans="2:4" ht="14.25">
      <c r="B31" s="12"/>
      <c r="C31" s="7"/>
      <c r="D31" s="7"/>
    </row>
    <row r="32" spans="2:4" ht="12.75">
      <c r="B32" s="12"/>
      <c r="C32" s="12"/>
      <c r="D32" s="12"/>
    </row>
    <row r="33" spans="2:4" ht="12.75">
      <c r="B33" s="12"/>
      <c r="C33" s="12"/>
      <c r="D33" s="12"/>
    </row>
    <row r="34" spans="2:4" ht="12.75">
      <c r="B34" s="12"/>
      <c r="C34" s="12"/>
      <c r="D34" s="1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32"/>
  <sheetViews>
    <sheetView workbookViewId="0" topLeftCell="C1">
      <selection activeCell="B31" sqref="B3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7.00390625" style="0" customWidth="1"/>
  </cols>
  <sheetData>
    <row r="1" ht="12.75">
      <c r="C1" s="6" t="s">
        <v>254</v>
      </c>
    </row>
    <row r="3" ht="12.75">
      <c r="C3" s="16" t="s">
        <v>166</v>
      </c>
    </row>
    <row r="5" spans="1:31" s="80" customFormat="1" ht="12.75">
      <c r="A5" s="80" t="s">
        <v>166</v>
      </c>
      <c r="B5" s="80" t="s">
        <v>241</v>
      </c>
      <c r="C5" s="80" t="s">
        <v>246</v>
      </c>
      <c r="D5" s="80" t="s">
        <v>242</v>
      </c>
      <c r="E5" s="81">
        <v>2676</v>
      </c>
      <c r="F5" s="81">
        <v>2705</v>
      </c>
      <c r="G5" s="81">
        <v>2721</v>
      </c>
      <c r="H5" s="81">
        <v>2730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s="80" customFormat="1" ht="12.75">
      <c r="A6" s="80" t="s">
        <v>166</v>
      </c>
      <c r="B6" s="80" t="s">
        <v>243</v>
      </c>
      <c r="C6" s="80" t="s">
        <v>247</v>
      </c>
      <c r="D6" s="80" t="s">
        <v>242</v>
      </c>
      <c r="E6" s="81">
        <v>1985</v>
      </c>
      <c r="F6" s="81">
        <v>1982</v>
      </c>
      <c r="G6" s="81">
        <v>2064</v>
      </c>
      <c r="H6" s="81">
        <v>1986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22" s="80" customFormat="1" ht="12.75">
      <c r="A7" s="80" t="s">
        <v>166</v>
      </c>
      <c r="B7" s="80" t="s">
        <v>243</v>
      </c>
      <c r="C7" s="80" t="s">
        <v>249</v>
      </c>
      <c r="D7" s="80" t="s">
        <v>242</v>
      </c>
      <c r="E7" s="81">
        <v>171</v>
      </c>
      <c r="F7" s="81">
        <v>172</v>
      </c>
      <c r="G7" s="81">
        <v>178</v>
      </c>
      <c r="H7" s="81">
        <v>181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s="80" customFormat="1" ht="12.75">
      <c r="A8" s="80" t="s">
        <v>166</v>
      </c>
      <c r="B8" s="80" t="s">
        <v>241</v>
      </c>
      <c r="C8" s="80" t="s">
        <v>248</v>
      </c>
      <c r="D8" s="80" t="s">
        <v>242</v>
      </c>
      <c r="E8" s="81">
        <v>1128</v>
      </c>
      <c r="F8" s="81">
        <v>1158</v>
      </c>
      <c r="G8" s="81">
        <v>1273</v>
      </c>
      <c r="H8" s="81">
        <v>1296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3" s="80" customFormat="1" ht="12.75">
      <c r="A9" s="80" t="s">
        <v>166</v>
      </c>
      <c r="B9" s="80" t="s">
        <v>244</v>
      </c>
      <c r="C9" s="80" t="s">
        <v>250</v>
      </c>
      <c r="D9" s="80" t="s">
        <v>126</v>
      </c>
      <c r="E9" s="81">
        <v>5.9</v>
      </c>
      <c r="F9" s="81">
        <v>6.2</v>
      </c>
      <c r="G9" s="81">
        <v>6.7</v>
      </c>
      <c r="H9" s="81">
        <v>6.9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s="80" customFormat="1" ht="12.75">
      <c r="A10" s="80" t="s">
        <v>166</v>
      </c>
      <c r="B10" s="80" t="s">
        <v>245</v>
      </c>
      <c r="C10" s="80" t="s">
        <v>251</v>
      </c>
      <c r="D10" s="80" t="s">
        <v>126</v>
      </c>
      <c r="E10" s="81">
        <v>9.2</v>
      </c>
      <c r="F10" s="81">
        <v>8.8</v>
      </c>
      <c r="G10" s="81">
        <v>9.3</v>
      </c>
      <c r="H10" s="81">
        <v>9.1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s="80" customFormat="1" ht="12.75">
      <c r="A11" s="80" t="s">
        <v>166</v>
      </c>
      <c r="B11" s="80" t="s">
        <v>243</v>
      </c>
      <c r="C11" s="80" t="s">
        <v>127</v>
      </c>
      <c r="D11" s="80" t="s">
        <v>126</v>
      </c>
      <c r="E11" s="81">
        <v>28</v>
      </c>
      <c r="F11" s="81">
        <v>30</v>
      </c>
      <c r="G11" s="81">
        <v>26</v>
      </c>
      <c r="H11" s="81">
        <v>24.9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2" s="80" customFormat="1" ht="12.75">
      <c r="A12" s="80" t="s">
        <v>166</v>
      </c>
      <c r="B12" s="80" t="s">
        <v>243</v>
      </c>
      <c r="C12" s="80" t="s">
        <v>253</v>
      </c>
      <c r="E12" s="81">
        <v>9.01</v>
      </c>
      <c r="F12" s="81">
        <v>9</v>
      </c>
      <c r="G12" s="81">
        <v>8.79</v>
      </c>
      <c r="H12" s="81">
        <v>8.89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80" customFormat="1" ht="12.75">
      <c r="A13" s="80" t="s">
        <v>166</v>
      </c>
      <c r="B13" s="80" t="s">
        <v>241</v>
      </c>
      <c r="C13" s="80" t="s">
        <v>252</v>
      </c>
      <c r="E13" s="81">
        <v>9.58</v>
      </c>
      <c r="F13" s="81">
        <v>9.97</v>
      </c>
      <c r="G13" s="81">
        <v>9.45</v>
      </c>
      <c r="H13" s="81">
        <v>9.14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5:22" s="80" customFormat="1" ht="12.75"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3:22" s="80" customFormat="1" ht="12.75">
      <c r="C15" s="16" t="s">
        <v>172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5:22" s="80" customFormat="1" ht="12.75"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31" s="80" customFormat="1" ht="12.75">
      <c r="A17" s="80" t="s">
        <v>172</v>
      </c>
      <c r="B17" s="80" t="s">
        <v>241</v>
      </c>
      <c r="C17" s="80" t="s">
        <v>246</v>
      </c>
      <c r="D17" s="80" t="s">
        <v>242</v>
      </c>
      <c r="E17" s="81">
        <v>2701</v>
      </c>
      <c r="F17" s="81">
        <v>2701</v>
      </c>
      <c r="G17" s="81">
        <v>2699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s="80" customFormat="1" ht="12.75">
      <c r="A18" s="80" t="s">
        <v>172</v>
      </c>
      <c r="B18" s="80" t="s">
        <v>243</v>
      </c>
      <c r="C18" s="80" t="s">
        <v>247</v>
      </c>
      <c r="D18" s="80" t="s">
        <v>242</v>
      </c>
      <c r="E18" s="81">
        <v>2001</v>
      </c>
      <c r="F18" s="81">
        <v>2000</v>
      </c>
      <c r="G18" s="81">
        <v>1998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22" s="80" customFormat="1" ht="12.75">
      <c r="A19" s="80" t="s">
        <v>172</v>
      </c>
      <c r="B19" s="80" t="s">
        <v>243</v>
      </c>
      <c r="C19" s="80" t="s">
        <v>249</v>
      </c>
      <c r="D19" s="80" t="s">
        <v>242</v>
      </c>
      <c r="E19" s="81">
        <v>184</v>
      </c>
      <c r="F19" s="81">
        <v>180</v>
      </c>
      <c r="G19" s="81">
        <v>181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80" customFormat="1" ht="12.75">
      <c r="A20" s="80" t="s">
        <v>172</v>
      </c>
      <c r="B20" s="80" t="s">
        <v>241</v>
      </c>
      <c r="C20" s="80" t="s">
        <v>248</v>
      </c>
      <c r="D20" s="80" t="s">
        <v>242</v>
      </c>
      <c r="E20" s="81">
        <v>808</v>
      </c>
      <c r="F20" s="81">
        <v>811</v>
      </c>
      <c r="G20" s="81">
        <v>815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3" s="80" customFormat="1" ht="12.75">
      <c r="A21" s="80" t="s">
        <v>172</v>
      </c>
      <c r="B21" s="80" t="s">
        <v>244</v>
      </c>
      <c r="C21" s="80" t="s">
        <v>250</v>
      </c>
      <c r="D21" s="80" t="s">
        <v>126</v>
      </c>
      <c r="E21" s="81">
        <v>4.2</v>
      </c>
      <c r="F21" s="81">
        <v>4.2</v>
      </c>
      <c r="G21" s="81">
        <v>4.1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s="80" customFormat="1" ht="12.75">
      <c r="A22" s="80" t="s">
        <v>172</v>
      </c>
      <c r="B22" s="80" t="s">
        <v>245</v>
      </c>
      <c r="C22" s="80" t="s">
        <v>251</v>
      </c>
      <c r="D22" s="80" t="s">
        <v>126</v>
      </c>
      <c r="E22" s="81">
        <v>9</v>
      </c>
      <c r="F22" s="81">
        <v>9</v>
      </c>
      <c r="G22" s="81">
        <v>9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s="80" customFormat="1" ht="12.75">
      <c r="A23" s="80" t="s">
        <v>172</v>
      </c>
      <c r="B23" s="80" t="s">
        <v>243</v>
      </c>
      <c r="C23" s="80" t="s">
        <v>127</v>
      </c>
      <c r="D23" s="80" t="s">
        <v>126</v>
      </c>
      <c r="E23" s="81">
        <v>31.9</v>
      </c>
      <c r="F23" s="81">
        <v>32</v>
      </c>
      <c r="G23" s="81">
        <v>32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1:22" s="80" customFormat="1" ht="12.75">
      <c r="A24" s="80" t="s">
        <v>172</v>
      </c>
      <c r="B24" s="80" t="s">
        <v>241</v>
      </c>
      <c r="C24" s="80" t="s">
        <v>253</v>
      </c>
      <c r="E24" s="81">
        <v>9.27</v>
      </c>
      <c r="F24" s="81">
        <v>9.25</v>
      </c>
      <c r="G24" s="81">
        <v>9.27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80" customFormat="1" ht="12.75">
      <c r="A25" s="80" t="s">
        <v>172</v>
      </c>
      <c r="B25" s="80" t="s">
        <v>243</v>
      </c>
      <c r="C25" s="80" t="s">
        <v>252</v>
      </c>
      <c r="E25" s="81">
        <v>9.55</v>
      </c>
      <c r="F25" s="81">
        <v>9.34</v>
      </c>
      <c r="G25" s="81">
        <v>9.28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5:22" s="80" customFormat="1" ht="12.75"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3:22" s="80" customFormat="1" ht="12.75">
      <c r="C27" s="16" t="s">
        <v>174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5:22" s="80" customFormat="1" ht="12.75"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31" s="80" customFormat="1" ht="12.75">
      <c r="A29" s="80" t="s">
        <v>174</v>
      </c>
      <c r="B29" s="80" t="s">
        <v>241</v>
      </c>
      <c r="C29" s="80" t="s">
        <v>246</v>
      </c>
      <c r="D29" s="80" t="s">
        <v>242</v>
      </c>
      <c r="E29" s="81">
        <v>2710.34</v>
      </c>
      <c r="F29" s="81">
        <v>2710.52</v>
      </c>
      <c r="G29" s="81">
        <v>2708.42</v>
      </c>
      <c r="H29" s="81">
        <v>2710.3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s="80" customFormat="1" ht="12.75">
      <c r="A30" s="80" t="s">
        <v>174</v>
      </c>
      <c r="B30" s="80" t="s">
        <v>243</v>
      </c>
      <c r="C30" s="80" t="s">
        <v>247</v>
      </c>
      <c r="D30" s="80" t="s">
        <v>242</v>
      </c>
      <c r="E30" s="81">
        <v>2024.19</v>
      </c>
      <c r="F30" s="81">
        <v>2007.59</v>
      </c>
      <c r="G30" s="81">
        <v>2014.95</v>
      </c>
      <c r="H30" s="81">
        <v>2001.98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22" s="80" customFormat="1" ht="12.75">
      <c r="A31" s="80" t="s">
        <v>174</v>
      </c>
      <c r="B31" s="80" t="s">
        <v>241</v>
      </c>
      <c r="C31" s="80" t="s">
        <v>249</v>
      </c>
      <c r="D31" s="80" t="s">
        <v>242</v>
      </c>
      <c r="E31" s="81">
        <v>190.48</v>
      </c>
      <c r="F31" s="81">
        <v>182.03</v>
      </c>
      <c r="G31" s="81">
        <v>183.31</v>
      </c>
      <c r="H31" s="81">
        <v>184.24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3" s="80" customFormat="1" ht="12.75">
      <c r="A32" s="80" t="s">
        <v>174</v>
      </c>
      <c r="B32" s="80" t="s">
        <v>245</v>
      </c>
      <c r="C32" s="80" t="s">
        <v>251</v>
      </c>
      <c r="D32" s="80" t="s">
        <v>126</v>
      </c>
      <c r="E32" s="81">
        <v>4.46</v>
      </c>
      <c r="F32" s="81">
        <v>5.4</v>
      </c>
      <c r="G32" s="81">
        <v>10.5</v>
      </c>
      <c r="H32" s="81">
        <v>4.12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2004-02-25T17:04:34Z</cp:lastPrinted>
  <dcterms:created xsi:type="dcterms:W3CDTF">2000-01-10T00:44:42Z</dcterms:created>
  <dcterms:modified xsi:type="dcterms:W3CDTF">2004-02-25T17:07:44Z</dcterms:modified>
  <cp:category/>
  <cp:version/>
  <cp:contentType/>
  <cp:contentStatus/>
</cp:coreProperties>
</file>