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tabRatio="740" activeTab="0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  <sheet name="process 2" sheetId="6" r:id="rId6"/>
  </sheets>
  <definedNames>
    <definedName name="_xlnm.Print_Titles" localSheetId="4">'feed 2'!$B:$B</definedName>
  </definedNames>
  <calcPr fullCalcOnLoad="1"/>
</workbook>
</file>

<file path=xl/sharedStrings.xml><?xml version="1.0" encoding="utf-8"?>
<sst xmlns="http://schemas.openxmlformats.org/spreadsheetml/2006/main" count="425" uniqueCount="125">
  <si>
    <t>342C1</t>
  </si>
  <si>
    <t>R1</t>
  </si>
  <si>
    <t>Chlorine</t>
  </si>
  <si>
    <t>Feedrate</t>
  </si>
  <si>
    <t>gpm</t>
  </si>
  <si>
    <t>Ash</t>
  </si>
  <si>
    <t>Heating value</t>
  </si>
  <si>
    <t>R2</t>
  </si>
  <si>
    <t>R3</t>
  </si>
  <si>
    <t>342C2</t>
  </si>
  <si>
    <t>PM</t>
  </si>
  <si>
    <t>y</t>
  </si>
  <si>
    <t/>
  </si>
  <si>
    <t>Arsenic</t>
  </si>
  <si>
    <t>Cadmium</t>
  </si>
  <si>
    <t>Chromium</t>
  </si>
  <si>
    <t>Lead</t>
  </si>
  <si>
    <t>Mercury</t>
  </si>
  <si>
    <t>HCl</t>
  </si>
  <si>
    <t>gr/dscf</t>
  </si>
  <si>
    <t>ug/dscm</t>
  </si>
  <si>
    <t>ppmv</t>
  </si>
  <si>
    <t>Particulate</t>
  </si>
  <si>
    <t>Oxygen</t>
  </si>
  <si>
    <t>Halogens</t>
  </si>
  <si>
    <t>lb/hr</t>
  </si>
  <si>
    <t>Btu/lb</t>
  </si>
  <si>
    <t>Sampling Train</t>
  </si>
  <si>
    <t>Cond Avg</t>
  </si>
  <si>
    <t>SVM</t>
  </si>
  <si>
    <t>LVM</t>
  </si>
  <si>
    <t>Stack Gas Flowrate</t>
  </si>
  <si>
    <t>dscfm</t>
  </si>
  <si>
    <t>%</t>
  </si>
  <si>
    <t>mg/dscm</t>
  </si>
  <si>
    <t>Total</t>
  </si>
  <si>
    <t>Solvent primary</t>
  </si>
  <si>
    <t>Solvent secondary</t>
  </si>
  <si>
    <t>Rad waste solid</t>
  </si>
  <si>
    <t>Cond Descr</t>
  </si>
  <si>
    <t>Report Name/Date</t>
  </si>
  <si>
    <t>Report Prepare</t>
  </si>
  <si>
    <t>Testing Firm</t>
  </si>
  <si>
    <t>WW Engineering Science</t>
  </si>
  <si>
    <t>Trial burn, PART./METALS TESTING, HIGH SOLID FEED</t>
  </si>
  <si>
    <t>Trial burn, POHC TESTING, HIGH LIQUID HW FEED</t>
  </si>
  <si>
    <t>Hazardous Waste Trial Burn Performed for the Upjohn Company, Kalamazoo, MI, December 4-6, 1990, report dated March 3, 1992</t>
  </si>
  <si>
    <t>Carbon Tetrachloride</t>
  </si>
  <si>
    <t>Toluene</t>
  </si>
  <si>
    <t>Condition Description</t>
  </si>
  <si>
    <t>342</t>
  </si>
  <si>
    <t>MID000820381</t>
  </si>
  <si>
    <t>UPJOHN CO.</t>
  </si>
  <si>
    <t>KALAMAZOO</t>
  </si>
  <si>
    <t>MI</t>
  </si>
  <si>
    <t>WHB/QC/S/VS/DM</t>
  </si>
  <si>
    <t>?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</si>
  <si>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</si>
  <si>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</si>
  <si>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</si>
  <si>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</si>
  <si>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</si>
  <si>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</si>
  <si>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</si>
  <si>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</si>
  <si>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</si>
  <si>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</si>
  <si>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</si>
  <si>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</si>
  <si>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</si>
  <si>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</si>
  <si>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</si>
  <si>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</si>
  <si>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</si>
  <si>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</si>
  <si>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</si>
  <si>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</si>
  <si>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</si>
  <si>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</si>
  <si>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Source Description</t>
  </si>
  <si>
    <t>Combustor Class</t>
  </si>
  <si>
    <t>Combustor Type</t>
  </si>
  <si>
    <t>Rotary kiln</t>
  </si>
  <si>
    <t>Rotary kiln, afterburner.  Kiln: 5.5' diameter, 12' long.  Made by C&amp;H Combustion.</t>
  </si>
  <si>
    <t>Stack Gas Emissions 2</t>
  </si>
  <si>
    <t>Feedstream 2</t>
  </si>
  <si>
    <t>34210</t>
  </si>
  <si>
    <t>F</t>
  </si>
  <si>
    <t>34211</t>
  </si>
  <si>
    <t>Kiln Temperature</t>
  </si>
  <si>
    <t>Afterburner Temperature</t>
  </si>
  <si>
    <t>Process Information 2</t>
  </si>
  <si>
    <t>Waste heat boiler, quench, scrubber, venturi scrubber, demister.  Ceilcote packed tower, 16' height, 2" Tellerette packing</t>
  </si>
  <si>
    <t>E1</t>
  </si>
  <si>
    <t xml:space="preserve">   Stack Gas Flowrate</t>
  </si>
  <si>
    <t xml:space="preserve">   O2</t>
  </si>
  <si>
    <t xml:space="preserve">   Moisture</t>
  </si>
  <si>
    <t xml:space="preserve">   Temperature</t>
  </si>
  <si>
    <t>°F</t>
  </si>
  <si>
    <t>Testing Dates</t>
  </si>
  <si>
    <t>Cond Dates</t>
  </si>
  <si>
    <t>December 4-6, 1990</t>
  </si>
  <si>
    <t>Onsite incinerator</t>
  </si>
  <si>
    <t>Number of Sister Facilities</t>
  </si>
  <si>
    <t>APCS Detailed Acronym</t>
  </si>
  <si>
    <t>APCS General Class</t>
  </si>
  <si>
    <t>WHB, WQ, HEWS, LEWS</t>
  </si>
  <si>
    <t>Liq, sludge</t>
  </si>
  <si>
    <t>source</t>
  </si>
  <si>
    <t>cond</t>
  </si>
  <si>
    <t>emiss 2</t>
  </si>
  <si>
    <t>feed 2</t>
  </si>
  <si>
    <t>process 2</t>
  </si>
  <si>
    <t>Feedstream Description</t>
  </si>
  <si>
    <t>Feedstream Number</t>
  </si>
  <si>
    <t>Feed Class</t>
  </si>
  <si>
    <t>F1</t>
  </si>
  <si>
    <t>Solid HW</t>
  </si>
  <si>
    <t>F2</t>
  </si>
  <si>
    <t>Liq HW</t>
  </si>
  <si>
    <t>F3</t>
  </si>
  <si>
    <t>F4</t>
  </si>
  <si>
    <t>Feed Class 2</t>
  </si>
  <si>
    <t>HW</t>
  </si>
  <si>
    <t>Total Chlorine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</si>
</sst>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"/>
    <numFmt numFmtId="171" formatCode="mm/dd/yy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0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C1" sqref="C1"/>
    </sheetView>
  </sheetViews>
  <sheetFormatPr defaultColWidth="9.140625" defaultRowHeight="12.75"/>
  <sheetData>
    <row r="1" ht="12.75">
      <c r="A1" t="s">
        <v>108</v>
      </c>
    </row>
    <row r="2" ht="12.75">
      <c r="A2" t="s">
        <v>109</v>
      </c>
    </row>
    <row r="3" ht="12.75">
      <c r="A3" t="s">
        <v>110</v>
      </c>
    </row>
    <row r="4" ht="12.75">
      <c r="A4" t="s">
        <v>111</v>
      </c>
    </row>
    <row r="5" ht="12.75">
      <c r="A5" t="s">
        <v>112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C1" sqref="C1"/>
    </sheetView>
  </sheetViews>
  <sheetFormatPr defaultColWidth="9.140625" defaultRowHeight="12.75"/>
  <cols>
    <col min="1" max="1" width="2.57421875" style="0" hidden="1" customWidth="1"/>
    <col min="2" max="2" width="27.57421875" style="0" customWidth="1"/>
    <col min="3" max="3" width="56.8515625" style="0" customWidth="1"/>
  </cols>
  <sheetData>
    <row r="1" ht="12.75">
      <c r="B1" s="9" t="s">
        <v>79</v>
      </c>
    </row>
    <row r="3" spans="2:3" ht="12.75">
      <c r="B3" t="s">
        <v>57</v>
      </c>
      <c r="C3" t="s">
        <v>50</v>
      </c>
    </row>
    <row r="4" spans="2:3" ht="12.75">
      <c r="B4" t="s">
        <v>58</v>
      </c>
      <c r="C4" t="s">
        <v>51</v>
      </c>
    </row>
    <row r="5" spans="2:3" ht="12.75">
      <c r="B5" t="s">
        <v>59</v>
      </c>
      <c r="C5" t="s">
        <v>52</v>
      </c>
    </row>
    <row r="6" ht="12.75">
      <c r="B6" t="s">
        <v>60</v>
      </c>
    </row>
    <row r="7" spans="2:3" ht="12.75">
      <c r="B7" t="s">
        <v>61</v>
      </c>
      <c r="C7" t="s">
        <v>53</v>
      </c>
    </row>
    <row r="8" spans="2:3" ht="12.75">
      <c r="B8" t="s">
        <v>62</v>
      </c>
      <c r="C8" t="s">
        <v>54</v>
      </c>
    </row>
    <row r="9" ht="12.75">
      <c r="B9" t="s">
        <v>63</v>
      </c>
    </row>
    <row r="10" ht="12.75">
      <c r="B10" t="s">
        <v>64</v>
      </c>
    </row>
    <row r="11" spans="2:3" ht="12.75">
      <c r="B11" s="24" t="s">
        <v>103</v>
      </c>
      <c r="C11" s="25">
        <v>0</v>
      </c>
    </row>
    <row r="12" spans="2:3" ht="12.75">
      <c r="B12" t="s">
        <v>80</v>
      </c>
      <c r="C12" t="s">
        <v>102</v>
      </c>
    </row>
    <row r="13" spans="2:3" ht="12.75">
      <c r="B13" t="s">
        <v>81</v>
      </c>
      <c r="C13" t="s">
        <v>82</v>
      </c>
    </row>
    <row r="14" spans="2:3" ht="25.5">
      <c r="B14" s="17" t="s">
        <v>65</v>
      </c>
      <c r="C14" s="17" t="s">
        <v>83</v>
      </c>
    </row>
    <row r="15" ht="12.75">
      <c r="B15" t="s">
        <v>66</v>
      </c>
    </row>
    <row r="16" ht="12.75">
      <c r="B16" t="s">
        <v>67</v>
      </c>
    </row>
    <row r="17" spans="2:3" ht="12.75">
      <c r="B17" s="24" t="s">
        <v>104</v>
      </c>
      <c r="C17" t="s">
        <v>55</v>
      </c>
    </row>
    <row r="18" spans="2:3" ht="12.75">
      <c r="B18" s="24" t="s">
        <v>105</v>
      </c>
      <c r="C18" t="s">
        <v>106</v>
      </c>
    </row>
    <row r="19" spans="2:3" ht="25.5">
      <c r="B19" s="17" t="s">
        <v>68</v>
      </c>
      <c r="C19" s="17" t="s">
        <v>92</v>
      </c>
    </row>
    <row r="20" spans="2:3" ht="12.75">
      <c r="B20" t="s">
        <v>69</v>
      </c>
      <c r="C20" t="s">
        <v>107</v>
      </c>
    </row>
    <row r="21" ht="12.75">
      <c r="B21" t="s">
        <v>70</v>
      </c>
    </row>
    <row r="22" spans="2:3" ht="12.75">
      <c r="B22" t="s">
        <v>71</v>
      </c>
      <c r="C22" t="s">
        <v>56</v>
      </c>
    </row>
    <row r="24" ht="12.75">
      <c r="B24" t="s">
        <v>72</v>
      </c>
    </row>
    <row r="25" spans="2:3" ht="12.75">
      <c r="B25" t="s">
        <v>73</v>
      </c>
      <c r="C25" s="19">
        <v>1.8332438710334644</v>
      </c>
    </row>
    <row r="26" spans="2:3" ht="12.75">
      <c r="B26" t="s">
        <v>74</v>
      </c>
      <c r="C26" s="19">
        <v>55.997267333333326</v>
      </c>
    </row>
    <row r="27" spans="2:3" ht="12.75">
      <c r="B27" t="s">
        <v>75</v>
      </c>
      <c r="C27" s="19">
        <v>10.989689459032796</v>
      </c>
    </row>
    <row r="28" spans="2:3" ht="12.75">
      <c r="B28" t="s">
        <v>76</v>
      </c>
      <c r="C28" s="19">
        <v>115</v>
      </c>
    </row>
    <row r="30" ht="12.75">
      <c r="B30" t="s">
        <v>77</v>
      </c>
    </row>
    <row r="31" ht="12.75">
      <c r="B31" t="s">
        <v>78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B1">
      <selection activeCell="C1" sqref="C1"/>
    </sheetView>
  </sheetViews>
  <sheetFormatPr defaultColWidth="9.140625" defaultRowHeight="12.75"/>
  <cols>
    <col min="1" max="1" width="1.421875" style="0" hidden="1" customWidth="1"/>
    <col min="2" max="2" width="17.00390625" style="0" customWidth="1"/>
    <col min="3" max="3" width="65.140625" style="16" customWidth="1"/>
  </cols>
  <sheetData>
    <row r="1" ht="12.75">
      <c r="B1" s="9" t="s">
        <v>49</v>
      </c>
    </row>
    <row r="3" ht="12.75">
      <c r="B3" s="9" t="s">
        <v>0</v>
      </c>
    </row>
    <row r="5" spans="2:3" s="17" customFormat="1" ht="25.5">
      <c r="B5" s="17" t="s">
        <v>40</v>
      </c>
      <c r="C5" s="18" t="s">
        <v>46</v>
      </c>
    </row>
    <row r="6" spans="2:3" ht="12.75">
      <c r="B6" t="s">
        <v>41</v>
      </c>
      <c r="C6" s="16" t="s">
        <v>43</v>
      </c>
    </row>
    <row r="7" ht="12.75">
      <c r="B7" t="s">
        <v>42</v>
      </c>
    </row>
    <row r="8" spans="1:3" ht="12.75">
      <c r="A8" t="s">
        <v>0</v>
      </c>
      <c r="B8" t="s">
        <v>39</v>
      </c>
      <c r="C8" s="16" t="s">
        <v>44</v>
      </c>
    </row>
    <row r="9" spans="2:5" ht="12.75">
      <c r="B9" t="s">
        <v>99</v>
      </c>
      <c r="C9" s="16" t="s">
        <v>101</v>
      </c>
      <c r="E9" s="15"/>
    </row>
    <row r="10" spans="2:5" ht="12.75">
      <c r="B10" t="s">
        <v>100</v>
      </c>
      <c r="C10" s="23">
        <v>33208</v>
      </c>
      <c r="E10" s="15"/>
    </row>
    <row r="11" ht="12.75">
      <c r="E11" s="15"/>
    </row>
    <row r="12" spans="2:5" ht="12.75">
      <c r="B12" s="9" t="s">
        <v>9</v>
      </c>
      <c r="E12" s="15"/>
    </row>
    <row r="13" ht="12.75">
      <c r="E13" s="15"/>
    </row>
    <row r="14" spans="2:3" s="17" customFormat="1" ht="25.5">
      <c r="B14" s="17" t="s">
        <v>40</v>
      </c>
      <c r="C14" s="18" t="s">
        <v>46</v>
      </c>
    </row>
    <row r="15" spans="2:3" ht="12.75">
      <c r="B15" t="s">
        <v>41</v>
      </c>
      <c r="C15" s="16" t="s">
        <v>43</v>
      </c>
    </row>
    <row r="16" ht="12.75">
      <c r="B16" t="s">
        <v>42</v>
      </c>
    </row>
    <row r="17" spans="1:3" ht="12.75">
      <c r="A17" t="s">
        <v>9</v>
      </c>
      <c r="B17" t="s">
        <v>39</v>
      </c>
      <c r="C17" s="16" t="s">
        <v>45</v>
      </c>
    </row>
    <row r="18" spans="2:3" ht="12.75">
      <c r="B18" t="s">
        <v>99</v>
      </c>
      <c r="C18" s="16" t="s">
        <v>101</v>
      </c>
    </row>
    <row r="19" spans="2:3" ht="12.75">
      <c r="B19" t="s">
        <v>100</v>
      </c>
      <c r="C19" s="23">
        <v>33208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K34"/>
  <sheetViews>
    <sheetView workbookViewId="0" topLeftCell="B1">
      <selection activeCell="C1" sqref="C1"/>
    </sheetView>
  </sheetViews>
  <sheetFormatPr defaultColWidth="9.140625" defaultRowHeight="12.75"/>
  <cols>
    <col min="1" max="1" width="9.140625" style="0" hidden="1" customWidth="1"/>
    <col min="2" max="2" width="18.7109375" style="0" customWidth="1"/>
    <col min="3" max="3" width="5.7109375" style="0" customWidth="1"/>
    <col min="5" max="5" width="3.00390625" style="0" customWidth="1"/>
    <col min="6" max="6" width="1.8515625" style="0" customWidth="1"/>
    <col min="8" max="8" width="2.28125" style="0" customWidth="1"/>
    <col min="10" max="10" width="2.00390625" style="0" customWidth="1"/>
    <col min="12" max="12" width="2.140625" style="0" customWidth="1"/>
    <col min="14" max="14" width="2.421875" style="0" hidden="1" customWidth="1"/>
    <col min="15" max="15" width="0" style="0" hidden="1" customWidth="1"/>
    <col min="16" max="16" width="2.28125" style="0" hidden="1" customWidth="1"/>
    <col min="17" max="24" width="0" style="0" hidden="1" customWidth="1"/>
  </cols>
  <sheetData>
    <row r="1" ht="12.75">
      <c r="B1" s="9" t="s">
        <v>84</v>
      </c>
    </row>
    <row r="2" ht="12.75">
      <c r="B2" s="9"/>
    </row>
    <row r="4" spans="2:13" ht="12.75">
      <c r="B4" s="9" t="s">
        <v>0</v>
      </c>
      <c r="G4" s="20" t="s">
        <v>1</v>
      </c>
      <c r="H4" s="20"/>
      <c r="I4" s="20" t="s">
        <v>7</v>
      </c>
      <c r="J4" s="20"/>
      <c r="K4" s="20" t="s">
        <v>8</v>
      </c>
      <c r="L4" s="20"/>
      <c r="M4" s="20" t="s">
        <v>28</v>
      </c>
    </row>
    <row r="6" spans="1:24" s="1" customFormat="1" ht="12.75">
      <c r="A6" s="1" t="s">
        <v>0</v>
      </c>
      <c r="B6" s="1" t="s">
        <v>10</v>
      </c>
      <c r="C6" s="1" t="s">
        <v>93</v>
      </c>
      <c r="D6" s="1" t="s">
        <v>19</v>
      </c>
      <c r="E6" s="1" t="s">
        <v>11</v>
      </c>
      <c r="F6" s="2" t="s">
        <v>12</v>
      </c>
      <c r="G6" s="3">
        <v>0.0035973836890416644</v>
      </c>
      <c r="H6" s="3" t="s">
        <v>12</v>
      </c>
      <c r="I6" s="3">
        <v>0.0055552434463046136</v>
      </c>
      <c r="J6" s="3" t="s">
        <v>12</v>
      </c>
      <c r="K6" s="3">
        <v>0.002185508626506024</v>
      </c>
      <c r="L6" s="3" t="s">
        <v>12</v>
      </c>
      <c r="M6" s="3">
        <f aca="true" t="shared" si="0" ref="M6:M13">AVERAGE(G6,I6,K6)</f>
        <v>0.003779378587284101</v>
      </c>
      <c r="N6" s="3" t="s">
        <v>12</v>
      </c>
      <c r="O6" s="3"/>
      <c r="P6" s="3" t="s">
        <v>12</v>
      </c>
      <c r="Q6" s="3"/>
      <c r="R6" s="3" t="s">
        <v>12</v>
      </c>
      <c r="S6" s="3"/>
      <c r="T6" s="3" t="s">
        <v>12</v>
      </c>
      <c r="U6" s="3"/>
      <c r="V6" s="2" t="s">
        <v>12</v>
      </c>
      <c r="W6" s="2"/>
      <c r="X6" s="1">
        <v>0.003779378587284101</v>
      </c>
    </row>
    <row r="7" spans="1:24" s="1" customFormat="1" ht="12.75">
      <c r="A7" s="1" t="s">
        <v>0</v>
      </c>
      <c r="B7" s="1" t="s">
        <v>13</v>
      </c>
      <c r="C7" s="1" t="s">
        <v>93</v>
      </c>
      <c r="D7" s="1" t="s">
        <v>20</v>
      </c>
      <c r="E7" s="1" t="s">
        <v>11</v>
      </c>
      <c r="F7" s="2" t="s">
        <v>12</v>
      </c>
      <c r="G7" s="4">
        <v>0.5376780304461148</v>
      </c>
      <c r="H7" s="4" t="s">
        <v>12</v>
      </c>
      <c r="I7" s="4">
        <v>0.30443827837893</v>
      </c>
      <c r="J7" s="4" t="s">
        <v>12</v>
      </c>
      <c r="K7" s="4">
        <v>0.37125627309237</v>
      </c>
      <c r="L7" s="2" t="s">
        <v>12</v>
      </c>
      <c r="M7" s="4">
        <f t="shared" si="0"/>
        <v>0.4044575273058049</v>
      </c>
      <c r="N7" s="2" t="s">
        <v>12</v>
      </c>
      <c r="O7" s="2"/>
      <c r="P7" s="2" t="s">
        <v>12</v>
      </c>
      <c r="Q7" s="2"/>
      <c r="R7" s="2" t="s">
        <v>12</v>
      </c>
      <c r="S7" s="2"/>
      <c r="T7" s="2" t="s">
        <v>12</v>
      </c>
      <c r="U7" s="2"/>
      <c r="V7" s="2" t="s">
        <v>12</v>
      </c>
      <c r="W7" s="2"/>
      <c r="X7" s="1">
        <v>0.4044575273058049</v>
      </c>
    </row>
    <row r="8" spans="1:24" s="1" customFormat="1" ht="12.75">
      <c r="A8" s="1" t="s">
        <v>0</v>
      </c>
      <c r="B8" s="1" t="s">
        <v>14</v>
      </c>
      <c r="C8" s="1" t="s">
        <v>93</v>
      </c>
      <c r="D8" s="1" t="s">
        <v>20</v>
      </c>
      <c r="E8" s="1" t="s">
        <v>11</v>
      </c>
      <c r="F8" s="2" t="s">
        <v>12</v>
      </c>
      <c r="G8" s="4">
        <v>1.0235883730593434</v>
      </c>
      <c r="H8" s="4" t="s">
        <v>12</v>
      </c>
      <c r="I8" s="4">
        <v>0.5754916802776644</v>
      </c>
      <c r="J8" s="4" t="s">
        <v>12</v>
      </c>
      <c r="K8" s="4">
        <v>0.8215671164658634</v>
      </c>
      <c r="L8" s="2" t="s">
        <v>12</v>
      </c>
      <c r="M8" s="4">
        <f t="shared" si="0"/>
        <v>0.8068823899342904</v>
      </c>
      <c r="N8" s="2" t="s">
        <v>12</v>
      </c>
      <c r="O8" s="2"/>
      <c r="P8" s="2" t="s">
        <v>12</v>
      </c>
      <c r="Q8" s="2"/>
      <c r="R8" s="2" t="s">
        <v>12</v>
      </c>
      <c r="S8" s="2"/>
      <c r="T8" s="2" t="s">
        <v>12</v>
      </c>
      <c r="U8" s="2"/>
      <c r="V8" s="2" t="s">
        <v>12</v>
      </c>
      <c r="W8" s="2"/>
      <c r="X8" s="1">
        <v>0.8068823899342904</v>
      </c>
    </row>
    <row r="9" spans="1:24" s="1" customFormat="1" ht="12.75">
      <c r="A9" s="1" t="s">
        <v>0</v>
      </c>
      <c r="B9" s="1" t="s">
        <v>15</v>
      </c>
      <c r="C9" s="1" t="s">
        <v>93</v>
      </c>
      <c r="D9" s="1" t="s">
        <v>20</v>
      </c>
      <c r="E9" s="1" t="s">
        <v>11</v>
      </c>
      <c r="F9" s="2" t="s">
        <v>12</v>
      </c>
      <c r="G9" s="4">
        <v>5.870926415593245</v>
      </c>
      <c r="H9" s="4" t="s">
        <v>12</v>
      </c>
      <c r="I9" s="4">
        <v>1.2241121376071868</v>
      </c>
      <c r="J9" s="4" t="s">
        <v>12</v>
      </c>
      <c r="K9" s="4">
        <v>1.3909601606425703</v>
      </c>
      <c r="L9" s="2" t="s">
        <v>12</v>
      </c>
      <c r="M9" s="4">
        <f t="shared" si="0"/>
        <v>2.8286662379476675</v>
      </c>
      <c r="N9" s="2" t="s">
        <v>12</v>
      </c>
      <c r="O9" s="2"/>
      <c r="P9" s="2" t="s">
        <v>12</v>
      </c>
      <c r="Q9" s="2"/>
      <c r="R9" s="2" t="s">
        <v>12</v>
      </c>
      <c r="S9" s="2"/>
      <c r="T9" s="2" t="s">
        <v>12</v>
      </c>
      <c r="U9" s="2"/>
      <c r="V9" s="2" t="s">
        <v>12</v>
      </c>
      <c r="W9" s="2"/>
      <c r="X9" s="1">
        <v>2.8286662379476675</v>
      </c>
    </row>
    <row r="10" spans="1:24" s="1" customFormat="1" ht="12.75">
      <c r="A10" s="1" t="s">
        <v>0</v>
      </c>
      <c r="B10" s="1" t="s">
        <v>16</v>
      </c>
      <c r="C10" s="1" t="s">
        <v>93</v>
      </c>
      <c r="D10" s="1" t="s">
        <v>20</v>
      </c>
      <c r="E10" s="1" t="s">
        <v>11</v>
      </c>
      <c r="F10" s="2" t="s">
        <v>12</v>
      </c>
      <c r="G10" s="4">
        <v>29.060497488006643</v>
      </c>
      <c r="H10" s="4" t="s">
        <v>12</v>
      </c>
      <c r="I10" s="4">
        <v>18.759121069824417</v>
      </c>
      <c r="J10" s="4" t="s">
        <v>12</v>
      </c>
      <c r="K10" s="4">
        <v>11.808151004016</v>
      </c>
      <c r="L10" s="2" t="s">
        <v>12</v>
      </c>
      <c r="M10" s="4">
        <f t="shared" si="0"/>
        <v>19.875923187282353</v>
      </c>
      <c r="N10" s="2" t="s">
        <v>12</v>
      </c>
      <c r="O10" s="2"/>
      <c r="P10" s="2" t="s">
        <v>12</v>
      </c>
      <c r="Q10" s="2"/>
      <c r="R10" s="2" t="s">
        <v>12</v>
      </c>
      <c r="S10" s="2"/>
      <c r="T10" s="2" t="s">
        <v>12</v>
      </c>
      <c r="U10" s="2"/>
      <c r="V10" s="2" t="s">
        <v>12</v>
      </c>
      <c r="W10" s="2"/>
      <c r="X10" s="1">
        <v>19.875923187282353</v>
      </c>
    </row>
    <row r="11" spans="1:24" s="1" customFormat="1" ht="12.75">
      <c r="A11" s="1" t="s">
        <v>0</v>
      </c>
      <c r="B11" s="1" t="s">
        <v>17</v>
      </c>
      <c r="C11" s="1" t="s">
        <v>93</v>
      </c>
      <c r="D11" s="1" t="s">
        <v>20</v>
      </c>
      <c r="E11" s="1" t="s">
        <v>11</v>
      </c>
      <c r="F11" s="2" t="s">
        <v>12</v>
      </c>
      <c r="G11" s="4">
        <v>6.706268651078457</v>
      </c>
      <c r="H11" s="4" t="s">
        <v>12</v>
      </c>
      <c r="I11" s="4">
        <v>4.3718290628828</v>
      </c>
      <c r="J11" s="4" t="s">
        <v>12</v>
      </c>
      <c r="K11" s="4">
        <v>7.665291244979921</v>
      </c>
      <c r="L11" s="2" t="s">
        <v>12</v>
      </c>
      <c r="M11" s="4">
        <f t="shared" si="0"/>
        <v>6.247796319647058</v>
      </c>
      <c r="N11" s="2" t="s">
        <v>12</v>
      </c>
      <c r="O11" s="2"/>
      <c r="P11" s="2" t="s">
        <v>12</v>
      </c>
      <c r="Q11" s="2"/>
      <c r="R11" s="2" t="s">
        <v>12</v>
      </c>
      <c r="S11" s="2"/>
      <c r="T11" s="2" t="s">
        <v>12</v>
      </c>
      <c r="U11" s="2"/>
      <c r="V11" s="2" t="s">
        <v>12</v>
      </c>
      <c r="W11" s="2"/>
      <c r="X11" s="1">
        <v>6.247796319647059</v>
      </c>
    </row>
    <row r="12" spans="2:23" s="1" customFormat="1" ht="12.75">
      <c r="B12" s="1" t="s">
        <v>29</v>
      </c>
      <c r="C12" s="1" t="s">
        <v>93</v>
      </c>
      <c r="D12" s="1" t="s">
        <v>20</v>
      </c>
      <c r="E12" s="1" t="s">
        <v>11</v>
      </c>
      <c r="F12" s="2"/>
      <c r="G12" s="4">
        <f>G10+G8</f>
        <v>30.084085861065986</v>
      </c>
      <c r="H12" s="4"/>
      <c r="I12" s="4">
        <f>I10+I8</f>
        <v>19.33461275010208</v>
      </c>
      <c r="J12" s="4"/>
      <c r="K12" s="4">
        <f>K10+K8</f>
        <v>12.629718120481863</v>
      </c>
      <c r="L12" s="2"/>
      <c r="M12" s="4">
        <f t="shared" si="0"/>
        <v>20.682805577216644</v>
      </c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2:23" s="1" customFormat="1" ht="12.75">
      <c r="B13" s="1" t="s">
        <v>30</v>
      </c>
      <c r="C13" s="1" t="s">
        <v>93</v>
      </c>
      <c r="D13" s="1" t="s">
        <v>20</v>
      </c>
      <c r="E13" s="1" t="s">
        <v>11</v>
      </c>
      <c r="F13" s="2"/>
      <c r="G13" s="4">
        <f>G7+G9</f>
        <v>6.40860444603936</v>
      </c>
      <c r="H13" s="4"/>
      <c r="I13" s="4">
        <f>I7+I9</f>
        <v>1.5285504159861167</v>
      </c>
      <c r="J13" s="4"/>
      <c r="K13" s="4">
        <f>K7+K9</f>
        <v>1.7622164337349404</v>
      </c>
      <c r="L13" s="2"/>
      <c r="M13" s="4">
        <f t="shared" si="0"/>
        <v>3.233123765253472</v>
      </c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6:23" s="1" customFormat="1" ht="12.75">
      <c r="F14" s="2"/>
      <c r="G14" s="4"/>
      <c r="H14" s="4"/>
      <c r="I14" s="4"/>
      <c r="J14" s="4"/>
      <c r="K14" s="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23" s="1" customFormat="1" ht="12.75">
      <c r="B15" s="1" t="s">
        <v>27</v>
      </c>
      <c r="C15" s="1" t="s">
        <v>22</v>
      </c>
      <c r="D15" s="1" t="s">
        <v>93</v>
      </c>
      <c r="F15" s="2"/>
      <c r="G15" s="4"/>
      <c r="H15" s="4"/>
      <c r="I15" s="4"/>
      <c r="J15" s="4"/>
      <c r="K15" s="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2:63" s="1" customFormat="1" ht="12.75">
      <c r="B16" s="22" t="s">
        <v>94</v>
      </c>
      <c r="C16" s="22"/>
      <c r="D16" s="22" t="s">
        <v>32</v>
      </c>
      <c r="G16" s="4">
        <v>4604</v>
      </c>
      <c r="H16" s="4"/>
      <c r="I16" s="4">
        <v>5056</v>
      </c>
      <c r="J16" s="4"/>
      <c r="K16" s="4">
        <v>4980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2:63" s="1" customFormat="1" ht="12.75">
      <c r="B17" s="22" t="s">
        <v>95</v>
      </c>
      <c r="C17" s="22"/>
      <c r="D17" s="22" t="s">
        <v>33</v>
      </c>
      <c r="G17" s="4">
        <v>14.1</v>
      </c>
      <c r="H17" s="4"/>
      <c r="I17" s="4">
        <v>11.7</v>
      </c>
      <c r="J17" s="4"/>
      <c r="K17" s="4">
        <v>13.5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1:63" s="1" customFormat="1" ht="12.75">
      <c r="A18" s="1" t="s">
        <v>0</v>
      </c>
      <c r="B18" s="22" t="s">
        <v>96</v>
      </c>
      <c r="C18" s="22"/>
      <c r="D18" s="22" t="s">
        <v>33</v>
      </c>
      <c r="G18" s="4">
        <v>4.67</v>
      </c>
      <c r="H18" s="4"/>
      <c r="I18" s="4">
        <v>4.83</v>
      </c>
      <c r="J18" s="4"/>
      <c r="K18" s="4">
        <v>3.08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2:63" s="1" customFormat="1" ht="12.75">
      <c r="B19" s="22" t="s">
        <v>97</v>
      </c>
      <c r="C19" s="22"/>
      <c r="D19" s="22" t="s">
        <v>98</v>
      </c>
      <c r="G19" s="4">
        <v>116</v>
      </c>
      <c r="H19" s="4"/>
      <c r="I19" s="4">
        <v>119</v>
      </c>
      <c r="J19" s="4"/>
      <c r="K19" s="4">
        <v>118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6:23" s="1" customFormat="1" ht="12.75">
      <c r="F20" s="2"/>
      <c r="G20" s="4"/>
      <c r="H20" s="4"/>
      <c r="I20" s="4"/>
      <c r="J20" s="4"/>
      <c r="K20" s="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6:23" s="1" customFormat="1" ht="12.75">
      <c r="F21" s="2"/>
      <c r="G21" s="4"/>
      <c r="H21" s="4"/>
      <c r="I21" s="4"/>
      <c r="J21" s="4"/>
      <c r="K21" s="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3" s="1" customFormat="1" ht="12.75">
      <c r="B22" s="10" t="s">
        <v>9</v>
      </c>
      <c r="F22" s="2"/>
      <c r="G22" s="20" t="s">
        <v>1</v>
      </c>
      <c r="H22" s="20"/>
      <c r="I22" s="20" t="s">
        <v>7</v>
      </c>
      <c r="J22" s="20"/>
      <c r="K22" s="20" t="s">
        <v>8</v>
      </c>
      <c r="L22" s="20"/>
      <c r="M22" s="20" t="s">
        <v>28</v>
      </c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6:23" s="1" customFormat="1" ht="12.75">
      <c r="F23" s="2"/>
      <c r="G23" s="4"/>
      <c r="H23" s="4"/>
      <c r="I23" s="4"/>
      <c r="J23" s="4"/>
      <c r="K23" s="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4" s="1" customFormat="1" ht="12.75">
      <c r="A24" s="1" t="s">
        <v>9</v>
      </c>
      <c r="B24" s="1" t="s">
        <v>18</v>
      </c>
      <c r="C24" s="1" t="s">
        <v>93</v>
      </c>
      <c r="D24" s="1" t="s">
        <v>21</v>
      </c>
      <c r="E24" s="1" t="s">
        <v>11</v>
      </c>
      <c r="F24" s="2" t="s">
        <v>12</v>
      </c>
      <c r="G24" s="4">
        <v>0.20859819308737734</v>
      </c>
      <c r="H24" s="4" t="s">
        <v>12</v>
      </c>
      <c r="I24" s="4">
        <v>0.207080324092422</v>
      </c>
      <c r="J24" s="4" t="s">
        <v>12</v>
      </c>
      <c r="K24" s="4">
        <v>0.25180650954511</v>
      </c>
      <c r="L24" s="2" t="s">
        <v>12</v>
      </c>
      <c r="M24" s="4">
        <v>0.25180650954511</v>
      </c>
      <c r="N24" s="2" t="s">
        <v>12</v>
      </c>
      <c r="O24" s="2"/>
      <c r="P24" s="2" t="s">
        <v>12</v>
      </c>
      <c r="Q24" s="2"/>
      <c r="R24" s="2" t="s">
        <v>12</v>
      </c>
      <c r="S24" s="2"/>
      <c r="T24" s="2" t="s">
        <v>12</v>
      </c>
      <c r="U24" s="2"/>
      <c r="V24" s="2" t="s">
        <v>12</v>
      </c>
      <c r="W24" s="2"/>
      <c r="X24" s="1">
        <v>0.22249500890830312</v>
      </c>
    </row>
    <row r="25" spans="2:23" s="1" customFormat="1" ht="12.75">
      <c r="B25" s="1" t="s">
        <v>124</v>
      </c>
      <c r="C25" s="1" t="s">
        <v>93</v>
      </c>
      <c r="D25" s="1" t="s">
        <v>21</v>
      </c>
      <c r="E25" s="1" t="s">
        <v>11</v>
      </c>
      <c r="F25" s="2"/>
      <c r="G25" s="4">
        <f>G24</f>
        <v>0.20859819308737734</v>
      </c>
      <c r="H25" s="4"/>
      <c r="I25" s="4">
        <f>I24</f>
        <v>0.207080324092422</v>
      </c>
      <c r="J25" s="4"/>
      <c r="K25" s="4">
        <f>K24</f>
        <v>0.25180650954511</v>
      </c>
      <c r="L25" s="2"/>
      <c r="M25" s="4">
        <f>M24</f>
        <v>0.25180650954511</v>
      </c>
      <c r="N25" s="2"/>
      <c r="O25" s="2"/>
      <c r="P25" s="2"/>
      <c r="Q25" s="2"/>
      <c r="R25" s="2"/>
      <c r="S25" s="2"/>
      <c r="T25" s="2"/>
      <c r="U25" s="2"/>
      <c r="V25" s="2"/>
      <c r="W25" s="2"/>
    </row>
    <row r="27" spans="2:4" ht="12.75">
      <c r="B27" t="s">
        <v>27</v>
      </c>
      <c r="C27" s="1" t="s">
        <v>24</v>
      </c>
      <c r="D27" t="s">
        <v>93</v>
      </c>
    </row>
    <row r="28" spans="2:63" s="1" customFormat="1" ht="12.75">
      <c r="B28" s="22" t="s">
        <v>94</v>
      </c>
      <c r="C28" s="22"/>
      <c r="D28" s="22" t="s">
        <v>32</v>
      </c>
      <c r="G28" s="4">
        <v>4937</v>
      </c>
      <c r="H28" s="4"/>
      <c r="I28" s="4">
        <v>5079</v>
      </c>
      <c r="J28" s="4"/>
      <c r="K28" s="4">
        <v>5235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2:63" s="1" customFormat="1" ht="12.75">
      <c r="B29" s="22" t="s">
        <v>95</v>
      </c>
      <c r="C29" s="22"/>
      <c r="D29" s="22" t="s">
        <v>33</v>
      </c>
      <c r="G29" s="4">
        <v>11.4</v>
      </c>
      <c r="H29" s="4"/>
      <c r="I29" s="4">
        <v>11.6</v>
      </c>
      <c r="J29" s="4"/>
      <c r="K29" s="4">
        <v>13.5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1:63" s="1" customFormat="1" ht="12.75">
      <c r="A30" s="1" t="s">
        <v>9</v>
      </c>
      <c r="B30" s="22" t="s">
        <v>96</v>
      </c>
      <c r="C30" s="22"/>
      <c r="D30" s="22" t="s">
        <v>33</v>
      </c>
      <c r="G30" s="4">
        <v>3.41</v>
      </c>
      <c r="H30" s="4"/>
      <c r="I30" s="4">
        <v>2.79</v>
      </c>
      <c r="J30" s="4"/>
      <c r="K30" s="4">
        <v>3.08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2:63" s="1" customFormat="1" ht="12.75">
      <c r="B31" s="22" t="s">
        <v>97</v>
      </c>
      <c r="C31" s="22"/>
      <c r="D31" s="22" t="s">
        <v>98</v>
      </c>
      <c r="G31" s="4">
        <v>117</v>
      </c>
      <c r="H31" s="4"/>
      <c r="I31" s="4">
        <v>118</v>
      </c>
      <c r="J31" s="4"/>
      <c r="K31" s="4">
        <v>110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3" spans="1:57" s="5" customFormat="1" ht="12.75">
      <c r="A33" s="5" t="s">
        <v>9</v>
      </c>
      <c r="B33" s="5" t="s">
        <v>47</v>
      </c>
      <c r="C33" s="5" t="s">
        <v>93</v>
      </c>
      <c r="D33" s="5" t="s">
        <v>33</v>
      </c>
      <c r="G33" s="6">
        <v>99.999</v>
      </c>
      <c r="H33" s="6"/>
      <c r="I33" s="6">
        <v>99.999</v>
      </c>
      <c r="J33" s="6"/>
      <c r="K33" s="6">
        <v>99.999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</row>
    <row r="34" spans="1:57" s="5" customFormat="1" ht="12.75">
      <c r="A34" s="5" t="s">
        <v>9</v>
      </c>
      <c r="B34" s="5" t="s">
        <v>48</v>
      </c>
      <c r="C34" s="5" t="s">
        <v>93</v>
      </c>
      <c r="D34" s="5" t="s">
        <v>33</v>
      </c>
      <c r="G34" s="6">
        <v>99.999</v>
      </c>
      <c r="H34" s="6"/>
      <c r="I34" s="6">
        <v>99.99</v>
      </c>
      <c r="J34" s="6"/>
      <c r="K34" s="6">
        <v>99.999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38"/>
  <sheetViews>
    <sheetView workbookViewId="0" topLeftCell="B1">
      <selection activeCell="C1" sqref="C1"/>
    </sheetView>
  </sheetViews>
  <sheetFormatPr defaultColWidth="9.140625" defaultRowHeight="12.75"/>
  <cols>
    <col min="1" max="1" width="7.28125" style="5" hidden="1" customWidth="1"/>
    <col min="2" max="2" width="19.57421875" style="5" customWidth="1"/>
    <col min="3" max="3" width="2.8515625" style="5" customWidth="1"/>
    <col min="4" max="4" width="8.421875" style="5" customWidth="1"/>
    <col min="5" max="5" width="1.57421875" style="5" customWidth="1"/>
    <col min="6" max="6" width="9.28125" style="5" customWidth="1"/>
    <col min="7" max="7" width="1.57421875" style="5" customWidth="1"/>
    <col min="8" max="8" width="7.421875" style="5" customWidth="1"/>
    <col min="9" max="9" width="1.7109375" style="5" customWidth="1"/>
    <col min="10" max="10" width="8.8515625" style="5" customWidth="1"/>
    <col min="11" max="11" width="2.140625" style="5" customWidth="1"/>
    <col min="12" max="12" width="7.8515625" style="5" customWidth="1"/>
    <col min="13" max="13" width="1.7109375" style="5" customWidth="1"/>
    <col min="14" max="14" width="8.28125" style="5" customWidth="1"/>
    <col min="15" max="15" width="2.00390625" style="5" customWidth="1"/>
    <col min="16" max="16" width="8.00390625" style="5" customWidth="1"/>
    <col min="17" max="17" width="2.00390625" style="5" customWidth="1"/>
    <col min="18" max="18" width="8.421875" style="5" customWidth="1"/>
    <col min="19" max="19" width="1.8515625" style="5" customWidth="1"/>
    <col min="20" max="20" width="8.00390625" style="5" customWidth="1"/>
    <col min="21" max="21" width="2.28125" style="5" customWidth="1"/>
    <col min="22" max="22" width="8.57421875" style="5" customWidth="1"/>
    <col min="23" max="23" width="1.421875" style="5" customWidth="1"/>
    <col min="24" max="24" width="8.421875" style="5" customWidth="1"/>
    <col min="25" max="25" width="1.57421875" style="5" customWidth="1"/>
    <col min="26" max="26" width="8.7109375" style="5" customWidth="1"/>
    <col min="27" max="27" width="1.7109375" style="5" customWidth="1"/>
    <col min="28" max="28" width="8.8515625" style="5" customWidth="1"/>
    <col min="29" max="29" width="1.8515625" style="5" customWidth="1"/>
    <col min="30" max="30" width="8.00390625" style="5" customWidth="1"/>
    <col min="31" max="31" width="2.140625" style="5" customWidth="1"/>
    <col min="32" max="32" width="7.8515625" style="5" customWidth="1"/>
    <col min="33" max="33" width="1.421875" style="5" customWidth="1"/>
    <col min="34" max="34" width="8.00390625" style="5" customWidth="1"/>
    <col min="35" max="35" width="2.57421875" style="5" customWidth="1"/>
    <col min="36" max="36" width="7.8515625" style="5" customWidth="1"/>
    <col min="37" max="16384" width="9.140625" style="5" customWidth="1"/>
  </cols>
  <sheetData>
    <row r="1" ht="12.75">
      <c r="B1" s="14" t="s">
        <v>85</v>
      </c>
    </row>
    <row r="4" spans="2:36" ht="12.75">
      <c r="B4" s="14" t="s">
        <v>0</v>
      </c>
      <c r="F4" s="21" t="s">
        <v>1</v>
      </c>
      <c r="G4" s="21"/>
      <c r="H4" s="21" t="s">
        <v>7</v>
      </c>
      <c r="I4" s="21"/>
      <c r="J4" s="21" t="s">
        <v>8</v>
      </c>
      <c r="K4" s="21"/>
      <c r="L4" s="21" t="s">
        <v>1</v>
      </c>
      <c r="M4" s="21"/>
      <c r="N4" s="21" t="s">
        <v>7</v>
      </c>
      <c r="O4" s="21"/>
      <c r="P4" s="21" t="s">
        <v>8</v>
      </c>
      <c r="Q4" s="21"/>
      <c r="R4" s="21" t="s">
        <v>1</v>
      </c>
      <c r="S4" s="21"/>
      <c r="T4" s="21" t="s">
        <v>7</v>
      </c>
      <c r="U4" s="21"/>
      <c r="V4" s="21" t="s">
        <v>8</v>
      </c>
      <c r="W4" s="21"/>
      <c r="X4" s="21" t="s">
        <v>1</v>
      </c>
      <c r="Y4" s="21"/>
      <c r="Z4" s="21" t="s">
        <v>7</v>
      </c>
      <c r="AA4" s="21"/>
      <c r="AB4" s="21" t="s">
        <v>8</v>
      </c>
      <c r="AC4" s="21"/>
      <c r="AD4" s="21" t="s">
        <v>28</v>
      </c>
      <c r="AF4" s="21" t="s">
        <v>1</v>
      </c>
      <c r="AG4" s="21"/>
      <c r="AH4" s="21" t="s">
        <v>7</v>
      </c>
      <c r="AI4" s="21"/>
      <c r="AJ4" s="21" t="s">
        <v>8</v>
      </c>
    </row>
    <row r="6" spans="2:30" ht="12.75">
      <c r="B6" s="5" t="s">
        <v>114</v>
      </c>
      <c r="F6" s="5" t="s">
        <v>116</v>
      </c>
      <c r="H6" s="5" t="s">
        <v>116</v>
      </c>
      <c r="J6" s="5" t="s">
        <v>116</v>
      </c>
      <c r="L6" s="5" t="s">
        <v>118</v>
      </c>
      <c r="N6" s="5" t="s">
        <v>118</v>
      </c>
      <c r="P6" s="5" t="s">
        <v>118</v>
      </c>
      <c r="R6" s="5" t="s">
        <v>120</v>
      </c>
      <c r="T6" s="5" t="s">
        <v>120</v>
      </c>
      <c r="V6" s="5" t="s">
        <v>120</v>
      </c>
      <c r="X6" s="5" t="s">
        <v>121</v>
      </c>
      <c r="Z6" s="5" t="s">
        <v>121</v>
      </c>
      <c r="AB6" s="5" t="s">
        <v>121</v>
      </c>
      <c r="AD6" s="5" t="s">
        <v>121</v>
      </c>
    </row>
    <row r="7" spans="2:30" ht="12.75">
      <c r="B7" s="5" t="s">
        <v>115</v>
      </c>
      <c r="F7" s="5" t="s">
        <v>117</v>
      </c>
      <c r="H7" s="5" t="s">
        <v>117</v>
      </c>
      <c r="J7" s="5" t="s">
        <v>117</v>
      </c>
      <c r="L7" s="5" t="s">
        <v>119</v>
      </c>
      <c r="N7" s="5" t="s">
        <v>119</v>
      </c>
      <c r="P7" s="5" t="s">
        <v>119</v>
      </c>
      <c r="R7" s="5" t="s">
        <v>119</v>
      </c>
      <c r="T7" s="5" t="s">
        <v>119</v>
      </c>
      <c r="V7" s="5" t="s">
        <v>119</v>
      </c>
      <c r="X7" s="5" t="s">
        <v>35</v>
      </c>
      <c r="Z7" s="5" t="s">
        <v>35</v>
      </c>
      <c r="AB7" s="5" t="s">
        <v>35</v>
      </c>
      <c r="AD7" s="5" t="s">
        <v>35</v>
      </c>
    </row>
    <row r="8" spans="2:36" ht="12.75">
      <c r="B8" s="5" t="s">
        <v>122</v>
      </c>
      <c r="X8" s="5" t="s">
        <v>35</v>
      </c>
      <c r="Z8" s="5" t="s">
        <v>35</v>
      </c>
      <c r="AB8" s="5" t="s">
        <v>35</v>
      </c>
      <c r="AD8" s="5" t="s">
        <v>35</v>
      </c>
      <c r="AF8" s="5" t="s">
        <v>123</v>
      </c>
      <c r="AH8" s="5" t="s">
        <v>123</v>
      </c>
      <c r="AJ8" s="5" t="s">
        <v>123</v>
      </c>
    </row>
    <row r="9" spans="2:30" ht="12.75">
      <c r="B9" s="5" t="s">
        <v>113</v>
      </c>
      <c r="F9" s="5" t="s">
        <v>38</v>
      </c>
      <c r="H9" s="5" t="s">
        <v>38</v>
      </c>
      <c r="J9" s="5" t="s">
        <v>38</v>
      </c>
      <c r="L9" s="5" t="s">
        <v>36</v>
      </c>
      <c r="N9" s="5" t="s">
        <v>36</v>
      </c>
      <c r="P9" s="5" t="s">
        <v>36</v>
      </c>
      <c r="R9" s="5" t="s">
        <v>37</v>
      </c>
      <c r="T9" s="5" t="s">
        <v>37</v>
      </c>
      <c r="V9" s="5" t="s">
        <v>37</v>
      </c>
      <c r="X9" s="5" t="s">
        <v>35</v>
      </c>
      <c r="Z9" s="5" t="s">
        <v>35</v>
      </c>
      <c r="AB9" s="5" t="s">
        <v>35</v>
      </c>
      <c r="AD9" s="5" t="s">
        <v>35</v>
      </c>
    </row>
    <row r="10" spans="2:23" ht="12.75">
      <c r="B10" s="5" t="s">
        <v>3</v>
      </c>
      <c r="D10" s="5" t="s">
        <v>25</v>
      </c>
      <c r="F10" s="7">
        <f>1170.6/3.53*0.454</f>
        <v>150.55308781869687</v>
      </c>
      <c r="G10" s="7"/>
      <c r="H10" s="7">
        <f>1023.65/3.27*0.454</f>
        <v>142.1214373088685</v>
      </c>
      <c r="I10" s="7"/>
      <c r="J10" s="7">
        <f>1016/3.25*0.454</f>
        <v>141.92738461538463</v>
      </c>
      <c r="K10" s="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2.75">
      <c r="A11" s="5" t="s">
        <v>0</v>
      </c>
      <c r="B11" s="5" t="s">
        <v>3</v>
      </c>
      <c r="D11" s="5" t="s">
        <v>4</v>
      </c>
      <c r="L11" s="8">
        <f>138.41/3.53/60</f>
        <v>0.6534938621340888</v>
      </c>
      <c r="M11" s="8"/>
      <c r="N11" s="8">
        <f>147.76/3.27/60</f>
        <v>0.7531090723751274</v>
      </c>
      <c r="O11" s="8"/>
      <c r="P11" s="8">
        <f>150.85/3.25/60</f>
        <v>0.7735897435897435</v>
      </c>
      <c r="Q11" s="8"/>
      <c r="R11" s="8">
        <f>239.11/3.53/60</f>
        <v>1.128942398489141</v>
      </c>
      <c r="S11" s="8"/>
      <c r="T11" s="8">
        <f>197.5/3.27/60</f>
        <v>1.0066258919469928</v>
      </c>
      <c r="U11" s="8"/>
      <c r="V11" s="8">
        <f>185.19/3.25/60</f>
        <v>0.9496923076923077</v>
      </c>
      <c r="W11" s="8"/>
    </row>
    <row r="12" spans="1:23" ht="12.75">
      <c r="A12" s="5" t="s">
        <v>0</v>
      </c>
      <c r="B12" s="5" t="s">
        <v>6</v>
      </c>
      <c r="D12" s="5" t="s">
        <v>26</v>
      </c>
      <c r="F12" s="6"/>
      <c r="G12" s="6"/>
      <c r="H12" s="6"/>
      <c r="I12" s="6"/>
      <c r="J12" s="6"/>
      <c r="K12" s="6"/>
      <c r="L12" s="6">
        <v>12402</v>
      </c>
      <c r="M12" s="6"/>
      <c r="N12" s="6">
        <v>12203</v>
      </c>
      <c r="O12" s="6"/>
      <c r="P12" s="6">
        <v>12244</v>
      </c>
      <c r="Q12" s="6"/>
      <c r="R12" s="6">
        <v>12402</v>
      </c>
      <c r="S12" s="6"/>
      <c r="T12" s="6">
        <v>12203</v>
      </c>
      <c r="U12" s="6"/>
      <c r="V12" s="6">
        <v>12244</v>
      </c>
      <c r="W12" s="6"/>
    </row>
    <row r="13" spans="1:23" ht="12.75">
      <c r="A13" s="5" t="s">
        <v>0</v>
      </c>
      <c r="B13" s="5" t="s">
        <v>5</v>
      </c>
      <c r="D13" s="5" t="s">
        <v>25</v>
      </c>
      <c r="F13" s="8">
        <f>1.02/100*F10</f>
        <v>1.535641495750708</v>
      </c>
      <c r="G13" s="8"/>
      <c r="H13" s="8">
        <f>1.3/100*H10</f>
        <v>1.8475786850152907</v>
      </c>
      <c r="I13" s="8"/>
      <c r="J13" s="8">
        <f>0.42/100*J10</f>
        <v>0.5960950153846154</v>
      </c>
      <c r="K13" s="8"/>
      <c r="L13" s="8">
        <f>0.034/100*L11*8*60</f>
        <v>0.10665019830028329</v>
      </c>
      <c r="M13" s="8"/>
      <c r="N13" s="8">
        <f>0.034/100*N11*8*60</f>
        <v>0.1229074006116208</v>
      </c>
      <c r="O13" s="8"/>
      <c r="P13" s="8">
        <f>0.034/100*P11*8*60</f>
        <v>0.12624984615384616</v>
      </c>
      <c r="Q13" s="8"/>
      <c r="R13" s="8">
        <f>0.034/100*R11*8*60</f>
        <v>0.18424339943342782</v>
      </c>
      <c r="S13" s="8"/>
      <c r="T13" s="8">
        <f>0.034/100*T11*8*60</f>
        <v>0.16428134556574925</v>
      </c>
      <c r="U13" s="8"/>
      <c r="V13" s="8">
        <f>0.034/100*V11*8*60</f>
        <v>0.15498978461538462</v>
      </c>
      <c r="W13" s="8"/>
    </row>
    <row r="14" spans="1:23" ht="12.75">
      <c r="A14" s="5" t="s">
        <v>0</v>
      </c>
      <c r="B14" s="5" t="s">
        <v>2</v>
      </c>
      <c r="D14" s="5" t="s">
        <v>25</v>
      </c>
      <c r="F14" s="13">
        <f>1/1000000*F10</f>
        <v>0.00015055308781869686</v>
      </c>
      <c r="G14" s="13"/>
      <c r="H14" s="13">
        <f>12/1000000*H10</f>
        <v>0.001705457247706422</v>
      </c>
      <c r="I14" s="13"/>
      <c r="J14" s="13">
        <f>12/1000000*J10</f>
        <v>0.0017031286153846156</v>
      </c>
      <c r="K14" s="13"/>
      <c r="L14" s="8">
        <f>5.8/100*L11*60*8</f>
        <v>18.193269121813028</v>
      </c>
      <c r="M14" s="8"/>
      <c r="N14" s="8">
        <f>5.8/100*N11*60*8</f>
        <v>20.966556574923544</v>
      </c>
      <c r="O14" s="8"/>
      <c r="P14" s="8">
        <f>5.8/100*P11*60*8</f>
        <v>21.53673846153846</v>
      </c>
      <c r="Q14" s="8"/>
      <c r="R14" s="8">
        <f>5.8/100*R11*60*8</f>
        <v>31.42975637393768</v>
      </c>
      <c r="S14" s="6"/>
      <c r="T14" s="8">
        <f>5.8/100*T11*60*8</f>
        <v>28.02446483180428</v>
      </c>
      <c r="U14" s="6"/>
      <c r="V14" s="8">
        <f>5.8/100*V11*60*8</f>
        <v>26.439433846153843</v>
      </c>
      <c r="W14" s="6"/>
    </row>
    <row r="15" spans="6:23" ht="12.75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2:23" ht="12.75">
      <c r="B16" s="5" t="s">
        <v>31</v>
      </c>
      <c r="D16" s="5" t="s">
        <v>32</v>
      </c>
      <c r="F16" s="5">
        <f>'emiss 2'!$G$16</f>
        <v>4604</v>
      </c>
      <c r="H16" s="6">
        <f>'emiss 2'!$I$16</f>
        <v>5056</v>
      </c>
      <c r="I16" s="6"/>
      <c r="J16" s="6">
        <f>'emiss 2'!$K$16</f>
        <v>4980</v>
      </c>
      <c r="K16" s="6"/>
      <c r="L16" s="5">
        <f>'emiss 2'!$G$16</f>
        <v>4604</v>
      </c>
      <c r="N16" s="6">
        <f>'emiss 2'!$I$16</f>
        <v>5056</v>
      </c>
      <c r="O16" s="6"/>
      <c r="P16" s="6">
        <f>'emiss 2'!$K$16</f>
        <v>4980</v>
      </c>
      <c r="Q16" s="6"/>
      <c r="R16" s="5">
        <f>'emiss 2'!$G$16</f>
        <v>4604</v>
      </c>
      <c r="T16" s="6">
        <f>'emiss 2'!$I$16</f>
        <v>5056</v>
      </c>
      <c r="U16" s="6"/>
      <c r="V16" s="6">
        <f>'emiss 2'!$K$16</f>
        <v>4980</v>
      </c>
      <c r="W16" s="6"/>
    </row>
    <row r="17" spans="2:23" ht="12.75">
      <c r="B17" s="5" t="s">
        <v>23</v>
      </c>
      <c r="D17" s="5" t="s">
        <v>33</v>
      </c>
      <c r="F17" s="5">
        <f>'emiss 2'!$G$17</f>
        <v>14.1</v>
      </c>
      <c r="H17" s="6">
        <f>'emiss 2'!$I$17</f>
        <v>11.7</v>
      </c>
      <c r="I17" s="6"/>
      <c r="J17" s="6">
        <f>'emiss 2'!$K$17</f>
        <v>13.5</v>
      </c>
      <c r="K17" s="6"/>
      <c r="L17" s="5">
        <f>'emiss 2'!$G$17</f>
        <v>14.1</v>
      </c>
      <c r="N17" s="6">
        <f>'emiss 2'!$I$17</f>
        <v>11.7</v>
      </c>
      <c r="O17" s="6"/>
      <c r="P17" s="6">
        <f>'emiss 2'!$K$17</f>
        <v>13.5</v>
      </c>
      <c r="Q17" s="6"/>
      <c r="R17" s="5">
        <f>'emiss 2'!$G$17</f>
        <v>14.1</v>
      </c>
      <c r="T17" s="6">
        <f>'emiss 2'!$I$17</f>
        <v>11.7</v>
      </c>
      <c r="U17" s="6"/>
      <c r="V17" s="6">
        <f>'emiss 2'!$K$17</f>
        <v>13.5</v>
      </c>
      <c r="W17" s="6"/>
    </row>
    <row r="18" spans="8:23" ht="12.7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2:36" ht="12.75">
      <c r="B19" s="5" t="s">
        <v>5</v>
      </c>
      <c r="D19" s="5" t="s">
        <v>34</v>
      </c>
      <c r="F19" s="12">
        <f aca="true" t="shared" si="0" ref="F19:V19">F13*454/60/0.0283/F16*(21-7)/(21-F17)*1000</f>
        <v>180.94710366040698</v>
      </c>
      <c r="G19" s="12"/>
      <c r="H19" s="12">
        <f t="shared" si="0"/>
        <v>147.08186634800344</v>
      </c>
      <c r="I19" s="12"/>
      <c r="J19" s="12">
        <f t="shared" si="0"/>
        <v>59.7408072460177</v>
      </c>
      <c r="K19" s="12"/>
      <c r="L19" s="12">
        <f t="shared" si="0"/>
        <v>12.56676414426425</v>
      </c>
      <c r="M19" s="12"/>
      <c r="N19" s="12">
        <f t="shared" si="0"/>
        <v>9.784400532737967</v>
      </c>
      <c r="O19" s="12"/>
      <c r="P19" s="12">
        <f t="shared" si="0"/>
        <v>12.65279448621098</v>
      </c>
      <c r="Q19" s="12"/>
      <c r="R19" s="12">
        <f t="shared" si="0"/>
        <v>21.709695647243873</v>
      </c>
      <c r="S19" s="12"/>
      <c r="T19" s="12">
        <f t="shared" si="0"/>
        <v>13.078093565347514</v>
      </c>
      <c r="U19" s="12"/>
      <c r="V19" s="12">
        <f t="shared" si="0"/>
        <v>15.533119064643097</v>
      </c>
      <c r="W19" s="6"/>
      <c r="X19" s="12">
        <f>SUM(L19,F19,R19)</f>
        <v>215.2235634519151</v>
      </c>
      <c r="Y19" s="12"/>
      <c r="Z19" s="12">
        <f>SUM(N19,H19,T19)</f>
        <v>169.94436044608892</v>
      </c>
      <c r="AA19" s="12"/>
      <c r="AB19" s="12">
        <f>SUM(P19,J19,V19)</f>
        <v>87.92672079687179</v>
      </c>
      <c r="AC19" s="12"/>
      <c r="AD19" s="12">
        <f>AVERAGE(AB19,Z19,X19)</f>
        <v>157.69821489829192</v>
      </c>
      <c r="AF19" s="12">
        <f>X19</f>
        <v>215.2235634519151</v>
      </c>
      <c r="AH19" s="12">
        <f>Z19</f>
        <v>169.94436044608892</v>
      </c>
      <c r="AJ19" s="12">
        <f>AB19</f>
        <v>87.92672079687179</v>
      </c>
    </row>
    <row r="20" spans="2:36" ht="12.75">
      <c r="B20" s="5" t="s">
        <v>2</v>
      </c>
      <c r="D20" s="5" t="s">
        <v>20</v>
      </c>
      <c r="F20" s="7">
        <f aca="true" t="shared" si="1" ref="F20:V20">F14*454/60/0.0283/F16*(21-7)/(21-F17)*1000000</f>
        <v>17.73991212356931</v>
      </c>
      <c r="G20" s="7"/>
      <c r="H20" s="7">
        <f t="shared" si="1"/>
        <v>135.76787662892625</v>
      </c>
      <c r="I20" s="7"/>
      <c r="J20" s="7">
        <f t="shared" si="1"/>
        <v>170.6880207029077</v>
      </c>
      <c r="K20" s="7"/>
      <c r="L20" s="7">
        <f t="shared" si="1"/>
        <v>2143742.1187274307</v>
      </c>
      <c r="M20" s="7"/>
      <c r="N20" s="7">
        <f t="shared" si="1"/>
        <v>1669103.6202905942</v>
      </c>
      <c r="O20" s="7"/>
      <c r="P20" s="7">
        <f t="shared" si="1"/>
        <v>2158417.882941873</v>
      </c>
      <c r="Q20" s="7"/>
      <c r="R20" s="7">
        <f t="shared" si="1"/>
        <v>3703418.6692357194</v>
      </c>
      <c r="S20" s="7"/>
      <c r="T20" s="7">
        <f t="shared" si="1"/>
        <v>2230968.902323988</v>
      </c>
      <c r="U20" s="7"/>
      <c r="V20" s="7">
        <f t="shared" si="1"/>
        <v>2649767.369850881</v>
      </c>
      <c r="W20" s="7"/>
      <c r="X20" s="7">
        <f>SUM(L20,F20,R20)</f>
        <v>5847178.5278752735</v>
      </c>
      <c r="Y20" s="7"/>
      <c r="Z20" s="7">
        <f>SUM(N20,H20,T20)</f>
        <v>3900208.290491211</v>
      </c>
      <c r="AA20" s="7"/>
      <c r="AB20" s="7">
        <f>SUM(P20,J20,V20)</f>
        <v>4808355.940813457</v>
      </c>
      <c r="AC20" s="7"/>
      <c r="AD20" s="7">
        <f>AVERAGE(AB20,Z20,X20)</f>
        <v>4851914.25305998</v>
      </c>
      <c r="AE20" s="7"/>
      <c r="AF20" s="7">
        <f>X20</f>
        <v>5847178.5278752735</v>
      </c>
      <c r="AG20" s="7"/>
      <c r="AH20" s="7">
        <f>Z20</f>
        <v>3900208.290491211</v>
      </c>
      <c r="AI20" s="7"/>
      <c r="AJ20" s="7">
        <f>AB20</f>
        <v>4808355.940813457</v>
      </c>
    </row>
    <row r="21" spans="6:23" ht="12.75"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2:36" ht="12.75">
      <c r="B22" s="14" t="s">
        <v>9</v>
      </c>
      <c r="F22" s="21" t="s">
        <v>1</v>
      </c>
      <c r="G22" s="21"/>
      <c r="H22" s="21" t="s">
        <v>7</v>
      </c>
      <c r="I22" s="21"/>
      <c r="J22" s="21" t="s">
        <v>8</v>
      </c>
      <c r="K22" s="21"/>
      <c r="L22" s="21" t="s">
        <v>1</v>
      </c>
      <c r="M22" s="21"/>
      <c r="N22" s="21" t="s">
        <v>7</v>
      </c>
      <c r="O22" s="21"/>
      <c r="P22" s="21" t="s">
        <v>8</v>
      </c>
      <c r="Q22" s="21"/>
      <c r="R22" s="21" t="s">
        <v>1</v>
      </c>
      <c r="S22" s="21"/>
      <c r="T22" s="21" t="s">
        <v>7</v>
      </c>
      <c r="U22" s="21"/>
      <c r="V22" s="21" t="s">
        <v>8</v>
      </c>
      <c r="W22" s="21"/>
      <c r="X22" s="21" t="s">
        <v>1</v>
      </c>
      <c r="Y22" s="21"/>
      <c r="Z22" s="21" t="s">
        <v>7</v>
      </c>
      <c r="AA22" s="21"/>
      <c r="AB22" s="21" t="s">
        <v>8</v>
      </c>
      <c r="AC22" s="21"/>
      <c r="AD22" s="21" t="s">
        <v>28</v>
      </c>
      <c r="AF22" s="21" t="s">
        <v>1</v>
      </c>
      <c r="AG22" s="21"/>
      <c r="AH22" s="21" t="s">
        <v>7</v>
      </c>
      <c r="AI22" s="21"/>
      <c r="AJ22" s="21" t="s">
        <v>8</v>
      </c>
    </row>
    <row r="23" spans="6:23" ht="12.75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2:30" ht="12.75">
      <c r="B24" s="5" t="s">
        <v>114</v>
      </c>
      <c r="F24" s="5" t="s">
        <v>116</v>
      </c>
      <c r="H24" s="5" t="s">
        <v>116</v>
      </c>
      <c r="J24" s="5" t="s">
        <v>116</v>
      </c>
      <c r="L24" s="5" t="s">
        <v>118</v>
      </c>
      <c r="N24" s="5" t="s">
        <v>118</v>
      </c>
      <c r="P24" s="5" t="s">
        <v>118</v>
      </c>
      <c r="R24" s="5" t="s">
        <v>120</v>
      </c>
      <c r="T24" s="5" t="s">
        <v>120</v>
      </c>
      <c r="V24" s="5" t="s">
        <v>120</v>
      </c>
      <c r="X24" s="5" t="s">
        <v>121</v>
      </c>
      <c r="Z24" s="5" t="s">
        <v>121</v>
      </c>
      <c r="AB24" s="5" t="s">
        <v>121</v>
      </c>
      <c r="AD24" s="5" t="s">
        <v>121</v>
      </c>
    </row>
    <row r="25" spans="2:30" ht="12.75">
      <c r="B25" s="5" t="s">
        <v>115</v>
      </c>
      <c r="F25" s="5" t="s">
        <v>117</v>
      </c>
      <c r="H25" s="5" t="s">
        <v>117</v>
      </c>
      <c r="J25" s="5" t="s">
        <v>117</v>
      </c>
      <c r="L25" s="5" t="s">
        <v>119</v>
      </c>
      <c r="N25" s="5" t="s">
        <v>119</v>
      </c>
      <c r="P25" s="5" t="s">
        <v>119</v>
      </c>
      <c r="R25" s="5" t="s">
        <v>119</v>
      </c>
      <c r="T25" s="5" t="s">
        <v>119</v>
      </c>
      <c r="V25" s="5" t="s">
        <v>119</v>
      </c>
      <c r="X25" s="5" t="s">
        <v>35</v>
      </c>
      <c r="Z25" s="5" t="s">
        <v>35</v>
      </c>
      <c r="AB25" s="5" t="s">
        <v>35</v>
      </c>
      <c r="AD25" s="5" t="s">
        <v>35</v>
      </c>
    </row>
    <row r="26" spans="2:36" ht="12.75">
      <c r="B26" s="5" t="s">
        <v>122</v>
      </c>
      <c r="X26" s="5" t="s">
        <v>35</v>
      </c>
      <c r="Z26" s="5" t="s">
        <v>35</v>
      </c>
      <c r="AB26" s="5" t="s">
        <v>35</v>
      </c>
      <c r="AD26" s="5" t="s">
        <v>35</v>
      </c>
      <c r="AF26" s="5" t="s">
        <v>123</v>
      </c>
      <c r="AH26" s="5" t="s">
        <v>123</v>
      </c>
      <c r="AJ26" s="5" t="s">
        <v>123</v>
      </c>
    </row>
    <row r="27" spans="2:30" ht="12.75">
      <c r="B27" s="5" t="s">
        <v>113</v>
      </c>
      <c r="F27" s="5" t="s">
        <v>38</v>
      </c>
      <c r="H27" s="5" t="s">
        <v>38</v>
      </c>
      <c r="J27" s="5" t="s">
        <v>38</v>
      </c>
      <c r="L27" s="5" t="s">
        <v>36</v>
      </c>
      <c r="N27" s="5" t="s">
        <v>36</v>
      </c>
      <c r="P27" s="5" t="s">
        <v>36</v>
      </c>
      <c r="R27" s="5" t="s">
        <v>37</v>
      </c>
      <c r="T27" s="5" t="s">
        <v>37</v>
      </c>
      <c r="V27" s="5" t="s">
        <v>37</v>
      </c>
      <c r="X27" s="5" t="s">
        <v>35</v>
      </c>
      <c r="Z27" s="5" t="s">
        <v>35</v>
      </c>
      <c r="AB27" s="5" t="s">
        <v>35</v>
      </c>
      <c r="AD27" s="5" t="s">
        <v>35</v>
      </c>
    </row>
    <row r="28" spans="2:23" ht="12.75">
      <c r="B28" s="5" t="s">
        <v>3</v>
      </c>
      <c r="D28" s="5" t="s">
        <v>25</v>
      </c>
      <c r="F28" s="12">
        <f>1179.8/4.1*0.4545</f>
        <v>130.78514634146342</v>
      </c>
      <c r="G28" s="12"/>
      <c r="H28" s="12">
        <f>354.35/1.83*0.454</f>
        <v>87.90978142076503</v>
      </c>
      <c r="I28" s="12"/>
      <c r="J28" s="12">
        <f>209.6/1.92*0.454</f>
        <v>49.56166666666667</v>
      </c>
      <c r="K28" s="12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2.75">
      <c r="A29" s="5" t="s">
        <v>9</v>
      </c>
      <c r="B29" s="5" t="s">
        <v>3</v>
      </c>
      <c r="D29" s="5" t="s">
        <v>4</v>
      </c>
      <c r="L29" s="8">
        <f>216.15/4.1/60</f>
        <v>0.878658536585366</v>
      </c>
      <c r="M29" s="8"/>
      <c r="N29" s="8">
        <f>184.37/1.83/60</f>
        <v>1.679143897996357</v>
      </c>
      <c r="O29" s="8"/>
      <c r="P29" s="8">
        <f>197.6/1.92/60</f>
        <v>1.715277777777778</v>
      </c>
      <c r="Q29" s="8"/>
      <c r="R29" s="8">
        <v>0.9716666666666667</v>
      </c>
      <c r="S29" s="8"/>
      <c r="T29" s="8">
        <v>0.7</v>
      </c>
      <c r="U29" s="8"/>
      <c r="V29" s="8">
        <v>0.635</v>
      </c>
      <c r="W29" s="8"/>
    </row>
    <row r="30" spans="1:23" ht="12.75">
      <c r="A30" s="5" t="s">
        <v>9</v>
      </c>
      <c r="B30" s="5" t="s">
        <v>6</v>
      </c>
      <c r="D30" s="5" t="s">
        <v>26</v>
      </c>
      <c r="F30" s="6"/>
      <c r="G30" s="6"/>
      <c r="H30" s="6"/>
      <c r="I30" s="6"/>
      <c r="J30" s="6"/>
      <c r="K30" s="6"/>
      <c r="L30" s="6">
        <v>12217</v>
      </c>
      <c r="M30" s="6"/>
      <c r="N30" s="6">
        <v>12710</v>
      </c>
      <c r="O30" s="6"/>
      <c r="P30" s="6">
        <v>12215</v>
      </c>
      <c r="Q30" s="6"/>
      <c r="R30" s="6"/>
      <c r="S30" s="6"/>
      <c r="T30" s="6"/>
      <c r="U30" s="6"/>
      <c r="V30" s="6"/>
      <c r="W30" s="6"/>
    </row>
    <row r="31" spans="1:23" ht="12.75">
      <c r="A31" s="5" t="s">
        <v>9</v>
      </c>
      <c r="B31" s="5" t="s">
        <v>5</v>
      </c>
      <c r="D31" s="5" t="s">
        <v>25</v>
      </c>
      <c r="F31" s="8">
        <f>0.04*F28/100</f>
        <v>0.05231405853658536</v>
      </c>
      <c r="G31" s="8"/>
      <c r="H31" s="8">
        <f>0.43/100*H28</f>
        <v>0.3780120601092896</v>
      </c>
      <c r="I31" s="8"/>
      <c r="J31" s="8">
        <f>0.87/100*J28</f>
        <v>0.4311865</v>
      </c>
      <c r="K31" s="8"/>
      <c r="L31" s="11">
        <f>0.039/100*8*60*L29</f>
        <v>0.1644848780487805</v>
      </c>
      <c r="M31" s="11"/>
      <c r="N31" s="11">
        <f>0.039/100*8*60*N29</f>
        <v>0.3143357377049181</v>
      </c>
      <c r="O31" s="11"/>
      <c r="P31" s="11">
        <f>0.039/100*8*60*P29</f>
        <v>0.32110000000000005</v>
      </c>
      <c r="Q31" s="11"/>
      <c r="R31" s="11">
        <f>0.039/100*8*60*R29</f>
        <v>0.181896</v>
      </c>
      <c r="S31" s="6"/>
      <c r="T31" s="11">
        <f>0.039/100*8*60*T29</f>
        <v>0.13104</v>
      </c>
      <c r="U31" s="6"/>
      <c r="V31" s="11">
        <f>0.039/100*8*60*V29</f>
        <v>0.118872</v>
      </c>
      <c r="W31" s="6"/>
    </row>
    <row r="32" spans="1:23" ht="12.75">
      <c r="A32" s="5" t="s">
        <v>9</v>
      </c>
      <c r="B32" s="5" t="s">
        <v>2</v>
      </c>
      <c r="D32" s="5" t="s">
        <v>25</v>
      </c>
      <c r="F32" s="11">
        <f>1703/1000000*F28</f>
        <v>0.22272710421951222</v>
      </c>
      <c r="G32" s="11"/>
      <c r="H32" s="11">
        <f>28/1000000*H28</f>
        <v>0.002461473879781421</v>
      </c>
      <c r="I32" s="11"/>
      <c r="J32" s="6">
        <f>1/1000000*J28</f>
        <v>4.956166666666666E-05</v>
      </c>
      <c r="K32" s="6"/>
      <c r="L32" s="12">
        <f>5.84/100*8*L29*60</f>
        <v>24.630556097560977</v>
      </c>
      <c r="M32" s="12"/>
      <c r="N32" s="12">
        <f>5.84/100*8*N29*60</f>
        <v>47.06976174863388</v>
      </c>
      <c r="O32" s="12"/>
      <c r="P32" s="12">
        <f>5.84/100*8*P29*60</f>
        <v>48.08266666666667</v>
      </c>
      <c r="Q32" s="12"/>
      <c r="R32" s="12">
        <f>5.84/100*8*R29*60</f>
        <v>27.23776</v>
      </c>
      <c r="S32" s="6"/>
      <c r="T32" s="12">
        <f>5.84/100*8*T29*60</f>
        <v>19.6224</v>
      </c>
      <c r="U32" s="6"/>
      <c r="V32" s="12">
        <f>5.84/100*8*V29*60</f>
        <v>17.80032</v>
      </c>
      <c r="W32" s="6"/>
    </row>
    <row r="34" spans="2:22" ht="12.75">
      <c r="B34" s="5" t="s">
        <v>31</v>
      </c>
      <c r="D34" s="5" t="s">
        <v>32</v>
      </c>
      <c r="F34" s="5">
        <f>'emiss 2'!$G$28</f>
        <v>4937</v>
      </c>
      <c r="H34" s="5">
        <f>'emiss 2'!$I$28</f>
        <v>5079</v>
      </c>
      <c r="J34" s="5">
        <f>'emiss 2'!$K$28</f>
        <v>5235</v>
      </c>
      <c r="L34" s="5">
        <f>'emiss 2'!$G$28</f>
        <v>4937</v>
      </c>
      <c r="N34" s="5">
        <f>'emiss 2'!$I$28</f>
        <v>5079</v>
      </c>
      <c r="P34" s="5">
        <f>'emiss 2'!$K$28</f>
        <v>5235</v>
      </c>
      <c r="R34" s="5">
        <f>'emiss 2'!$G$28</f>
        <v>4937</v>
      </c>
      <c r="T34" s="5">
        <f>'emiss 2'!$I$28</f>
        <v>5079</v>
      </c>
      <c r="V34" s="5">
        <f>'emiss 2'!$K$28</f>
        <v>5235</v>
      </c>
    </row>
    <row r="35" spans="2:22" ht="12.75">
      <c r="B35" s="5" t="s">
        <v>23</v>
      </c>
      <c r="D35" s="5" t="s">
        <v>33</v>
      </c>
      <c r="F35" s="5">
        <f>'emiss 2'!$G$29</f>
        <v>11.4</v>
      </c>
      <c r="H35" s="5">
        <f>'emiss 2'!$I$29</f>
        <v>11.6</v>
      </c>
      <c r="J35" s="5">
        <f>'emiss 2'!$K$29</f>
        <v>13.5</v>
      </c>
      <c r="L35" s="5">
        <f>'emiss 2'!$G$29</f>
        <v>11.4</v>
      </c>
      <c r="N35" s="5">
        <f>'emiss 2'!$I$29</f>
        <v>11.6</v>
      </c>
      <c r="P35" s="5">
        <f>'emiss 2'!$K$29</f>
        <v>13.5</v>
      </c>
      <c r="R35" s="5">
        <f>'emiss 2'!$G$29</f>
        <v>11.4</v>
      </c>
      <c r="T35" s="5">
        <f>'emiss 2'!$I$29</f>
        <v>11.6</v>
      </c>
      <c r="V35" s="5">
        <f>'emiss 2'!$K$29</f>
        <v>13.5</v>
      </c>
    </row>
    <row r="37" spans="2:36" ht="12.75">
      <c r="B37" s="5" t="s">
        <v>5</v>
      </c>
      <c r="D37" s="5" t="s">
        <v>34</v>
      </c>
      <c r="F37" s="12">
        <f aca="true" t="shared" si="2" ref="F37:P37">F31*454/60/0.0283/F34*(21-7)/(21-F35)*1000</f>
        <v>4.131714044081167</v>
      </c>
      <c r="G37" s="12"/>
      <c r="H37" s="12">
        <f t="shared" si="2"/>
        <v>29.63778832864722</v>
      </c>
      <c r="I37" s="12"/>
      <c r="J37" s="12">
        <f t="shared" si="2"/>
        <v>41.10866830989058</v>
      </c>
      <c r="K37" s="12"/>
      <c r="L37" s="12">
        <f t="shared" si="2"/>
        <v>12.990857518688767</v>
      </c>
      <c r="M37" s="12"/>
      <c r="N37" s="12">
        <f t="shared" si="2"/>
        <v>24.645287918946448</v>
      </c>
      <c r="O37" s="12"/>
      <c r="P37" s="12">
        <f t="shared" si="2"/>
        <v>30.613188015640254</v>
      </c>
      <c r="Q37" s="12"/>
      <c r="R37" s="12">
        <f>R31*454/60/0.0283/R34*(21-7)/(21-R35)*1000</f>
        <v>14.365971189878216</v>
      </c>
      <c r="S37" s="6"/>
      <c r="T37" s="12">
        <f>T31*454/60/0.0283/T34*(21-7)/(21-T35)*1000</f>
        <v>10.27410549140437</v>
      </c>
      <c r="U37" s="6"/>
      <c r="V37" s="12">
        <f>V31*454/60/0.0283/V34*(21-7)/(21-V35)*1000</f>
        <v>11.333076567409496</v>
      </c>
      <c r="W37" s="6"/>
      <c r="X37" s="12">
        <f>SUM(L37,F37,R37)</f>
        <v>31.48854275264815</v>
      </c>
      <c r="Y37" s="12"/>
      <c r="Z37" s="12">
        <f>SUM(N37,H37,T37)</f>
        <v>64.55718173899804</v>
      </c>
      <c r="AA37" s="12"/>
      <c r="AB37" s="12">
        <f>SUM(P37,J37,V37)</f>
        <v>83.05493289294033</v>
      </c>
      <c r="AC37" s="12"/>
      <c r="AD37" s="12">
        <f>AVERAGE(AB37,Z37,X37)</f>
        <v>59.700219128195506</v>
      </c>
      <c r="AF37" s="12">
        <f>X37</f>
        <v>31.48854275264815</v>
      </c>
      <c r="AH37" s="12">
        <f>Z37</f>
        <v>64.55718173899804</v>
      </c>
      <c r="AJ37" s="12">
        <f>AB37</f>
        <v>83.05493289294033</v>
      </c>
    </row>
    <row r="38" spans="2:36" ht="12.75">
      <c r="B38" s="5" t="s">
        <v>2</v>
      </c>
      <c r="D38" s="5" t="s">
        <v>20</v>
      </c>
      <c r="F38" s="7">
        <f aca="true" t="shared" si="3" ref="F38:P38">F32*454/60/0.0283/F34*(21-7)/(21-F35)*1000000</f>
        <v>17590.772542675568</v>
      </c>
      <c r="G38" s="7"/>
      <c r="H38" s="7">
        <f t="shared" si="3"/>
        <v>192.99024958188883</v>
      </c>
      <c r="I38" s="7"/>
      <c r="J38" s="7">
        <f t="shared" si="3"/>
        <v>4.72513428849317</v>
      </c>
      <c r="K38" s="7"/>
      <c r="L38" s="7">
        <f t="shared" si="3"/>
        <v>1945297.638695959</v>
      </c>
      <c r="M38" s="7"/>
      <c r="N38" s="7">
        <f t="shared" si="3"/>
        <v>3690473.8832473643</v>
      </c>
      <c r="O38" s="7"/>
      <c r="P38" s="7">
        <f t="shared" si="3"/>
        <v>4584128.666957412</v>
      </c>
      <c r="Q38" s="7"/>
      <c r="R38" s="7">
        <f>R32*454/60/0.0283/R34*(21-7)/(21-R35)*1000000</f>
        <v>2151212.0961253536</v>
      </c>
      <c r="S38" s="7"/>
      <c r="T38" s="7">
        <f>T32*454/60/0.0283/T34*(21-7)/(21-T35)*1000000</f>
        <v>1538481.4376872184</v>
      </c>
      <c r="U38" s="7"/>
      <c r="V38" s="7">
        <f>V32*454/60/0.0283/V34*(21-7)/(21-V35)*1000000</f>
        <v>1697055.568042857</v>
      </c>
      <c r="W38" s="7"/>
      <c r="X38" s="7">
        <f>SUM(L38,F38,R38)</f>
        <v>4114100.507363988</v>
      </c>
      <c r="Y38" s="7"/>
      <c r="Z38" s="7">
        <f>SUM(N38,H38,T38)</f>
        <v>5229148.311184165</v>
      </c>
      <c r="AA38" s="7"/>
      <c r="AB38" s="7">
        <f>SUM(P38,J38,V38)</f>
        <v>6281188.960134558</v>
      </c>
      <c r="AC38" s="7"/>
      <c r="AD38" s="7">
        <f>AVERAGE(AB38,Z38,X38)</f>
        <v>5208145.9262275705</v>
      </c>
      <c r="AE38" s="7"/>
      <c r="AF38" s="7">
        <f>X38</f>
        <v>4114100.507363988</v>
      </c>
      <c r="AG38" s="7"/>
      <c r="AH38" s="7">
        <f>Z38</f>
        <v>5229148.311184165</v>
      </c>
      <c r="AI38" s="7"/>
      <c r="AJ38" s="7">
        <f>AB38</f>
        <v>6281188.960134558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11"/>
  <sheetViews>
    <sheetView workbookViewId="0" topLeftCell="C1">
      <selection activeCell="C1" sqref="C1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7.57421875" style="0" customWidth="1"/>
    <col min="5" max="5" width="10.140625" style="0" customWidth="1"/>
  </cols>
  <sheetData>
    <row r="1" ht="12.75">
      <c r="C1" s="9" t="s">
        <v>91</v>
      </c>
    </row>
    <row r="3" spans="3:7" ht="12.75">
      <c r="C3" s="9" t="s">
        <v>0</v>
      </c>
      <c r="E3" s="20" t="s">
        <v>1</v>
      </c>
      <c r="F3" s="20" t="s">
        <v>7</v>
      </c>
      <c r="G3" s="20" t="s">
        <v>8</v>
      </c>
    </row>
    <row r="5" spans="1:31" s="5" customFormat="1" ht="12.75">
      <c r="A5" s="5" t="s">
        <v>0</v>
      </c>
      <c r="B5" s="5" t="s">
        <v>86</v>
      </c>
      <c r="C5" s="5" t="s">
        <v>89</v>
      </c>
      <c r="D5" s="5" t="s">
        <v>87</v>
      </c>
      <c r="E5" s="6">
        <v>1265</v>
      </c>
      <c r="F5" s="6">
        <v>1470</v>
      </c>
      <c r="G5" s="6">
        <v>1405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s="5" customFormat="1" ht="12.75">
      <c r="A6" s="5" t="s">
        <v>0</v>
      </c>
      <c r="B6" s="5" t="s">
        <v>88</v>
      </c>
      <c r="C6" s="5" t="s">
        <v>90</v>
      </c>
      <c r="D6" s="5" t="s">
        <v>87</v>
      </c>
      <c r="E6" s="6">
        <v>1990</v>
      </c>
      <c r="F6" s="6">
        <v>2030</v>
      </c>
      <c r="G6" s="6">
        <v>2001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5:31" s="5" customFormat="1" ht="12.75"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3:31" s="5" customFormat="1" ht="12.75">
      <c r="C8" s="14" t="s">
        <v>9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5:31" s="5" customFormat="1" ht="12.75"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s="5" customFormat="1" ht="12.75">
      <c r="A10" s="5" t="s">
        <v>9</v>
      </c>
      <c r="B10" s="5" t="s">
        <v>86</v>
      </c>
      <c r="C10" s="5" t="s">
        <v>89</v>
      </c>
      <c r="D10" s="5" t="s">
        <v>87</v>
      </c>
      <c r="E10" s="6">
        <v>1405</v>
      </c>
      <c r="F10" s="6">
        <v>1890</v>
      </c>
      <c r="G10" s="6">
        <v>1900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s="5" customFormat="1" ht="12.75">
      <c r="A11" s="5" t="s">
        <v>9</v>
      </c>
      <c r="B11" s="5" t="s">
        <v>88</v>
      </c>
      <c r="C11" s="5" t="s">
        <v>90</v>
      </c>
      <c r="D11" s="5" t="s">
        <v>87</v>
      </c>
      <c r="E11" s="6">
        <v>1970</v>
      </c>
      <c r="F11" s="6">
        <v>2075</v>
      </c>
      <c r="G11" s="6">
        <v>2055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2004-02-25T16:57:42Z</cp:lastPrinted>
  <dcterms:created xsi:type="dcterms:W3CDTF">2002-05-23T15:44:52Z</dcterms:created>
  <dcterms:modified xsi:type="dcterms:W3CDTF">2004-02-25T17:01:39Z</dcterms:modified>
  <cp:category/>
  <cp:version/>
  <cp:contentType/>
  <cp:contentStatus/>
</cp:coreProperties>
</file>