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49" activeTab="0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<sst xmlns="http://schemas.openxmlformats.org/spreadsheetml/2006/main" count="2134" uniqueCount="228">
  <si>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</si>
  <si>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</si>
  <si>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</si>
  <si>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</si>
  <si>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</si>
  <si>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</si>
  <si>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</si>
  <si>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</si>
  <si>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</si>
  <si>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</si>
  <si>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</si>
  <si>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</si>
  <si>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</si>
  <si>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</si>
  <si>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</si>
  <si>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</si>
  <si>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</si>
  <si>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</si>
  <si>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</si>
  <si>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</si>
  <si>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Total</t>
  </si>
  <si>
    <t>Feedstream Description</t>
  </si>
  <si>
    <t>Heating Value</t>
  </si>
  <si>
    <t>Btu/lb</t>
  </si>
  <si>
    <t>Ash</t>
  </si>
  <si>
    <t>Chlorine</t>
  </si>
  <si>
    <t>HCl</t>
  </si>
  <si>
    <t>Cl2</t>
  </si>
  <si>
    <t>DRE</t>
  </si>
  <si>
    <t>lb/hr</t>
  </si>
  <si>
    <t>Density</t>
  </si>
  <si>
    <r>
      <t>o</t>
    </r>
    <r>
      <rPr>
        <sz val="10"/>
        <rFont val="Arial"/>
        <family val="2"/>
      </rPr>
      <t>F</t>
    </r>
  </si>
  <si>
    <t>MMBtu/hr</t>
  </si>
  <si>
    <t>Spike</t>
  </si>
  <si>
    <t>ug/dscm</t>
  </si>
  <si>
    <t>SVM</t>
  </si>
  <si>
    <t>LVM</t>
  </si>
  <si>
    <t>Stack Gas Flowrate</t>
  </si>
  <si>
    <t>Oxygen</t>
  </si>
  <si>
    <t>mg/dscm</t>
  </si>
  <si>
    <t>HW</t>
  </si>
  <si>
    <t>Combustor Characteristics</t>
  </si>
  <si>
    <t>7% O2</t>
  </si>
  <si>
    <t>Hazardous Wastes</t>
  </si>
  <si>
    <t>Supplemental Fuel</t>
  </si>
  <si>
    <t>POHC DRE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</si>
  <si>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</si>
  <si>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</si>
  <si>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</si>
  <si>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</si>
  <si>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</si>
  <si>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</si>
  <si>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</si>
  <si>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</si>
  <si>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</si>
  <si>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</si>
  <si>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Antimony</t>
  </si>
  <si>
    <t>Arsenic</t>
  </si>
  <si>
    <t>Barium</t>
  </si>
  <si>
    <t>Beryllium</t>
  </si>
  <si>
    <t>Cadmium</t>
  </si>
  <si>
    <t>Mercury</t>
  </si>
  <si>
    <t>Nickel</t>
  </si>
  <si>
    <t>Selenium</t>
  </si>
  <si>
    <t>Silver</t>
  </si>
  <si>
    <t>Thallium</t>
  </si>
  <si>
    <t>Comments</t>
  </si>
  <si>
    <t>Trial Burn</t>
  </si>
  <si>
    <t>POHC Feedrate</t>
  </si>
  <si>
    <t>Emission Rate</t>
  </si>
  <si>
    <t xml:space="preserve">   O2</t>
  </si>
  <si>
    <t xml:space="preserve">   Moisture</t>
  </si>
  <si>
    <t>CO (RA)</t>
  </si>
  <si>
    <t>Chromium</t>
  </si>
  <si>
    <t>Sampling Train</t>
  </si>
  <si>
    <t>Trial burn</t>
  </si>
  <si>
    <t>*</t>
  </si>
  <si>
    <t>Thermal Feedrate</t>
  </si>
  <si>
    <t>Feed Rate</t>
  </si>
  <si>
    <t>HWC Burn Status (Date if Terminated)</t>
  </si>
  <si>
    <t>nd</t>
  </si>
  <si>
    <t>Viscosity</t>
  </si>
  <si>
    <t>Cps</t>
  </si>
  <si>
    <t>Natural gas</t>
  </si>
  <si>
    <t>CO (MHRA)</t>
  </si>
  <si>
    <t>g/cc</t>
  </si>
  <si>
    <t>Waste Feed</t>
  </si>
  <si>
    <t>Fabric Filter Pressure Drop</t>
  </si>
  <si>
    <t>Comb Gas Velocity</t>
  </si>
  <si>
    <t>in. w.c</t>
  </si>
  <si>
    <t>ft/sec</t>
  </si>
  <si>
    <t xml:space="preserve"> </t>
  </si>
  <si>
    <t>Research Triangle Park</t>
  </si>
  <si>
    <t>NC</t>
  </si>
  <si>
    <t>NCD065655599</t>
  </si>
  <si>
    <t>April 20-21, 1999</t>
  </si>
  <si>
    <t>n</t>
  </si>
  <si>
    <t>PM, HCl/Cl2, metals</t>
  </si>
  <si>
    <t>341C1</t>
  </si>
  <si>
    <t>Total Chlorine</t>
  </si>
  <si>
    <t>341C2</t>
  </si>
  <si>
    <t>Carbon Tetrachloride</t>
  </si>
  <si>
    <t>1,2-Dichlorobenzene</t>
  </si>
  <si>
    <t>Napthalene</t>
  </si>
  <si>
    <t>Trial Burn Report, August 1999</t>
  </si>
  <si>
    <t>Franklin Engineering Group, Inc.</t>
  </si>
  <si>
    <t>April 21-22, 1999</t>
  </si>
  <si>
    <t>Trial burn, low temp for liq mode oper. Max feedrate</t>
  </si>
  <si>
    <t>DRE, CO</t>
  </si>
  <si>
    <t>April 23 and 27, 1999</t>
  </si>
  <si>
    <t>April 27-28, 1999</t>
  </si>
  <si>
    <t>Trial burn, low temp for solid mode oper. Max feedrate</t>
  </si>
  <si>
    <t>Sodium Arsenate Spike</t>
  </si>
  <si>
    <t>TiO2 Spike</t>
  </si>
  <si>
    <t>CCl4 Spike</t>
  </si>
  <si>
    <t>Cadmium Acetate Spike</t>
  </si>
  <si>
    <t>Sodium Bichromate Spike</t>
  </si>
  <si>
    <t>Na3AsO4</t>
  </si>
  <si>
    <t>Cd(C2H3O2)2</t>
  </si>
  <si>
    <t>Na2Cr2O7</t>
  </si>
  <si>
    <t>Bedding Materials</t>
  </si>
  <si>
    <t>Dies. Oil Spike</t>
  </si>
  <si>
    <t>Scint/hplc vials</t>
  </si>
  <si>
    <t>Scint/HPLC Vials</t>
  </si>
  <si>
    <t>Carcassess</t>
  </si>
  <si>
    <t>PM, HCl/Cl2</t>
  </si>
  <si>
    <t>Metals</t>
  </si>
  <si>
    <t>Cr+6</t>
  </si>
  <si>
    <t>g/hr</t>
  </si>
  <si>
    <t>PCC Temperature</t>
  </si>
  <si>
    <t>SCC Temperature</t>
  </si>
  <si>
    <t>PCC Pressure</t>
  </si>
  <si>
    <t>SCC Pressure</t>
  </si>
  <si>
    <t>Lime Injection</t>
  </si>
  <si>
    <t>DEECO, Inc</t>
  </si>
  <si>
    <t xml:space="preserve">Trial burn, high temp for liq mode oper. </t>
  </si>
  <si>
    <t>Trial burn, high temp for solid mode oper. Max batch size</t>
  </si>
  <si>
    <t>Report Name/Date</t>
  </si>
  <si>
    <t>Report Prepare</t>
  </si>
  <si>
    <t>Testing Firm</t>
  </si>
  <si>
    <t>Testing Dates</t>
  </si>
  <si>
    <t>Condition Descr</t>
  </si>
  <si>
    <t>Content</t>
  </si>
  <si>
    <t>341C10</t>
  </si>
  <si>
    <t>341C11</t>
  </si>
  <si>
    <t>341C12</t>
  </si>
  <si>
    <t>341C13</t>
  </si>
  <si>
    <t>Incinerator Trial Burn Report, Glaxo Inc., RTP NC, October 1993; Entropy Stationary Source Sampling Report, Reference No. 10983, August 1993</t>
  </si>
  <si>
    <t>Entropy</t>
  </si>
  <si>
    <t>Cond Descr</t>
  </si>
  <si>
    <t>MAX LIQUID WASTE FEED/MAX HEAT RELEASE</t>
  </si>
  <si>
    <t>REDUCED LIQUID WASTE FEED</t>
  </si>
  <si>
    <t>R1</t>
  </si>
  <si>
    <t>R2</t>
  </si>
  <si>
    <t>R3</t>
  </si>
  <si>
    <t>Cond Avg</t>
  </si>
  <si>
    <t/>
  </si>
  <si>
    <t>Halogens</t>
  </si>
  <si>
    <t>SVOC</t>
  </si>
  <si>
    <t>1,2-dichlorobenzene</t>
  </si>
  <si>
    <t>Hexachloroethane</t>
  </si>
  <si>
    <t>Dichlorobenzene</t>
  </si>
  <si>
    <t>Liquid waste</t>
  </si>
  <si>
    <t>Solid waste</t>
  </si>
  <si>
    <t>Feedrate</t>
  </si>
  <si>
    <t>Heating value</t>
  </si>
  <si>
    <t>wt %</t>
  </si>
  <si>
    <t>ppmw</t>
  </si>
  <si>
    <t>Condition Description</t>
  </si>
  <si>
    <t>Combustor Class</t>
  </si>
  <si>
    <t>Combustor Type</t>
  </si>
  <si>
    <t>Stack Gas Emissions 1</t>
  </si>
  <si>
    <t>Stack Gas Emissions 2</t>
  </si>
  <si>
    <t>Feedstream 1</t>
  </si>
  <si>
    <t>Feedstream 2</t>
  </si>
  <si>
    <t>34110</t>
  </si>
  <si>
    <t>F</t>
  </si>
  <si>
    <t>34111</t>
  </si>
  <si>
    <t>Hearth Temperature</t>
  </si>
  <si>
    <t>Afterburner Temperature</t>
  </si>
  <si>
    <t>Process Information 1</t>
  </si>
  <si>
    <t>Process Information 2</t>
  </si>
  <si>
    <t>Animal bedding, reject pharmaceuticals, labpacks of off-spec or reject chemicals, chemically contaminated lab supplies, HPLC and scintiallation vials that contain solvents and products or lab packed waste.</t>
  </si>
  <si>
    <t xml:space="preserve">Fabric filter, heat exchanger, dry lime injection/absorption. Interell scrubber.  Pulse jet FF with felted polyacryl bag material, 3875 ft2 bag are, A/C = 3.6.  HEPA and carbon adsorption also used at one time </t>
  </si>
  <si>
    <t>E1</t>
  </si>
  <si>
    <t>E2</t>
  </si>
  <si>
    <t>E3</t>
  </si>
  <si>
    <t>Chromium (Hex)</t>
  </si>
  <si>
    <t>Cond Dates</t>
  </si>
  <si>
    <t>Number of Sister Facilities</t>
  </si>
  <si>
    <t>APCS Detailed Acronym</t>
  </si>
  <si>
    <t>APCS General Class</t>
  </si>
  <si>
    <t>Liq, solid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</si>
  <si>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</si>
  <si>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</si>
  <si>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</si>
  <si>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</si>
  <si>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</si>
  <si>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</si>
  <si>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</si>
  <si>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</si>
  <si>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Onsite incinerator</t>
  </si>
  <si>
    <t>Fixed hearth</t>
  </si>
  <si>
    <t>Feedstream Number</t>
  </si>
  <si>
    <t>Feed Class</t>
  </si>
  <si>
    <t>F1</t>
  </si>
  <si>
    <t>Solid HW</t>
  </si>
  <si>
    <t>F2</t>
  </si>
  <si>
    <t>F3</t>
  </si>
  <si>
    <t>F4</t>
  </si>
  <si>
    <t>F5</t>
  </si>
  <si>
    <t>F6</t>
  </si>
  <si>
    <t>F7</t>
  </si>
  <si>
    <t>Liq HW</t>
  </si>
  <si>
    <t>F8</t>
  </si>
  <si>
    <t>F9</t>
  </si>
  <si>
    <t>Feed Class 2</t>
  </si>
  <si>
    <t>Estimated Firing Rate</t>
  </si>
  <si>
    <t>GlaxoSmithKline</t>
  </si>
  <si>
    <t>Environmental Safety Facitlity (ESF)</t>
  </si>
  <si>
    <t>None</t>
  </si>
  <si>
    <t>Designed by Kennedy Van Saun of Danville, PA. Model no. HR-75. Solid waste ram feeder and a dual fuel liquid injection burner.  Primary chamber is 6.5' x 16.5'.  Secondary combustor is 6.5' x 14'3.5''.  900 lb/hr capacity</t>
  </si>
  <si>
    <t>NA</t>
  </si>
  <si>
    <t>DS/HE/FF</t>
  </si>
  <si>
    <t xml:space="preserve">Tier I for all metals except arsenic, cadmium, hexavalent chromium (tier III) </t>
  </si>
  <si>
    <t>DS, HE, FF</t>
  </si>
  <si>
    <t>Phase I ID No.</t>
  </si>
  <si>
    <t>Total Cl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</si>
</sst>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E+00"/>
    <numFmt numFmtId="178" formatCode="mm/dd/yy"/>
  </numFmts>
  <fonts count="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wrapText="1"/>
    </xf>
    <xf numFmtId="167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165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1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7" fontId="0" fillId="0" borderId="0" xfId="0" applyNumberFormat="1" applyFont="1" applyAlignment="1">
      <alignment horizontal="left"/>
    </xf>
    <xf numFmtId="1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71" fontId="0" fillId="0" borderId="0" xfId="0" applyNumberFormat="1" applyFont="1" applyBorder="1" applyAlignment="1">
      <alignment horizontal="right"/>
    </xf>
    <xf numFmtId="171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B1" sqref="B1"/>
    </sheetView>
  </sheetViews>
  <sheetFormatPr defaultColWidth="9.140625" defaultRowHeight="12.75"/>
  <sheetData>
    <row r="1" ht="12.75">
      <c r="A1" t="s">
        <v>193</v>
      </c>
    </row>
    <row r="2" ht="12.75">
      <c r="A2" t="s">
        <v>194</v>
      </c>
    </row>
    <row r="3" ht="12.75">
      <c r="A3" t="s">
        <v>195</v>
      </c>
    </row>
    <row r="4" ht="12.75">
      <c r="A4" t="s">
        <v>196</v>
      </c>
    </row>
    <row r="5" ht="12.75">
      <c r="A5" t="s">
        <v>197</v>
      </c>
    </row>
    <row r="6" ht="12.75">
      <c r="A6" t="s">
        <v>198</v>
      </c>
    </row>
    <row r="7" ht="12.75">
      <c r="A7" t="s">
        <v>199</v>
      </c>
    </row>
    <row r="8" ht="12.75">
      <c r="A8" t="s">
        <v>200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2"/>
  <sheetViews>
    <sheetView workbookViewId="0" topLeftCell="B1">
      <selection activeCell="C2" sqref="C2"/>
    </sheetView>
  </sheetViews>
  <sheetFormatPr defaultColWidth="9.140625" defaultRowHeight="12.75"/>
  <cols>
    <col min="1" max="1" width="2.421875" style="1" hidden="1" customWidth="1"/>
    <col min="2" max="2" width="25.7109375" style="1" customWidth="1"/>
    <col min="3" max="3" width="61.7109375" style="1" customWidth="1"/>
    <col min="4" max="16384" width="8.8515625" style="1" customWidth="1"/>
  </cols>
  <sheetData>
    <row r="1" spans="2:12" ht="12.75">
      <c r="B1" s="3" t="s">
        <v>50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9" t="s">
        <v>226</v>
      </c>
      <c r="C3" s="10">
        <v>341</v>
      </c>
      <c r="D3" s="9"/>
      <c r="E3" s="9"/>
      <c r="F3" s="9"/>
      <c r="G3" s="9"/>
      <c r="H3" s="9"/>
      <c r="I3" s="9"/>
      <c r="J3" s="9"/>
      <c r="K3" s="9"/>
      <c r="L3" s="9"/>
    </row>
    <row r="4" spans="2:12" ht="12.75">
      <c r="B4" s="9" t="s">
        <v>0</v>
      </c>
      <c r="C4" s="9" t="s">
        <v>94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9" t="s">
        <v>1</v>
      </c>
      <c r="C5" s="9" t="s">
        <v>218</v>
      </c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2.75">
      <c r="B7" s="9" t="s">
        <v>3</v>
      </c>
      <c r="C7" s="9" t="s">
        <v>92</v>
      </c>
      <c r="D7" s="9"/>
      <c r="E7" s="9"/>
      <c r="F7" s="9"/>
      <c r="G7" s="9"/>
      <c r="H7" s="9"/>
      <c r="I7" s="9"/>
      <c r="J7" s="9"/>
      <c r="K7" s="9"/>
      <c r="L7" s="9"/>
    </row>
    <row r="8" spans="2:12" ht="12.75">
      <c r="B8" s="9" t="s">
        <v>4</v>
      </c>
      <c r="C8" s="1" t="s">
        <v>93</v>
      </c>
      <c r="D8" s="9"/>
      <c r="E8" s="9"/>
      <c r="F8" s="9"/>
      <c r="G8" s="9"/>
      <c r="H8" s="9"/>
      <c r="I8" s="9"/>
      <c r="J8" s="9"/>
      <c r="K8" s="9"/>
      <c r="L8" s="9"/>
    </row>
    <row r="9" spans="2:12" ht="12.75">
      <c r="B9" s="9" t="s">
        <v>5</v>
      </c>
      <c r="C9" s="9" t="s">
        <v>219</v>
      </c>
      <c r="D9" s="9"/>
      <c r="E9" s="9"/>
      <c r="F9" s="9"/>
      <c r="G9" s="9"/>
      <c r="H9" s="9"/>
      <c r="I9" s="9"/>
      <c r="J9" s="9"/>
      <c r="K9" s="9"/>
      <c r="L9" s="9"/>
    </row>
    <row r="10" spans="2:12" ht="12.75">
      <c r="B10" s="9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2.75">
      <c r="B11" s="9" t="s">
        <v>189</v>
      </c>
      <c r="C11" s="10" t="s">
        <v>220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ht="12.75">
      <c r="B12" s="9" t="s">
        <v>169</v>
      </c>
      <c r="C12" s="1" t="s">
        <v>201</v>
      </c>
      <c r="D12" s="9"/>
      <c r="E12" s="9"/>
      <c r="F12" s="9"/>
      <c r="G12" s="9"/>
      <c r="H12" s="9"/>
      <c r="I12" s="9"/>
      <c r="J12" s="9"/>
      <c r="K12" s="9"/>
      <c r="L12" s="9"/>
    </row>
    <row r="13" spans="2:12" ht="12.75">
      <c r="B13" s="9" t="s">
        <v>170</v>
      </c>
      <c r="C13" s="9" t="s">
        <v>202</v>
      </c>
      <c r="D13" s="9"/>
      <c r="E13" s="9"/>
      <c r="F13" s="9"/>
      <c r="G13" s="9"/>
      <c r="H13" s="9"/>
      <c r="I13" s="9"/>
      <c r="J13" s="9"/>
      <c r="K13" s="9"/>
      <c r="L13" s="9"/>
    </row>
    <row r="14" spans="2:12" s="28" customFormat="1" ht="51">
      <c r="B14" s="27" t="s">
        <v>41</v>
      </c>
      <c r="C14" s="27" t="s">
        <v>221</v>
      </c>
      <c r="D14" s="27"/>
      <c r="E14" s="27"/>
      <c r="F14" s="27"/>
      <c r="G14" s="27"/>
      <c r="H14" s="27"/>
      <c r="I14" s="27"/>
      <c r="J14" s="27"/>
      <c r="K14" s="27"/>
      <c r="L14" s="27"/>
    </row>
    <row r="15" spans="2:12" s="28" customFormat="1" ht="12.75">
      <c r="B15" s="27" t="s">
        <v>46</v>
      </c>
      <c r="C15" s="29">
        <v>6.43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2:12" s="28" customFormat="1" ht="12.75">
      <c r="B16" s="9" t="s">
        <v>51</v>
      </c>
      <c r="C16" s="27" t="s">
        <v>222</v>
      </c>
      <c r="F16" s="27"/>
      <c r="G16" s="27"/>
      <c r="H16" s="27"/>
      <c r="I16" s="27"/>
      <c r="J16" s="27"/>
      <c r="K16" s="27"/>
      <c r="L16" s="27"/>
    </row>
    <row r="17" spans="2:12" s="28" customFormat="1" ht="12.75">
      <c r="B17" s="9" t="s">
        <v>190</v>
      </c>
      <c r="C17" s="28" t="s">
        <v>223</v>
      </c>
      <c r="D17" s="27"/>
      <c r="E17" s="27"/>
      <c r="F17" s="27"/>
      <c r="G17" s="27"/>
      <c r="H17" s="27"/>
      <c r="I17" s="27"/>
      <c r="J17" s="27"/>
      <c r="K17" s="27"/>
      <c r="L17" s="27"/>
    </row>
    <row r="18" spans="2:12" s="28" customFormat="1" ht="12.75">
      <c r="B18" s="9" t="s">
        <v>191</v>
      </c>
      <c r="C18" s="28" t="s">
        <v>225</v>
      </c>
      <c r="D18" s="27"/>
      <c r="E18" s="27"/>
      <c r="F18" s="27"/>
      <c r="G18" s="27"/>
      <c r="H18" s="27"/>
      <c r="I18" s="27"/>
      <c r="J18" s="27"/>
      <c r="K18" s="27"/>
      <c r="L18" s="27"/>
    </row>
    <row r="19" spans="2:12" ht="38.25">
      <c r="B19" s="27" t="s">
        <v>7</v>
      </c>
      <c r="C19" s="27" t="s">
        <v>183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ht="12.75">
      <c r="B20" s="9" t="s">
        <v>43</v>
      </c>
      <c r="C20" s="27" t="s">
        <v>192</v>
      </c>
      <c r="D20" s="9"/>
      <c r="E20" s="9"/>
      <c r="F20" s="9"/>
      <c r="G20" s="9"/>
      <c r="H20" s="9"/>
      <c r="I20" s="9"/>
      <c r="J20" s="9"/>
      <c r="K20" s="9"/>
      <c r="L20" s="9"/>
    </row>
    <row r="21" spans="2:12" ht="51">
      <c r="B21" s="40" t="s">
        <v>52</v>
      </c>
      <c r="C21" s="27" t="s">
        <v>182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ht="12.75">
      <c r="B22" s="9" t="s">
        <v>44</v>
      </c>
      <c r="C22" s="9" t="s">
        <v>83</v>
      </c>
      <c r="D22" s="9"/>
      <c r="E22" s="9"/>
      <c r="F22" s="9"/>
      <c r="G22" s="9"/>
      <c r="H22" s="9"/>
      <c r="I22" s="9"/>
      <c r="J22" s="9"/>
      <c r="K22" s="9"/>
      <c r="L22" s="9"/>
    </row>
    <row r="23" spans="2:12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2" ht="12.75">
      <c r="B24" s="9" t="s">
        <v>8</v>
      </c>
      <c r="C24" s="10"/>
      <c r="D24" s="9"/>
      <c r="E24" s="9"/>
      <c r="F24" s="9"/>
      <c r="G24" s="9"/>
      <c r="H24" s="9"/>
      <c r="I24" s="9"/>
      <c r="J24" s="9"/>
      <c r="K24" s="9"/>
      <c r="L24" s="9"/>
    </row>
    <row r="25" spans="2:12" ht="12.75">
      <c r="B25" s="9" t="s">
        <v>9</v>
      </c>
      <c r="C25" s="11">
        <f>18/12</f>
        <v>1.5</v>
      </c>
      <c r="D25" s="9"/>
      <c r="E25" s="9"/>
      <c r="F25" s="9"/>
      <c r="G25" s="9"/>
      <c r="H25" s="9"/>
      <c r="I25" s="9"/>
      <c r="J25" s="9"/>
      <c r="K25" s="9"/>
      <c r="L25" s="9"/>
    </row>
    <row r="26" spans="2:12" ht="12.75">
      <c r="B26" s="9" t="s">
        <v>10</v>
      </c>
      <c r="C26" s="10">
        <v>99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ht="12.75">
      <c r="B27" s="9" t="s">
        <v>47</v>
      </c>
      <c r="C27" s="11">
        <v>40</v>
      </c>
      <c r="D27" s="9"/>
      <c r="E27" s="9"/>
      <c r="F27" s="9"/>
      <c r="G27" s="9"/>
      <c r="H27" s="9"/>
      <c r="I27" s="9"/>
      <c r="J27" s="9"/>
      <c r="K27" s="9"/>
      <c r="L27" s="9"/>
    </row>
    <row r="28" spans="2:12" ht="14.25" customHeight="1">
      <c r="B28" s="9" t="s">
        <v>48</v>
      </c>
      <c r="C28" s="10">
        <v>270</v>
      </c>
      <c r="D28" s="9"/>
      <c r="E28" s="9"/>
      <c r="F28" s="9"/>
      <c r="G28" s="9"/>
      <c r="H28" s="9"/>
      <c r="I28" s="9"/>
      <c r="J28" s="9"/>
      <c r="K28" s="9"/>
      <c r="L28" s="9"/>
    </row>
    <row r="29" spans="2:12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s="36" customFormat="1" ht="25.5">
      <c r="B30" s="31" t="s">
        <v>11</v>
      </c>
      <c r="C30" s="31" t="s">
        <v>224</v>
      </c>
      <c r="D30" s="31"/>
      <c r="E30" s="31"/>
      <c r="F30" s="31"/>
      <c r="G30" s="31"/>
      <c r="H30" s="31"/>
      <c r="I30" s="31"/>
      <c r="J30" s="31"/>
      <c r="K30" s="31"/>
      <c r="L30" s="31"/>
    </row>
    <row r="31" spans="2:12" ht="12.75">
      <c r="B31" s="9" t="s">
        <v>79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B1">
      <selection activeCell="C2" sqref="C2"/>
    </sheetView>
  </sheetViews>
  <sheetFormatPr defaultColWidth="9.140625" defaultRowHeight="12.75"/>
  <cols>
    <col min="1" max="1" width="0.42578125" style="0" hidden="1" customWidth="1"/>
    <col min="2" max="2" width="20.7109375" style="0" customWidth="1"/>
    <col min="3" max="3" width="60.7109375" style="41" customWidth="1"/>
  </cols>
  <sheetData>
    <row r="1" ht="12.75">
      <c r="B1" s="3" t="s">
        <v>168</v>
      </c>
    </row>
    <row r="3" spans="2:12" s="1" customFormat="1" ht="12.75">
      <c r="B3" s="3" t="s">
        <v>143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s="1" customFormat="1" ht="12.75">
      <c r="B4" s="3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s="1" customFormat="1" ht="12.75">
      <c r="B5" s="9" t="s">
        <v>137</v>
      </c>
      <c r="C5" s="31" t="s">
        <v>104</v>
      </c>
      <c r="D5" s="9"/>
      <c r="E5" s="9"/>
      <c r="F5" s="9"/>
      <c r="G5" s="9"/>
      <c r="H5" s="9"/>
      <c r="I5" s="9"/>
      <c r="J5" s="9"/>
      <c r="K5" s="9"/>
      <c r="L5" s="9"/>
    </row>
    <row r="6" spans="2:12" s="1" customFormat="1" ht="12.75">
      <c r="B6" s="9" t="s">
        <v>138</v>
      </c>
      <c r="C6" s="9" t="s">
        <v>105</v>
      </c>
      <c r="D6" s="9"/>
      <c r="E6" s="9"/>
      <c r="F6" s="9"/>
      <c r="G6" s="9"/>
      <c r="H6" s="9"/>
      <c r="I6" s="9"/>
      <c r="J6" s="9"/>
      <c r="K6" s="9"/>
      <c r="L6" s="9"/>
    </row>
    <row r="7" spans="2:12" s="1" customFormat="1" ht="12.75">
      <c r="B7" s="9" t="s">
        <v>139</v>
      </c>
      <c r="C7" s="9" t="s">
        <v>134</v>
      </c>
      <c r="D7" s="9"/>
      <c r="E7" s="9"/>
      <c r="F7" s="9"/>
      <c r="G7" s="9"/>
      <c r="H7" s="9"/>
      <c r="I7" s="9"/>
      <c r="J7" s="9"/>
      <c r="K7" s="9"/>
      <c r="L7" s="9"/>
    </row>
    <row r="8" spans="2:12" s="1" customFormat="1" ht="12.75">
      <c r="B8" s="9" t="s">
        <v>140</v>
      </c>
      <c r="C8" s="12" t="s">
        <v>95</v>
      </c>
      <c r="D8" s="9"/>
      <c r="E8" s="9"/>
      <c r="F8" s="9"/>
      <c r="G8" s="9"/>
      <c r="H8" s="9"/>
      <c r="I8" s="9"/>
      <c r="J8" s="9"/>
      <c r="K8" s="9"/>
      <c r="L8" s="9"/>
    </row>
    <row r="9" spans="2:12" s="1" customFormat="1" ht="12.75">
      <c r="B9" s="9" t="s">
        <v>188</v>
      </c>
      <c r="C9" s="61">
        <v>36251</v>
      </c>
      <c r="D9" s="9"/>
      <c r="E9" s="9"/>
      <c r="F9" s="9"/>
      <c r="G9" s="9"/>
      <c r="H9" s="9"/>
      <c r="I9" s="9"/>
      <c r="J9" s="9"/>
      <c r="K9" s="9"/>
      <c r="L9" s="9"/>
    </row>
    <row r="10" spans="2:12" s="1" customFormat="1" ht="12.75">
      <c r="B10" s="9" t="s">
        <v>141</v>
      </c>
      <c r="C10" s="9" t="s">
        <v>135</v>
      </c>
      <c r="D10" s="9"/>
      <c r="E10" s="9"/>
      <c r="F10" s="9"/>
      <c r="G10" s="9"/>
      <c r="H10" s="9"/>
      <c r="I10" s="9"/>
      <c r="J10" s="9"/>
      <c r="K10" s="9"/>
      <c r="L10" s="9"/>
    </row>
    <row r="11" spans="2:12" s="1" customFormat="1" ht="12.75">
      <c r="B11" s="9" t="s">
        <v>142</v>
      </c>
      <c r="C11" s="12" t="s">
        <v>97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s="1" customFormat="1" ht="12.75">
      <c r="B12" s="9"/>
      <c r="C12" s="12"/>
      <c r="D12" s="9"/>
      <c r="E12" s="9"/>
      <c r="F12" s="9"/>
      <c r="G12" s="9"/>
      <c r="H12" s="9"/>
      <c r="I12" s="9"/>
      <c r="J12" s="9"/>
      <c r="K12" s="9"/>
      <c r="L12" s="9"/>
    </row>
    <row r="13" spans="2:12" s="1" customFormat="1" ht="12.75">
      <c r="B13" s="3" t="s">
        <v>144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s="1" customFormat="1" ht="12.75">
      <c r="B14" s="3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s="1" customFormat="1" ht="12.75">
      <c r="B15" s="9" t="s">
        <v>137</v>
      </c>
      <c r="C15" s="31" t="s">
        <v>104</v>
      </c>
      <c r="D15" s="9"/>
      <c r="E15" s="9"/>
      <c r="F15" s="9"/>
      <c r="G15" s="9"/>
      <c r="H15" s="9"/>
      <c r="I15" s="9"/>
      <c r="J15" s="9"/>
      <c r="K15" s="9"/>
      <c r="L15" s="9"/>
    </row>
    <row r="16" spans="2:12" s="1" customFormat="1" ht="12.75">
      <c r="B16" s="9" t="s">
        <v>138</v>
      </c>
      <c r="C16" s="9" t="s">
        <v>105</v>
      </c>
      <c r="D16" s="9"/>
      <c r="E16" s="9"/>
      <c r="F16" s="9"/>
      <c r="G16" s="9"/>
      <c r="H16" s="9"/>
      <c r="I16" s="9"/>
      <c r="J16" s="9"/>
      <c r="K16" s="9"/>
      <c r="L16" s="9"/>
    </row>
    <row r="17" spans="2:12" s="1" customFormat="1" ht="12.75">
      <c r="B17" s="9" t="s">
        <v>139</v>
      </c>
      <c r="C17" s="9" t="s">
        <v>134</v>
      </c>
      <c r="D17" s="9"/>
      <c r="E17" s="9"/>
      <c r="F17" s="9"/>
      <c r="G17" s="9"/>
      <c r="H17" s="9"/>
      <c r="I17" s="9"/>
      <c r="J17" s="9"/>
      <c r="K17" s="9"/>
      <c r="L17" s="9"/>
    </row>
    <row r="18" spans="2:12" s="1" customFormat="1" ht="12.75">
      <c r="B18" s="9" t="s">
        <v>140</v>
      </c>
      <c r="C18" s="12" t="s">
        <v>106</v>
      </c>
      <c r="D18" s="9"/>
      <c r="E18" s="9"/>
      <c r="F18" s="9"/>
      <c r="G18" s="9"/>
      <c r="H18" s="9"/>
      <c r="I18" s="9"/>
      <c r="J18" s="9"/>
      <c r="K18" s="9"/>
      <c r="L18" s="9"/>
    </row>
    <row r="19" spans="2:12" s="1" customFormat="1" ht="12.75">
      <c r="B19" s="9" t="s">
        <v>188</v>
      </c>
      <c r="C19" s="61">
        <v>36251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s="1" customFormat="1" ht="12.75">
      <c r="B20" s="9" t="s">
        <v>141</v>
      </c>
      <c r="C20" s="12" t="s">
        <v>107</v>
      </c>
      <c r="D20" s="9"/>
      <c r="E20" s="9"/>
      <c r="F20" s="9"/>
      <c r="G20" s="9"/>
      <c r="H20" s="9"/>
      <c r="I20" s="9"/>
      <c r="J20" s="9"/>
      <c r="K20" s="9"/>
      <c r="L20" s="9"/>
    </row>
    <row r="21" spans="2:12" s="1" customFormat="1" ht="12.75">
      <c r="B21" s="9" t="s">
        <v>142</v>
      </c>
      <c r="C21" s="12" t="s">
        <v>108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s="1" customFormat="1" ht="12.75">
      <c r="B22" s="9"/>
      <c r="C22" s="12"/>
      <c r="D22" s="9"/>
      <c r="E22" s="9"/>
      <c r="F22" s="9"/>
      <c r="G22" s="9"/>
      <c r="H22" s="9"/>
      <c r="I22" s="9"/>
      <c r="J22" s="9"/>
      <c r="K22" s="9"/>
      <c r="L22" s="9"/>
    </row>
    <row r="23" spans="2:12" s="1" customFormat="1" ht="12.75">
      <c r="B23" s="3" t="s">
        <v>145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2" s="1" customFormat="1" ht="12.75">
      <c r="B24" s="3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s="1" customFormat="1" ht="12.75">
      <c r="B25" s="9" t="s">
        <v>137</v>
      </c>
      <c r="C25" s="31" t="s">
        <v>104</v>
      </c>
      <c r="D25" s="9"/>
      <c r="E25" s="9"/>
      <c r="F25" s="9"/>
      <c r="G25" s="9"/>
      <c r="H25" s="9"/>
      <c r="I25" s="9"/>
      <c r="J25" s="9"/>
      <c r="K25" s="9"/>
      <c r="L25" s="9"/>
    </row>
    <row r="26" spans="2:12" s="1" customFormat="1" ht="12.75">
      <c r="B26" s="9" t="s">
        <v>138</v>
      </c>
      <c r="C26" s="9" t="s">
        <v>105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s="1" customFormat="1" ht="12.75">
      <c r="B27" s="9" t="s">
        <v>139</v>
      </c>
      <c r="C27" s="9" t="s">
        <v>134</v>
      </c>
      <c r="D27" s="9"/>
      <c r="E27" s="9"/>
      <c r="F27" s="9"/>
      <c r="G27" s="9"/>
      <c r="H27" s="9"/>
      <c r="I27" s="9"/>
      <c r="J27" s="9"/>
      <c r="K27" s="9"/>
      <c r="L27" s="9"/>
    </row>
    <row r="28" spans="2:12" s="1" customFormat="1" ht="12.75">
      <c r="B28" s="9" t="s">
        <v>140</v>
      </c>
      <c r="C28" s="12" t="s">
        <v>109</v>
      </c>
      <c r="D28" s="9"/>
      <c r="E28" s="9"/>
      <c r="F28" s="9"/>
      <c r="G28" s="9"/>
      <c r="H28" s="9"/>
      <c r="I28" s="9"/>
      <c r="J28" s="9"/>
      <c r="K28" s="9"/>
      <c r="L28" s="9"/>
    </row>
    <row r="29" spans="2:12" s="1" customFormat="1" ht="12.75">
      <c r="B29" s="9" t="s">
        <v>188</v>
      </c>
      <c r="C29" s="61">
        <v>36251</v>
      </c>
      <c r="D29" s="9"/>
      <c r="E29" s="9"/>
      <c r="F29" s="9"/>
      <c r="G29" s="9"/>
      <c r="H29" s="9"/>
      <c r="I29" s="9"/>
      <c r="J29" s="9"/>
      <c r="K29" s="9"/>
      <c r="L29" s="9"/>
    </row>
    <row r="30" spans="2:12" s="1" customFormat="1" ht="12.75">
      <c r="B30" s="9" t="s">
        <v>141</v>
      </c>
      <c r="C30" s="12" t="s">
        <v>136</v>
      </c>
      <c r="D30" s="9"/>
      <c r="E30" s="9"/>
      <c r="F30" s="9"/>
      <c r="G30" s="9"/>
      <c r="H30" s="9"/>
      <c r="I30" s="9"/>
      <c r="J30" s="9"/>
      <c r="K30" s="9"/>
      <c r="L30" s="9"/>
    </row>
    <row r="31" spans="2:12" s="1" customFormat="1" ht="12.75">
      <c r="B31" s="9" t="s">
        <v>142</v>
      </c>
      <c r="C31" s="12" t="s">
        <v>97</v>
      </c>
      <c r="D31" s="9"/>
      <c r="E31" s="9"/>
      <c r="F31" s="9"/>
      <c r="G31" s="9"/>
      <c r="H31" s="9"/>
      <c r="I31" s="9"/>
      <c r="J31" s="9"/>
      <c r="K31" s="9"/>
      <c r="L31" s="9"/>
    </row>
    <row r="32" spans="2:12" s="1" customFormat="1" ht="12.75">
      <c r="B32" s="9"/>
      <c r="C32" s="12"/>
      <c r="D32" s="9"/>
      <c r="E32" s="9"/>
      <c r="F32" s="9"/>
      <c r="G32" s="9"/>
      <c r="H32" s="9"/>
      <c r="I32" s="9"/>
      <c r="J32" s="9"/>
      <c r="K32" s="9"/>
      <c r="L32" s="9"/>
    </row>
    <row r="33" spans="2:12" s="1" customFormat="1" ht="12.75">
      <c r="B33" s="3" t="s">
        <v>146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s="1" customFormat="1" ht="12.75"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2:12" s="1" customFormat="1" ht="12.75">
      <c r="B35" s="9" t="s">
        <v>137</v>
      </c>
      <c r="C35" s="31" t="s">
        <v>104</v>
      </c>
      <c r="D35" s="9"/>
      <c r="E35" s="9"/>
      <c r="F35" s="9"/>
      <c r="G35" s="9"/>
      <c r="H35" s="9"/>
      <c r="I35" s="9"/>
      <c r="J35" s="9"/>
      <c r="K35" s="9"/>
      <c r="L35" s="9"/>
    </row>
    <row r="36" spans="2:12" s="1" customFormat="1" ht="12.75">
      <c r="B36" s="9" t="s">
        <v>138</v>
      </c>
      <c r="C36" s="9" t="s">
        <v>105</v>
      </c>
      <c r="D36" s="9"/>
      <c r="E36" s="9"/>
      <c r="F36" s="9"/>
      <c r="G36" s="9"/>
      <c r="H36" s="9"/>
      <c r="I36" s="9"/>
      <c r="J36" s="9"/>
      <c r="K36" s="9"/>
      <c r="L36" s="9"/>
    </row>
    <row r="37" spans="2:12" s="1" customFormat="1" ht="12.75">
      <c r="B37" s="9" t="s">
        <v>139</v>
      </c>
      <c r="C37" s="9" t="s">
        <v>134</v>
      </c>
      <c r="D37" s="9"/>
      <c r="E37" s="9"/>
      <c r="F37" s="9"/>
      <c r="G37" s="9"/>
      <c r="H37" s="9"/>
      <c r="I37" s="9"/>
      <c r="J37" s="9"/>
      <c r="K37" s="9"/>
      <c r="L37" s="9"/>
    </row>
    <row r="38" spans="2:12" s="1" customFormat="1" ht="12.75">
      <c r="B38" s="9" t="s">
        <v>140</v>
      </c>
      <c r="C38" s="12" t="s">
        <v>110</v>
      </c>
      <c r="D38" s="9"/>
      <c r="E38" s="9"/>
      <c r="F38" s="9"/>
      <c r="G38" s="9"/>
      <c r="H38" s="9"/>
      <c r="I38" s="9"/>
      <c r="J38" s="9"/>
      <c r="K38" s="9"/>
      <c r="L38" s="9"/>
    </row>
    <row r="39" spans="2:12" s="1" customFormat="1" ht="12.75">
      <c r="B39" s="9" t="s">
        <v>188</v>
      </c>
      <c r="C39" s="61">
        <v>36251</v>
      </c>
      <c r="D39" s="9"/>
      <c r="E39" s="9"/>
      <c r="F39" s="9"/>
      <c r="G39" s="9"/>
      <c r="H39" s="9"/>
      <c r="I39" s="9"/>
      <c r="J39" s="9"/>
      <c r="K39" s="9"/>
      <c r="L39" s="9"/>
    </row>
    <row r="40" spans="2:12" s="1" customFormat="1" ht="12.75">
      <c r="B40" s="9" t="s">
        <v>141</v>
      </c>
      <c r="C40" s="12" t="s">
        <v>111</v>
      </c>
      <c r="D40" s="9"/>
      <c r="E40" s="9"/>
      <c r="F40" s="9"/>
      <c r="G40" s="9"/>
      <c r="H40" s="9"/>
      <c r="I40" s="9"/>
      <c r="J40" s="9"/>
      <c r="K40" s="9"/>
      <c r="L40" s="9"/>
    </row>
    <row r="41" spans="2:12" s="1" customFormat="1" ht="12.75">
      <c r="B41" s="9" t="s">
        <v>142</v>
      </c>
      <c r="C41" s="12" t="s">
        <v>108</v>
      </c>
      <c r="D41" s="9"/>
      <c r="E41" s="9"/>
      <c r="F41" s="9"/>
      <c r="G41" s="9"/>
      <c r="H41" s="9"/>
      <c r="I41" s="9"/>
      <c r="J41" s="9"/>
      <c r="K41" s="9"/>
      <c r="L41" s="9"/>
    </row>
    <row r="42" spans="2:12" s="1" customFormat="1" ht="12.75">
      <c r="B42" s="9"/>
      <c r="C42" s="12"/>
      <c r="D42" s="9"/>
      <c r="E42" s="9"/>
      <c r="F42" s="9"/>
      <c r="G42" s="9"/>
      <c r="H42" s="9"/>
      <c r="I42" s="9"/>
      <c r="J42" s="9"/>
      <c r="K42" s="9"/>
      <c r="L42" s="9"/>
    </row>
    <row r="43" ht="12.75">
      <c r="B43" s="3" t="s">
        <v>98</v>
      </c>
    </row>
    <row r="45" spans="2:3" s="42" customFormat="1" ht="38.25">
      <c r="B45" s="42" t="s">
        <v>137</v>
      </c>
      <c r="C45" s="43" t="s">
        <v>147</v>
      </c>
    </row>
    <row r="46" spans="2:3" ht="12.75">
      <c r="B46" t="s">
        <v>138</v>
      </c>
      <c r="C46" s="41" t="s">
        <v>148</v>
      </c>
    </row>
    <row r="47" spans="2:3" ht="12.75">
      <c r="B47" t="s">
        <v>139</v>
      </c>
      <c r="C47" s="41" t="s">
        <v>148</v>
      </c>
    </row>
    <row r="48" spans="1:3" ht="12.75">
      <c r="A48" t="s">
        <v>98</v>
      </c>
      <c r="B48" t="s">
        <v>149</v>
      </c>
      <c r="C48" s="41" t="s">
        <v>150</v>
      </c>
    </row>
    <row r="49" spans="2:5" ht="12.75">
      <c r="B49" s="9" t="s">
        <v>140</v>
      </c>
      <c r="C49" s="63">
        <v>34191</v>
      </c>
      <c r="E49" s="44"/>
    </row>
    <row r="50" spans="2:5" ht="12.75">
      <c r="B50" s="9" t="s">
        <v>188</v>
      </c>
      <c r="C50" s="62">
        <v>34182</v>
      </c>
      <c r="E50" s="44"/>
    </row>
    <row r="51" ht="12.75">
      <c r="E51" s="44"/>
    </row>
    <row r="52" spans="2:5" ht="12.75">
      <c r="B52" s="3" t="s">
        <v>100</v>
      </c>
      <c r="E52" s="44"/>
    </row>
    <row r="53" ht="12.75">
      <c r="E53" s="44"/>
    </row>
    <row r="54" spans="2:3" s="42" customFormat="1" ht="38.25">
      <c r="B54" s="42" t="s">
        <v>137</v>
      </c>
      <c r="C54" s="43" t="s">
        <v>147</v>
      </c>
    </row>
    <row r="55" spans="2:3" ht="12.75">
      <c r="B55" t="s">
        <v>138</v>
      </c>
      <c r="C55" s="41" t="s">
        <v>148</v>
      </c>
    </row>
    <row r="56" spans="2:3" ht="12.75">
      <c r="B56" t="s">
        <v>139</v>
      </c>
      <c r="C56" s="41" t="s">
        <v>148</v>
      </c>
    </row>
    <row r="57" spans="1:3" ht="12.75">
      <c r="A57" t="s">
        <v>100</v>
      </c>
      <c r="B57" t="s">
        <v>149</v>
      </c>
      <c r="C57" s="41" t="s">
        <v>151</v>
      </c>
    </row>
    <row r="58" spans="2:3" ht="12.75">
      <c r="B58" s="9" t="s">
        <v>140</v>
      </c>
      <c r="C58" s="63">
        <v>34192</v>
      </c>
    </row>
    <row r="59" spans="2:3" ht="12.75">
      <c r="B59" s="9" t="s">
        <v>188</v>
      </c>
      <c r="C59" s="62">
        <v>34182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9"/>
  <sheetViews>
    <sheetView workbookViewId="0" topLeftCell="B1">
      <selection activeCell="C2" sqref="C2"/>
    </sheetView>
  </sheetViews>
  <sheetFormatPr defaultColWidth="9.140625" defaultRowHeight="12.75"/>
  <cols>
    <col min="1" max="1" width="1.8515625" style="14" hidden="1" customWidth="1"/>
    <col min="2" max="2" width="21.140625" style="14" customWidth="1"/>
    <col min="3" max="3" width="4.140625" style="14" customWidth="1"/>
    <col min="4" max="4" width="8.8515625" style="5" customWidth="1"/>
    <col min="5" max="5" width="6.140625" style="5" customWidth="1"/>
    <col min="6" max="6" width="3.140625" style="5" customWidth="1"/>
    <col min="7" max="7" width="10.00390625" style="14" customWidth="1"/>
    <col min="8" max="8" width="2.7109375" style="14" customWidth="1"/>
    <col min="9" max="9" width="9.7109375" style="15" customWidth="1"/>
    <col min="10" max="10" width="2.8515625" style="14" customWidth="1"/>
    <col min="11" max="11" width="12.28125" style="14" customWidth="1"/>
    <col min="12" max="12" width="3.7109375" style="14" customWidth="1"/>
    <col min="13" max="13" width="8.8515625" style="14" customWidth="1"/>
    <col min="14" max="14" width="2.140625" style="14" customWidth="1"/>
    <col min="15" max="16384" width="8.8515625" style="14" customWidth="1"/>
  </cols>
  <sheetData>
    <row r="1" spans="2:3" ht="12.75">
      <c r="B1" s="53" t="s">
        <v>171</v>
      </c>
      <c r="C1" s="13"/>
    </row>
    <row r="2" spans="3:12" ht="12.75">
      <c r="C2" s="16"/>
      <c r="G2" s="16"/>
      <c r="H2" s="16"/>
      <c r="I2" s="17"/>
      <c r="J2" s="16"/>
      <c r="K2" s="16"/>
      <c r="L2" s="16"/>
    </row>
    <row r="3" spans="2:5" ht="12.75">
      <c r="B3" s="9"/>
      <c r="C3" s="9" t="s">
        <v>66</v>
      </c>
      <c r="D3" s="5" t="s">
        <v>12</v>
      </c>
      <c r="E3" s="5" t="s">
        <v>42</v>
      </c>
    </row>
    <row r="4" spans="2:12" ht="12.75">
      <c r="B4" s="9"/>
      <c r="C4" s="9"/>
      <c r="G4" s="16"/>
      <c r="H4" s="16"/>
      <c r="I4" s="17"/>
      <c r="J4" s="16"/>
      <c r="K4" s="16"/>
      <c r="L4" s="16"/>
    </row>
    <row r="5" spans="2:12" ht="12.75">
      <c r="B5" s="9"/>
      <c r="C5" s="9"/>
      <c r="G5" s="16"/>
      <c r="H5" s="16"/>
      <c r="I5" s="17"/>
      <c r="J5" s="16"/>
      <c r="K5" s="16"/>
      <c r="L5" s="16"/>
    </row>
    <row r="6" spans="1:13" ht="12.75">
      <c r="A6" s="14">
        <v>1</v>
      </c>
      <c r="B6" s="18" t="s">
        <v>143</v>
      </c>
      <c r="C6" s="18" t="s">
        <v>67</v>
      </c>
      <c r="G6" s="16" t="s">
        <v>152</v>
      </c>
      <c r="H6" s="16"/>
      <c r="I6" s="17" t="s">
        <v>153</v>
      </c>
      <c r="J6" s="16"/>
      <c r="K6" s="16" t="s">
        <v>154</v>
      </c>
      <c r="L6" s="16"/>
      <c r="M6" s="14" t="s">
        <v>155</v>
      </c>
    </row>
    <row r="7" spans="2:12" ht="12.75">
      <c r="B7" s="5"/>
      <c r="C7" s="5"/>
      <c r="D7" s="9"/>
      <c r="E7" s="9"/>
      <c r="F7" s="9"/>
      <c r="G7" s="9"/>
      <c r="H7" s="9"/>
      <c r="I7" s="19"/>
      <c r="J7" s="9"/>
      <c r="K7" s="9"/>
      <c r="L7" s="16"/>
    </row>
    <row r="8" spans="2:13" ht="12.75">
      <c r="B8" s="5" t="s">
        <v>13</v>
      </c>
      <c r="C8" s="5" t="s">
        <v>184</v>
      </c>
      <c r="D8" s="9" t="s">
        <v>14</v>
      </c>
      <c r="E8" s="9" t="s">
        <v>15</v>
      </c>
      <c r="F8" s="9"/>
      <c r="G8" s="9">
        <v>0.001</v>
      </c>
      <c r="H8" s="9"/>
      <c r="I8" s="19">
        <v>0.0003</v>
      </c>
      <c r="J8" s="9"/>
      <c r="K8" s="9">
        <v>0.0006</v>
      </c>
      <c r="L8" s="16"/>
      <c r="M8" s="35">
        <f>AVERAGE(K8,I8,G8)</f>
        <v>0.0006333333333333333</v>
      </c>
    </row>
    <row r="9" spans="2:13" ht="12.75">
      <c r="B9" s="5" t="s">
        <v>72</v>
      </c>
      <c r="C9" s="5" t="s">
        <v>184</v>
      </c>
      <c r="D9" s="5" t="s">
        <v>16</v>
      </c>
      <c r="E9" s="5" t="s">
        <v>15</v>
      </c>
      <c r="F9"/>
      <c r="G9">
        <v>7.5</v>
      </c>
      <c r="H9"/>
      <c r="I9">
        <v>6.7</v>
      </c>
      <c r="J9"/>
      <c r="K9">
        <v>8.4</v>
      </c>
      <c r="L9"/>
      <c r="M9" s="33">
        <f>AVERAGE(K9,I9,G9)</f>
        <v>7.533333333333334</v>
      </c>
    </row>
    <row r="10" spans="2:13" ht="12.75">
      <c r="B10" s="5" t="s">
        <v>84</v>
      </c>
      <c r="C10" s="5" t="s">
        <v>184</v>
      </c>
      <c r="D10" s="5" t="s">
        <v>16</v>
      </c>
      <c r="E10" s="5" t="s">
        <v>15</v>
      </c>
      <c r="F10"/>
      <c r="G10">
        <v>7.8</v>
      </c>
      <c r="H10"/>
      <c r="I10">
        <v>7</v>
      </c>
      <c r="J10"/>
      <c r="K10">
        <v>8.5</v>
      </c>
      <c r="L10"/>
      <c r="M10" s="2">
        <f>AVERAGE(K10,I10,G10)</f>
        <v>7.766666666666667</v>
      </c>
    </row>
    <row r="11" spans="2:13" ht="12.75">
      <c r="B11" s="5"/>
      <c r="C11" s="5"/>
      <c r="F11"/>
      <c r="G11"/>
      <c r="H11"/>
      <c r="I11"/>
      <c r="J11"/>
      <c r="K11"/>
      <c r="L11"/>
      <c r="M11" s="2"/>
    </row>
    <row r="12" spans="2:13" ht="12.75">
      <c r="B12" s="5" t="s">
        <v>26</v>
      </c>
      <c r="C12" s="5"/>
      <c r="D12" s="5" t="s">
        <v>29</v>
      </c>
      <c r="E12" s="5" t="s">
        <v>96</v>
      </c>
      <c r="F12"/>
      <c r="G12">
        <v>0.0304</v>
      </c>
      <c r="H12"/>
      <c r="I12">
        <v>2.5</v>
      </c>
      <c r="J12"/>
      <c r="K12">
        <v>0.983</v>
      </c>
      <c r="L12"/>
      <c r="M12" s="2"/>
    </row>
    <row r="13" spans="2:13" ht="12.75">
      <c r="B13" s="5" t="s">
        <v>27</v>
      </c>
      <c r="C13" s="5"/>
      <c r="D13" s="5" t="s">
        <v>29</v>
      </c>
      <c r="E13" s="5" t="s">
        <v>96</v>
      </c>
      <c r="F13"/>
      <c r="G13">
        <v>0.000904</v>
      </c>
      <c r="H13"/>
      <c r="I13">
        <v>0.00831</v>
      </c>
      <c r="J13"/>
      <c r="K13">
        <v>0.00103</v>
      </c>
      <c r="L13"/>
      <c r="M13" s="2"/>
    </row>
    <row r="14" spans="2:13" ht="12.75">
      <c r="B14" s="5"/>
      <c r="C14" s="5"/>
      <c r="F14" s="14"/>
      <c r="G14"/>
      <c r="I14"/>
      <c r="K14"/>
      <c r="L14"/>
      <c r="M14"/>
    </row>
    <row r="15" spans="2:13" ht="12.75">
      <c r="B15" s="60" t="s">
        <v>187</v>
      </c>
      <c r="C15" s="5"/>
      <c r="D15" s="5" t="s">
        <v>128</v>
      </c>
      <c r="F15" s="14" t="s">
        <v>80</v>
      </c>
      <c r="G15">
        <v>0.0016</v>
      </c>
      <c r="I15">
        <v>0.0032</v>
      </c>
      <c r="K15">
        <v>0.0025</v>
      </c>
      <c r="L15"/>
      <c r="M15"/>
    </row>
    <row r="16" spans="2:13" ht="12.75">
      <c r="B16" s="5" t="s">
        <v>56</v>
      </c>
      <c r="C16" s="5"/>
      <c r="D16" s="5" t="s">
        <v>29</v>
      </c>
      <c r="F16" s="14" t="s">
        <v>80</v>
      </c>
      <c r="G16" s="32">
        <v>9.48E-06</v>
      </c>
      <c r="I16" s="32">
        <v>1.54E-05</v>
      </c>
      <c r="K16" s="32">
        <v>9.92E-06</v>
      </c>
      <c r="L16"/>
      <c r="M16"/>
    </row>
    <row r="17" spans="2:13" ht="12.75">
      <c r="B17" s="5" t="s">
        <v>57</v>
      </c>
      <c r="C17" s="5"/>
      <c r="D17" s="5" t="s">
        <v>29</v>
      </c>
      <c r="F17" s="14" t="s">
        <v>80</v>
      </c>
      <c r="G17" s="32">
        <v>9.48E-06</v>
      </c>
      <c r="H17" s="14" t="s">
        <v>80</v>
      </c>
      <c r="I17" s="32">
        <v>9.7E-06</v>
      </c>
      <c r="J17" s="14" t="s">
        <v>80</v>
      </c>
      <c r="K17" s="32">
        <v>9.92E-06</v>
      </c>
      <c r="L17"/>
      <c r="M17"/>
    </row>
    <row r="18" spans="2:13" ht="12.75">
      <c r="B18" s="5" t="s">
        <v>58</v>
      </c>
      <c r="C18" s="5"/>
      <c r="D18" s="5" t="s">
        <v>29</v>
      </c>
      <c r="F18" s="14"/>
      <c r="G18" s="32">
        <v>8.82E-07</v>
      </c>
      <c r="I18" s="32">
        <v>1.63E-05</v>
      </c>
      <c r="K18" s="32">
        <v>2.65E-06</v>
      </c>
      <c r="L18"/>
      <c r="M18"/>
    </row>
    <row r="19" spans="2:13" ht="12.75">
      <c r="B19" s="5" t="s">
        <v>59</v>
      </c>
      <c r="C19" s="5"/>
      <c r="D19" s="5" t="s">
        <v>29</v>
      </c>
      <c r="F19" s="14" t="s">
        <v>80</v>
      </c>
      <c r="G19" s="32">
        <v>2.2E-07</v>
      </c>
      <c r="H19" s="14" t="s">
        <v>80</v>
      </c>
      <c r="I19" s="32">
        <v>4.41E-07</v>
      </c>
      <c r="K19" s="32">
        <v>6.61E-07</v>
      </c>
      <c r="L19"/>
      <c r="M19"/>
    </row>
    <row r="20" spans="2:13" ht="12.75">
      <c r="B20" s="5" t="s">
        <v>60</v>
      </c>
      <c r="C20" s="5"/>
      <c r="D20" s="5" t="s">
        <v>29</v>
      </c>
      <c r="F20" s="14"/>
      <c r="G20" s="32">
        <v>0</v>
      </c>
      <c r="I20" s="32">
        <v>4.85E-06</v>
      </c>
      <c r="K20" s="32">
        <v>1.32E-06</v>
      </c>
      <c r="L20"/>
      <c r="M20"/>
    </row>
    <row r="21" spans="2:13" ht="12.75">
      <c r="B21" s="5" t="s">
        <v>73</v>
      </c>
      <c r="C21" s="5"/>
      <c r="D21" s="5" t="s">
        <v>29</v>
      </c>
      <c r="F21" s="14" t="s">
        <v>80</v>
      </c>
      <c r="G21" s="32">
        <v>1.92E-05</v>
      </c>
      <c r="I21" s="32">
        <v>2.38E-05</v>
      </c>
      <c r="K21" s="32">
        <v>9.92E-06</v>
      </c>
      <c r="L21"/>
      <c r="M21"/>
    </row>
    <row r="22" spans="2:13" ht="12.75">
      <c r="B22" s="5" t="s">
        <v>55</v>
      </c>
      <c r="C22" s="5"/>
      <c r="D22" s="5" t="s">
        <v>29</v>
      </c>
      <c r="F22" s="14"/>
      <c r="G22" s="32">
        <v>3.09E-06</v>
      </c>
      <c r="I22" s="32">
        <v>3.53E-06</v>
      </c>
      <c r="K22" s="32">
        <v>3.09E-06</v>
      </c>
      <c r="L22"/>
      <c r="M22"/>
    </row>
    <row r="23" spans="2:13" ht="12.75">
      <c r="B23" s="5" t="s">
        <v>61</v>
      </c>
      <c r="C23" s="5"/>
      <c r="D23" s="5" t="s">
        <v>29</v>
      </c>
      <c r="F23" s="14" t="s">
        <v>80</v>
      </c>
      <c r="G23" s="32">
        <v>1.79E-05</v>
      </c>
      <c r="I23" s="32">
        <v>7.94E-05</v>
      </c>
      <c r="K23" s="32">
        <v>6.39E-05</v>
      </c>
      <c r="L23"/>
      <c r="M23"/>
    </row>
    <row r="24" spans="2:13" ht="12.75">
      <c r="B24" s="5" t="s">
        <v>62</v>
      </c>
      <c r="C24" s="5"/>
      <c r="D24" s="5" t="s">
        <v>29</v>
      </c>
      <c r="F24" s="14"/>
      <c r="G24" s="32">
        <v>1.76E-06</v>
      </c>
      <c r="I24" s="32">
        <v>2.65E-06</v>
      </c>
      <c r="K24" s="32">
        <v>0</v>
      </c>
      <c r="L24"/>
      <c r="M24"/>
    </row>
    <row r="25" spans="2:13" ht="12.75">
      <c r="B25" s="5" t="s">
        <v>63</v>
      </c>
      <c r="C25" s="5"/>
      <c r="D25" s="5" t="s">
        <v>29</v>
      </c>
      <c r="F25" s="14"/>
      <c r="G25" s="32">
        <v>4.85E-06</v>
      </c>
      <c r="I25" s="32">
        <v>5.73E-06</v>
      </c>
      <c r="J25" s="14" t="s">
        <v>80</v>
      </c>
      <c r="K25" s="32">
        <v>3.09E-06</v>
      </c>
      <c r="L25"/>
      <c r="M25"/>
    </row>
    <row r="26" spans="2:13" ht="12.75">
      <c r="B26" s="5" t="s">
        <v>64</v>
      </c>
      <c r="C26" s="5"/>
      <c r="D26" s="5" t="s">
        <v>29</v>
      </c>
      <c r="F26" s="14" t="s">
        <v>80</v>
      </c>
      <c r="G26" s="32">
        <v>9.48E-06</v>
      </c>
      <c r="H26" s="14" t="s">
        <v>80</v>
      </c>
      <c r="I26" s="32">
        <v>9.26E-06</v>
      </c>
      <c r="J26" s="14" t="s">
        <v>80</v>
      </c>
      <c r="K26" s="32">
        <v>9.92E-06</v>
      </c>
      <c r="L26"/>
      <c r="M26"/>
    </row>
    <row r="27" spans="2:13" ht="12.75">
      <c r="B27" s="5" t="s">
        <v>65</v>
      </c>
      <c r="C27" s="5"/>
      <c r="D27" s="5" t="s">
        <v>29</v>
      </c>
      <c r="F27" s="14" t="s">
        <v>80</v>
      </c>
      <c r="G27" s="32">
        <v>3.09E-06</v>
      </c>
      <c r="H27" s="14" t="s">
        <v>80</v>
      </c>
      <c r="I27" s="32">
        <v>3.09E-06</v>
      </c>
      <c r="J27" s="14" t="s">
        <v>80</v>
      </c>
      <c r="K27" s="32">
        <v>3.09E-06</v>
      </c>
      <c r="L27"/>
      <c r="M27"/>
    </row>
    <row r="28" spans="2:13" ht="12.75">
      <c r="B28" s="5"/>
      <c r="C28" s="5"/>
      <c r="F28" s="14"/>
      <c r="G28"/>
      <c r="I28"/>
      <c r="K28"/>
      <c r="L28"/>
      <c r="M28"/>
    </row>
    <row r="29" spans="2:13" ht="12.75">
      <c r="B29" s="5" t="s">
        <v>74</v>
      </c>
      <c r="C29" s="5" t="s">
        <v>125</v>
      </c>
      <c r="D29" s="5" t="s">
        <v>184</v>
      </c>
      <c r="F29"/>
      <c r="G29"/>
      <c r="H29"/>
      <c r="I29"/>
      <c r="J29"/>
      <c r="K29"/>
      <c r="L29"/>
      <c r="M29"/>
    </row>
    <row r="30" spans="2:13" ht="12.75">
      <c r="B30" s="5" t="s">
        <v>54</v>
      </c>
      <c r="C30" s="5"/>
      <c r="D30" s="5" t="s">
        <v>17</v>
      </c>
      <c r="F30"/>
      <c r="G30" s="34">
        <v>3377</v>
      </c>
      <c r="H30"/>
      <c r="I30" s="34">
        <v>3279</v>
      </c>
      <c r="J30" s="34"/>
      <c r="K30" s="34">
        <v>3314</v>
      </c>
      <c r="L30"/>
      <c r="M30" s="34">
        <f>AVERAGE(K30,I30,G30)</f>
        <v>3323.3333333333335</v>
      </c>
    </row>
    <row r="31" spans="2:13" ht="12.75">
      <c r="B31" s="5" t="s">
        <v>70</v>
      </c>
      <c r="C31" s="5"/>
      <c r="D31" s="5" t="s">
        <v>18</v>
      </c>
      <c r="F31"/>
      <c r="G31">
        <v>12.5</v>
      </c>
      <c r="H31"/>
      <c r="I31">
        <v>13.4</v>
      </c>
      <c r="J31"/>
      <c r="K31">
        <v>12.7</v>
      </c>
      <c r="L31"/>
      <c r="M31" s="2">
        <f>AVERAGE(K31,I31,G31)</f>
        <v>12.866666666666667</v>
      </c>
    </row>
    <row r="32" spans="2:13" ht="12.75">
      <c r="B32" s="5" t="s">
        <v>71</v>
      </c>
      <c r="C32" s="5"/>
      <c r="D32" s="5" t="s">
        <v>18</v>
      </c>
      <c r="F32"/>
      <c r="G32">
        <v>15.4</v>
      </c>
      <c r="H32"/>
      <c r="I32">
        <v>15.2</v>
      </c>
      <c r="J32"/>
      <c r="K32">
        <v>14.4</v>
      </c>
      <c r="L32"/>
      <c r="M32" s="2">
        <f>AVERAGE(K32,I32,G32)</f>
        <v>15</v>
      </c>
    </row>
    <row r="33" spans="2:13" ht="12.75">
      <c r="B33" s="5" t="s">
        <v>53</v>
      </c>
      <c r="C33" s="5"/>
      <c r="D33" s="5" t="s">
        <v>19</v>
      </c>
      <c r="F33"/>
      <c r="G33">
        <v>269.3</v>
      </c>
      <c r="H33"/>
      <c r="I33">
        <v>273.3</v>
      </c>
      <c r="J33"/>
      <c r="K33">
        <v>272.3</v>
      </c>
      <c r="L33"/>
      <c r="M33" s="34">
        <f>AVERAGE(K33,I33,G33)</f>
        <v>271.6333333333334</v>
      </c>
    </row>
    <row r="34" spans="2:13" ht="12.75">
      <c r="B34" s="5"/>
      <c r="C34" s="5"/>
      <c r="F34" s="14"/>
      <c r="G34"/>
      <c r="I34"/>
      <c r="K34"/>
      <c r="L34"/>
      <c r="M34"/>
    </row>
    <row r="35" spans="2:13" ht="12.75">
      <c r="B35" s="5" t="s">
        <v>74</v>
      </c>
      <c r="C35" s="5" t="s">
        <v>126</v>
      </c>
      <c r="D35" s="5" t="s">
        <v>185</v>
      </c>
      <c r="F35"/>
      <c r="G35"/>
      <c r="H35"/>
      <c r="I35"/>
      <c r="J35"/>
      <c r="K35"/>
      <c r="L35"/>
      <c r="M35"/>
    </row>
    <row r="36" spans="2:13" ht="12.75">
      <c r="B36" s="5" t="s">
        <v>54</v>
      </c>
      <c r="C36" s="5"/>
      <c r="D36" s="5" t="s">
        <v>17</v>
      </c>
      <c r="F36"/>
      <c r="G36" s="34">
        <v>3343</v>
      </c>
      <c r="H36"/>
      <c r="I36" s="34">
        <v>3280</v>
      </c>
      <c r="J36" s="34"/>
      <c r="K36" s="34">
        <v>3309</v>
      </c>
      <c r="L36"/>
      <c r="M36" s="34">
        <f>AVERAGE(K36,I36,G36)</f>
        <v>3310.6666666666665</v>
      </c>
    </row>
    <row r="37" spans="2:13" ht="12.75">
      <c r="B37" s="5" t="s">
        <v>70</v>
      </c>
      <c r="C37" s="5"/>
      <c r="D37" s="5" t="s">
        <v>18</v>
      </c>
      <c r="F37"/>
      <c r="G37">
        <v>12.3</v>
      </c>
      <c r="H37"/>
      <c r="I37">
        <v>13.2</v>
      </c>
      <c r="J37"/>
      <c r="K37">
        <v>12.4</v>
      </c>
      <c r="L37"/>
      <c r="M37" s="2">
        <f>AVERAGE(K37,I37,G37)</f>
        <v>12.633333333333335</v>
      </c>
    </row>
    <row r="38" spans="2:13" ht="12.75">
      <c r="B38" s="5" t="s">
        <v>71</v>
      </c>
      <c r="C38" s="5"/>
      <c r="D38" s="5" t="s">
        <v>18</v>
      </c>
      <c r="F38"/>
      <c r="G38">
        <v>14.3</v>
      </c>
      <c r="H38"/>
      <c r="I38">
        <v>16.1</v>
      </c>
      <c r="J38"/>
      <c r="K38">
        <v>14.6</v>
      </c>
      <c r="L38"/>
      <c r="M38" s="2">
        <f>AVERAGE(K38,I38,G38)</f>
        <v>15</v>
      </c>
    </row>
    <row r="39" spans="2:13" ht="12.75">
      <c r="B39" s="5" t="s">
        <v>53</v>
      </c>
      <c r="C39" s="5"/>
      <c r="D39" s="5" t="s">
        <v>19</v>
      </c>
      <c r="F39"/>
      <c r="G39">
        <v>270.3</v>
      </c>
      <c r="H39"/>
      <c r="I39">
        <v>273.2</v>
      </c>
      <c r="J39"/>
      <c r="K39">
        <v>271.8</v>
      </c>
      <c r="L39"/>
      <c r="M39" s="34">
        <f>AVERAGE(K39,I39,G39)</f>
        <v>271.76666666666665</v>
      </c>
    </row>
    <row r="40" spans="2:13" ht="12.75">
      <c r="B40" s="5"/>
      <c r="C40" s="5"/>
      <c r="F40" s="14"/>
      <c r="G40"/>
      <c r="I40"/>
      <c r="K40"/>
      <c r="L40"/>
      <c r="M40"/>
    </row>
    <row r="41" spans="2:13" ht="12.75">
      <c r="B41" s="5" t="s">
        <v>74</v>
      </c>
      <c r="C41" s="5" t="s">
        <v>127</v>
      </c>
      <c r="D41" s="5" t="s">
        <v>186</v>
      </c>
      <c r="F41"/>
      <c r="G41"/>
      <c r="H41"/>
      <c r="I41"/>
      <c r="J41"/>
      <c r="K41"/>
      <c r="L41"/>
      <c r="M41"/>
    </row>
    <row r="42" spans="2:13" ht="12.75">
      <c r="B42" s="5" t="s">
        <v>54</v>
      </c>
      <c r="C42" s="5"/>
      <c r="D42" s="5" t="s">
        <v>17</v>
      </c>
      <c r="F42"/>
      <c r="G42" s="34">
        <v>3359</v>
      </c>
      <c r="H42"/>
      <c r="I42" s="34">
        <v>3266</v>
      </c>
      <c r="J42" s="34"/>
      <c r="K42" s="34">
        <v>3343</v>
      </c>
      <c r="L42"/>
      <c r="M42" s="34">
        <f>AVERAGE(K42,I42,G42)</f>
        <v>3322.6666666666665</v>
      </c>
    </row>
    <row r="43" spans="2:13" ht="12.75">
      <c r="B43" s="5" t="s">
        <v>70</v>
      </c>
      <c r="C43" s="5"/>
      <c r="D43" s="5" t="s">
        <v>18</v>
      </c>
      <c r="F43"/>
      <c r="G43">
        <v>12.3</v>
      </c>
      <c r="H43"/>
      <c r="I43">
        <v>13.2</v>
      </c>
      <c r="J43"/>
      <c r="K43">
        <v>12.4</v>
      </c>
      <c r="L43"/>
      <c r="M43" s="2">
        <f>AVERAGE(K43,I43,G43)</f>
        <v>12.633333333333335</v>
      </c>
    </row>
    <row r="44" spans="2:13" ht="12.75">
      <c r="B44" s="5" t="s">
        <v>71</v>
      </c>
      <c r="C44" s="5"/>
      <c r="D44" s="5" t="s">
        <v>18</v>
      </c>
      <c r="F44"/>
      <c r="G44">
        <v>11.8</v>
      </c>
      <c r="H44"/>
      <c r="I44">
        <v>15.3</v>
      </c>
      <c r="J44"/>
      <c r="K44">
        <v>13.4</v>
      </c>
      <c r="L44"/>
      <c r="M44" s="2">
        <f>AVERAGE(K44,I44,G44)</f>
        <v>13.5</v>
      </c>
    </row>
    <row r="45" spans="2:13" ht="12.75">
      <c r="B45" s="5" t="s">
        <v>53</v>
      </c>
      <c r="C45" s="5"/>
      <c r="D45" s="5" t="s">
        <v>19</v>
      </c>
      <c r="F45"/>
      <c r="G45">
        <v>271.3</v>
      </c>
      <c r="H45"/>
      <c r="I45">
        <v>274.6</v>
      </c>
      <c r="J45"/>
      <c r="K45">
        <v>274.8</v>
      </c>
      <c r="L45"/>
      <c r="M45" s="34">
        <f>AVERAGE(K45,I45,G45)</f>
        <v>273.56666666666666</v>
      </c>
    </row>
    <row r="47" spans="2:13" ht="12.75">
      <c r="B47" s="5" t="s">
        <v>26</v>
      </c>
      <c r="C47" s="5" t="s">
        <v>184</v>
      </c>
      <c r="D47" s="5" t="s">
        <v>16</v>
      </c>
      <c r="E47" s="5" t="s">
        <v>15</v>
      </c>
      <c r="F47"/>
      <c r="G47" s="33">
        <f>G12*454/60/0.0283/G$30*(21-7)/(21-G$31)*667.8</f>
        <v>2.6473795794321164</v>
      </c>
      <c r="H47"/>
      <c r="I47" s="33">
        <f>I12*454/60/0.0283/I$30*(21-7)/(21-I$31)*667.8</f>
        <v>250.77117627331083</v>
      </c>
      <c r="J47"/>
      <c r="K47" s="33">
        <f>K12*454/60/0.0283/K$30*(21-7)/(21-K$31)*667.8</f>
        <v>89.33374460799367</v>
      </c>
      <c r="L47"/>
      <c r="M47" s="2">
        <f>AVERAGE(K47,I47,G47)</f>
        <v>114.25076682024554</v>
      </c>
    </row>
    <row r="48" spans="2:13" ht="12.75">
      <c r="B48" s="5" t="s">
        <v>27</v>
      </c>
      <c r="C48" s="5" t="s">
        <v>184</v>
      </c>
      <c r="D48" s="5" t="s">
        <v>16</v>
      </c>
      <c r="E48" s="5" t="s">
        <v>15</v>
      </c>
      <c r="F48"/>
      <c r="G48" s="37">
        <f>G13*454/60/0.0283/G$30*(21-7)/(21-G$31)*343.4</f>
        <v>0.04048227750043337</v>
      </c>
      <c r="H48"/>
      <c r="I48" s="37">
        <f>I13*454/60/0.0283/I$30*(21-7)/(21-I$31)*343.4</f>
        <v>0.4286398144696245</v>
      </c>
      <c r="J48"/>
      <c r="K48" s="37">
        <f>K13*454/60/0.0283/K$30*(21-7)/(21-K$31)*343.4</f>
        <v>0.04813412946008558</v>
      </c>
      <c r="L48"/>
      <c r="M48" s="2">
        <f>AVERAGE(K48,I48,G48)</f>
        <v>0.1724187404767145</v>
      </c>
    </row>
    <row r="49" spans="2:13" ht="12.75">
      <c r="B49" s="5" t="s">
        <v>99</v>
      </c>
      <c r="C49" s="5" t="s">
        <v>184</v>
      </c>
      <c r="D49" s="5" t="s">
        <v>16</v>
      </c>
      <c r="E49" s="5" t="s">
        <v>15</v>
      </c>
      <c r="F49"/>
      <c r="G49" s="33">
        <f>G48*2+G47</f>
        <v>2.7283441344329833</v>
      </c>
      <c r="H49"/>
      <c r="I49" s="33">
        <f>I48*2+I47</f>
        <v>251.62845590225007</v>
      </c>
      <c r="J49"/>
      <c r="K49" s="33">
        <f>K48*2+K47</f>
        <v>89.43001286691384</v>
      </c>
      <c r="L49"/>
      <c r="M49" s="2">
        <f>AVERAGE(K49,I49,G49)</f>
        <v>114.59560430119897</v>
      </c>
    </row>
    <row r="50" spans="2:13" ht="12.75">
      <c r="B50" s="5"/>
      <c r="C50" s="5"/>
      <c r="F50"/>
      <c r="G50"/>
      <c r="H50"/>
      <c r="I50"/>
      <c r="J50"/>
      <c r="K50"/>
      <c r="L50"/>
      <c r="M50"/>
    </row>
    <row r="51" spans="2:13" ht="12.75">
      <c r="B51" s="60" t="s">
        <v>187</v>
      </c>
      <c r="C51" s="5" t="s">
        <v>186</v>
      </c>
      <c r="D51" s="5" t="s">
        <v>34</v>
      </c>
      <c r="E51" s="5" t="s">
        <v>15</v>
      </c>
      <c r="F51" s="5" t="s">
        <v>80</v>
      </c>
      <c r="G51" s="33">
        <f>G15/60/0.0283/G$42*(21-7)/(21-G$43)*1000000</f>
        <v>0.4514202905609424</v>
      </c>
      <c r="H51"/>
      <c r="I51" s="33">
        <f>I15/60/0.0283/I$42*(21-7)/(21-I$43)*1000000</f>
        <v>1.0356894324704873</v>
      </c>
      <c r="J51"/>
      <c r="K51" s="33">
        <f>K15/60/0.0283/K$42*(21-7)/(21-K$43)*1000000</f>
        <v>0.7169609971824582</v>
      </c>
      <c r="L51"/>
      <c r="M51" s="2">
        <f aca="true" t="shared" si="0" ref="M51:M58">AVERAGE(K51,I51,G51)</f>
        <v>0.7346902400712959</v>
      </c>
    </row>
    <row r="52" spans="2:13" ht="12.75">
      <c r="B52" s="5" t="s">
        <v>56</v>
      </c>
      <c r="C52" s="5" t="s">
        <v>185</v>
      </c>
      <c r="D52" s="5" t="s">
        <v>34</v>
      </c>
      <c r="E52" s="5" t="s">
        <v>15</v>
      </c>
      <c r="F52" s="14" t="s">
        <v>80</v>
      </c>
      <c r="G52" s="33">
        <f>G16*454/60/0.0283/G$30*(21-7)/(21-G$31)*1000000</f>
        <v>1.2362450156945262</v>
      </c>
      <c r="I52" s="33">
        <f>I16*454/60/0.0283/I$30*(21-7)/(21-I$31)*1000000</f>
        <v>2.313193240256955</v>
      </c>
      <c r="K52" s="33">
        <f aca="true" t="shared" si="1" ref="K52:K63">K16*454/60/0.0283/K$30*(21-7)/(21-K$31)*1000000</f>
        <v>1.3499798255142716</v>
      </c>
      <c r="L52"/>
      <c r="M52" s="2">
        <f t="shared" si="0"/>
        <v>1.633139360488584</v>
      </c>
    </row>
    <row r="53" spans="2:13" ht="12.75">
      <c r="B53" s="5" t="s">
        <v>57</v>
      </c>
      <c r="C53" s="5" t="s">
        <v>185</v>
      </c>
      <c r="D53" s="5" t="s">
        <v>34</v>
      </c>
      <c r="E53" s="5" t="s">
        <v>15</v>
      </c>
      <c r="F53" s="14" t="s">
        <v>80</v>
      </c>
      <c r="G53" s="33">
        <f aca="true" t="shared" si="2" ref="G53:I63">G17*454/60/0.0283/G$30*(21-7)/(21-G$31)*1000000</f>
        <v>1.2362450156945262</v>
      </c>
      <c r="H53" s="14" t="s">
        <v>80</v>
      </c>
      <c r="I53" s="33">
        <f t="shared" si="2"/>
        <v>1.4570113266553544</v>
      </c>
      <c r="J53" s="14" t="s">
        <v>80</v>
      </c>
      <c r="K53" s="33">
        <f t="shared" si="1"/>
        <v>1.3499798255142716</v>
      </c>
      <c r="L53">
        <v>100</v>
      </c>
      <c r="M53" s="2">
        <f t="shared" si="0"/>
        <v>1.3477453892880507</v>
      </c>
    </row>
    <row r="54" spans="2:13" ht="12.75">
      <c r="B54" s="5" t="s">
        <v>58</v>
      </c>
      <c r="C54" s="5" t="s">
        <v>185</v>
      </c>
      <c r="D54" s="5" t="s">
        <v>34</v>
      </c>
      <c r="E54" s="5" t="s">
        <v>15</v>
      </c>
      <c r="F54" s="14"/>
      <c r="G54" s="33">
        <f t="shared" si="2"/>
        <v>0.11501773247284516</v>
      </c>
      <c r="I54" s="33">
        <f t="shared" si="2"/>
        <v>2.4483798581940492</v>
      </c>
      <c r="K54" s="33">
        <f t="shared" si="1"/>
        <v>0.36062969129161493</v>
      </c>
      <c r="L54"/>
      <c r="M54" s="2">
        <f t="shared" si="0"/>
        <v>0.9746757606528363</v>
      </c>
    </row>
    <row r="55" spans="2:13" ht="12.75">
      <c r="B55" s="5" t="s">
        <v>59</v>
      </c>
      <c r="C55" s="5" t="s">
        <v>185</v>
      </c>
      <c r="D55" s="5" t="s">
        <v>34</v>
      </c>
      <c r="E55" s="5" t="s">
        <v>15</v>
      </c>
      <c r="F55" s="14" t="s">
        <v>80</v>
      </c>
      <c r="G55" s="33">
        <f t="shared" si="2"/>
        <v>0.02868923032202488</v>
      </c>
      <c r="H55" s="14" t="s">
        <v>80</v>
      </c>
      <c r="I55" s="33">
        <f t="shared" si="2"/>
        <v>0.06624144278917642</v>
      </c>
      <c r="K55" s="33">
        <f t="shared" si="1"/>
        <v>0.08995329280896508</v>
      </c>
      <c r="L55"/>
      <c r="M55" s="2">
        <f t="shared" si="0"/>
        <v>0.06162798864005547</v>
      </c>
    </row>
    <row r="56" spans="2:13" ht="12.75">
      <c r="B56" s="5" t="s">
        <v>60</v>
      </c>
      <c r="C56" s="5" t="s">
        <v>185</v>
      </c>
      <c r="D56" s="5" t="s">
        <v>34</v>
      </c>
      <c r="E56" s="5" t="s">
        <v>15</v>
      </c>
      <c r="F56" s="14"/>
      <c r="G56" s="33">
        <f t="shared" si="2"/>
        <v>0</v>
      </c>
      <c r="I56" s="33">
        <f t="shared" si="2"/>
        <v>0.7285056633276772</v>
      </c>
      <c r="K56" s="33">
        <f t="shared" si="1"/>
        <v>0.17963441226601196</v>
      </c>
      <c r="L56"/>
      <c r="M56" s="2">
        <f t="shared" si="0"/>
        <v>0.3027133585312297</v>
      </c>
    </row>
    <row r="57" spans="2:13" ht="12.75">
      <c r="B57" s="5" t="s">
        <v>73</v>
      </c>
      <c r="C57" s="5" t="s">
        <v>185</v>
      </c>
      <c r="D57" s="5" t="s">
        <v>34</v>
      </c>
      <c r="E57" s="5" t="s">
        <v>15</v>
      </c>
      <c r="F57" s="14" t="s">
        <v>80</v>
      </c>
      <c r="G57" s="33">
        <f t="shared" si="2"/>
        <v>2.5037873735585343</v>
      </c>
      <c r="I57" s="33">
        <f t="shared" si="2"/>
        <v>3.574935007669839</v>
      </c>
      <c r="K57" s="33">
        <f t="shared" si="1"/>
        <v>1.3499798255142716</v>
      </c>
      <c r="L57"/>
      <c r="M57" s="2">
        <f t="shared" si="0"/>
        <v>2.476234068914215</v>
      </c>
    </row>
    <row r="58" spans="2:13" ht="12.75">
      <c r="B58" s="5" t="s">
        <v>55</v>
      </c>
      <c r="C58" s="5" t="s">
        <v>185</v>
      </c>
      <c r="D58" s="5" t="s">
        <v>34</v>
      </c>
      <c r="E58" s="5" t="s">
        <v>15</v>
      </c>
      <c r="F58" s="14"/>
      <c r="G58" s="33">
        <f t="shared" si="2"/>
        <v>0.4029532804320767</v>
      </c>
      <c r="I58" s="33">
        <f t="shared" si="2"/>
        <v>0.5302319570199383</v>
      </c>
      <c r="K58" s="33">
        <f t="shared" si="1"/>
        <v>0.4205078287136189</v>
      </c>
      <c r="L58"/>
      <c r="M58" s="2">
        <f t="shared" si="0"/>
        <v>0.4512310220552113</v>
      </c>
    </row>
    <row r="59" spans="2:13" ht="12.75">
      <c r="B59" s="5" t="s">
        <v>61</v>
      </c>
      <c r="C59" s="5" t="s">
        <v>185</v>
      </c>
      <c r="D59" s="5" t="s">
        <v>34</v>
      </c>
      <c r="E59" s="5" t="s">
        <v>15</v>
      </c>
      <c r="F59" s="14" t="s">
        <v>80</v>
      </c>
      <c r="G59" s="33">
        <f t="shared" si="2"/>
        <v>2.334260103473843</v>
      </c>
      <c r="I59" s="33">
        <f t="shared" si="2"/>
        <v>11.926463849117026</v>
      </c>
      <c r="K59" s="33">
        <f t="shared" si="1"/>
        <v>8.695938593786488</v>
      </c>
      <c r="L59"/>
      <c r="M59" s="2">
        <f>AVERAGE(K59,I59,G59/2)</f>
        <v>7.263177498213479</v>
      </c>
    </row>
    <row r="60" spans="2:13" ht="12.75">
      <c r="B60" s="5" t="s">
        <v>62</v>
      </c>
      <c r="C60" s="5" t="s">
        <v>185</v>
      </c>
      <c r="D60" s="5" t="s">
        <v>34</v>
      </c>
      <c r="E60" s="5" t="s">
        <v>15</v>
      </c>
      <c r="F60" s="14"/>
      <c r="G60" s="33">
        <f t="shared" si="2"/>
        <v>0.22951384257619903</v>
      </c>
      <c r="I60" s="33">
        <f t="shared" si="2"/>
        <v>0.39804948614811236</v>
      </c>
      <c r="K60" s="33">
        <f t="shared" si="1"/>
        <v>0</v>
      </c>
      <c r="L60"/>
      <c r="M60" s="2">
        <f aca="true" t="shared" si="3" ref="M60:M65">AVERAGE(K60,I60,G60)</f>
        <v>0.20918777624143714</v>
      </c>
    </row>
    <row r="61" spans="2:13" ht="12.75">
      <c r="B61" s="5" t="s">
        <v>63</v>
      </c>
      <c r="C61" s="5" t="s">
        <v>185</v>
      </c>
      <c r="D61" s="5" t="s">
        <v>34</v>
      </c>
      <c r="E61" s="5" t="s">
        <v>15</v>
      </c>
      <c r="F61" s="14"/>
      <c r="G61" s="33">
        <f t="shared" si="2"/>
        <v>0.6324671230082757</v>
      </c>
      <c r="I61" s="33">
        <f t="shared" si="2"/>
        <v>0.8606881341995034</v>
      </c>
      <c r="J61" s="14" t="s">
        <v>80</v>
      </c>
      <c r="K61" s="33">
        <f t="shared" si="1"/>
        <v>0.4205078287136189</v>
      </c>
      <c r="L61"/>
      <c r="M61" s="2">
        <f t="shared" si="3"/>
        <v>0.6378876953071327</v>
      </c>
    </row>
    <row r="62" spans="2:13" ht="12.75">
      <c r="B62" s="5" t="s">
        <v>64</v>
      </c>
      <c r="C62" s="5" t="s">
        <v>185</v>
      </c>
      <c r="D62" s="5" t="s">
        <v>34</v>
      </c>
      <c r="E62" s="5" t="s">
        <v>15</v>
      </c>
      <c r="F62" s="14" t="s">
        <v>80</v>
      </c>
      <c r="G62" s="33">
        <f t="shared" si="2"/>
        <v>1.2362450156945262</v>
      </c>
      <c r="H62" s="14" t="s">
        <v>80</v>
      </c>
      <c r="I62" s="33">
        <f t="shared" si="2"/>
        <v>1.390920091219442</v>
      </c>
      <c r="J62" s="14" t="s">
        <v>80</v>
      </c>
      <c r="K62" s="33">
        <f t="shared" si="1"/>
        <v>1.3499798255142716</v>
      </c>
      <c r="L62">
        <v>100</v>
      </c>
      <c r="M62" s="2">
        <f t="shared" si="3"/>
        <v>1.32571497747608</v>
      </c>
    </row>
    <row r="63" spans="2:13" ht="12.75">
      <c r="B63" s="5" t="s">
        <v>65</v>
      </c>
      <c r="C63" s="5" t="s">
        <v>185</v>
      </c>
      <c r="D63" s="5" t="s">
        <v>34</v>
      </c>
      <c r="E63" s="5" t="s">
        <v>15</v>
      </c>
      <c r="F63" s="14" t="s">
        <v>80</v>
      </c>
      <c r="G63" s="33">
        <f t="shared" si="2"/>
        <v>0.4029532804320767</v>
      </c>
      <c r="H63" s="14" t="s">
        <v>80</v>
      </c>
      <c r="I63" s="33">
        <f t="shared" si="2"/>
        <v>0.4641407215840254</v>
      </c>
      <c r="J63" s="14" t="s">
        <v>80</v>
      </c>
      <c r="K63" s="33">
        <f t="shared" si="1"/>
        <v>0.4205078287136189</v>
      </c>
      <c r="L63">
        <v>100</v>
      </c>
      <c r="M63" s="2">
        <f t="shared" si="3"/>
        <v>0.42920061024324035</v>
      </c>
    </row>
    <row r="64" spans="2:13" ht="12.75">
      <c r="B64" s="5" t="s">
        <v>35</v>
      </c>
      <c r="C64" s="5" t="s">
        <v>185</v>
      </c>
      <c r="D64" s="5" t="s">
        <v>34</v>
      </c>
      <c r="E64" s="5" t="s">
        <v>15</v>
      </c>
      <c r="F64" s="14"/>
      <c r="G64" s="33">
        <f>G58+G56</f>
        <v>0.4029532804320767</v>
      </c>
      <c r="I64" s="33">
        <f>I58+I56</f>
        <v>1.2587376203476155</v>
      </c>
      <c r="K64" s="33">
        <f>K58+K56</f>
        <v>0.6001422409796309</v>
      </c>
      <c r="L64"/>
      <c r="M64" s="2">
        <f t="shared" si="3"/>
        <v>0.7539443805864411</v>
      </c>
    </row>
    <row r="65" spans="2:13" ht="12.75">
      <c r="B65" s="5" t="s">
        <v>36</v>
      </c>
      <c r="C65" s="5" t="s">
        <v>185</v>
      </c>
      <c r="D65" s="5" t="s">
        <v>34</v>
      </c>
      <c r="E65" s="5" t="s">
        <v>15</v>
      </c>
      <c r="F65" s="14"/>
      <c r="G65" s="33">
        <f>G57+G53+G55</f>
        <v>3.7687216195750852</v>
      </c>
      <c r="I65" s="33">
        <f>I57+I53+I55</f>
        <v>5.0981877771143695</v>
      </c>
      <c r="K65" s="33">
        <f>K57+K53+K55</f>
        <v>2.7899129438375083</v>
      </c>
      <c r="L65"/>
      <c r="M65" s="2">
        <f t="shared" si="3"/>
        <v>3.885607446842321</v>
      </c>
    </row>
    <row r="66" spans="2:13" ht="12.75">
      <c r="B66" s="5"/>
      <c r="C66" s="5"/>
      <c r="F66" s="14"/>
      <c r="G66" s="32"/>
      <c r="I66" s="32"/>
      <c r="K66" s="32"/>
      <c r="L66"/>
      <c r="M66"/>
    </row>
    <row r="67" spans="2:13" ht="12.75">
      <c r="B67" s="5"/>
      <c r="C67" s="5"/>
      <c r="F67" s="14"/>
      <c r="G67" s="32"/>
      <c r="I67" s="32"/>
      <c r="K67" s="32"/>
      <c r="L67"/>
      <c r="M67"/>
    </row>
    <row r="68" spans="1:13" ht="12.75">
      <c r="A68" s="14">
        <v>1</v>
      </c>
      <c r="B68" s="18" t="s">
        <v>144</v>
      </c>
      <c r="C68" s="18" t="s">
        <v>67</v>
      </c>
      <c r="G68" s="16" t="s">
        <v>152</v>
      </c>
      <c r="H68" s="16"/>
      <c r="I68" s="17" t="s">
        <v>153</v>
      </c>
      <c r="J68" s="16"/>
      <c r="K68" s="16" t="s">
        <v>154</v>
      </c>
      <c r="L68" s="16"/>
      <c r="M68" s="14" t="s">
        <v>155</v>
      </c>
    </row>
    <row r="69" spans="2:12" ht="12.75">
      <c r="B69" s="5"/>
      <c r="C69" s="5"/>
      <c r="D69" s="9"/>
      <c r="E69" s="9"/>
      <c r="F69" s="9"/>
      <c r="G69" s="9"/>
      <c r="H69" s="9"/>
      <c r="I69" s="19"/>
      <c r="J69" s="9"/>
      <c r="K69" s="9"/>
      <c r="L69" s="16"/>
    </row>
    <row r="70" spans="2:13" ht="12.75">
      <c r="B70" s="5" t="s">
        <v>72</v>
      </c>
      <c r="C70" s="5" t="s">
        <v>184</v>
      </c>
      <c r="D70" s="5" t="s">
        <v>16</v>
      </c>
      <c r="E70" s="5" t="s">
        <v>15</v>
      </c>
      <c r="F70"/>
      <c r="G70">
        <v>6.4</v>
      </c>
      <c r="H70"/>
      <c r="I70">
        <v>6.6</v>
      </c>
      <c r="J70"/>
      <c r="K70">
        <v>4.7</v>
      </c>
      <c r="L70"/>
      <c r="M70" s="33">
        <f>AVERAGE(K70,I70,G70)</f>
        <v>5.900000000000001</v>
      </c>
    </row>
    <row r="71" spans="2:13" ht="12.75">
      <c r="B71" s="5" t="s">
        <v>84</v>
      </c>
      <c r="C71" s="5" t="s">
        <v>184</v>
      </c>
      <c r="D71" s="5" t="s">
        <v>16</v>
      </c>
      <c r="E71" s="5" t="s">
        <v>15</v>
      </c>
      <c r="F71"/>
      <c r="G71">
        <v>6.5</v>
      </c>
      <c r="H71"/>
      <c r="I71">
        <v>7.1</v>
      </c>
      <c r="J71"/>
      <c r="K71">
        <v>5.4</v>
      </c>
      <c r="L71"/>
      <c r="M71" s="33">
        <f>AVERAGE(K71,I71,G71)</f>
        <v>6.333333333333333</v>
      </c>
    </row>
    <row r="72" spans="2:13" ht="12.75">
      <c r="B72" s="5"/>
      <c r="C72" s="5"/>
      <c r="F72"/>
      <c r="G72"/>
      <c r="H72"/>
      <c r="I72"/>
      <c r="J72"/>
      <c r="K72"/>
      <c r="L72"/>
      <c r="M72"/>
    </row>
    <row r="73" spans="2:13" ht="12.75">
      <c r="B73" s="5" t="s">
        <v>45</v>
      </c>
      <c r="C73" s="5" t="s">
        <v>101</v>
      </c>
      <c r="F73"/>
      <c r="G73"/>
      <c r="H73"/>
      <c r="I73"/>
      <c r="J73"/>
      <c r="K73"/>
      <c r="L73"/>
      <c r="M73"/>
    </row>
    <row r="74" spans="2:13" ht="12.75">
      <c r="B74" s="5" t="s">
        <v>68</v>
      </c>
      <c r="C74" s="5"/>
      <c r="D74" s="5" t="s">
        <v>29</v>
      </c>
      <c r="F74"/>
      <c r="G74">
        <v>10.22</v>
      </c>
      <c r="H74"/>
      <c r="I74">
        <v>10.23</v>
      </c>
      <c r="J74"/>
      <c r="K74">
        <v>10.29</v>
      </c>
      <c r="L74"/>
      <c r="M74"/>
    </row>
    <row r="75" spans="2:13" ht="12.75">
      <c r="B75" s="5" t="s">
        <v>69</v>
      </c>
      <c r="C75" s="5" t="s">
        <v>184</v>
      </c>
      <c r="D75" s="5" t="s">
        <v>29</v>
      </c>
      <c r="F75" t="s">
        <v>80</v>
      </c>
      <c r="G75" s="32">
        <v>7.94E-05</v>
      </c>
      <c r="H75" t="s">
        <v>80</v>
      </c>
      <c r="I75" s="32">
        <v>0.000216</v>
      </c>
      <c r="J75" t="s">
        <v>80</v>
      </c>
      <c r="K75" s="32">
        <v>0.000108</v>
      </c>
      <c r="L75"/>
      <c r="M75"/>
    </row>
    <row r="76" spans="2:13" ht="12.75">
      <c r="B76" s="5" t="s">
        <v>28</v>
      </c>
      <c r="C76" s="5" t="s">
        <v>184</v>
      </c>
      <c r="D76" s="5" t="s">
        <v>18</v>
      </c>
      <c r="F76" s="14"/>
      <c r="G76">
        <v>99.99922</v>
      </c>
      <c r="I76">
        <v>99.99789</v>
      </c>
      <c r="K76">
        <v>99.99895</v>
      </c>
      <c r="L76"/>
      <c r="M76"/>
    </row>
    <row r="77" spans="2:13" ht="12.75">
      <c r="B77" s="5"/>
      <c r="C77" s="5"/>
      <c r="F77"/>
      <c r="G77"/>
      <c r="H77"/>
      <c r="I77"/>
      <c r="J77"/>
      <c r="K77"/>
      <c r="L77"/>
      <c r="M77"/>
    </row>
    <row r="78" spans="2:13" ht="12.75">
      <c r="B78" s="5" t="s">
        <v>45</v>
      </c>
      <c r="C78" s="5" t="s">
        <v>102</v>
      </c>
      <c r="F78"/>
      <c r="G78"/>
      <c r="H78"/>
      <c r="I78"/>
      <c r="J78"/>
      <c r="K78"/>
      <c r="L78"/>
      <c r="M78"/>
    </row>
    <row r="79" spans="2:13" ht="12.75">
      <c r="B79" s="5" t="s">
        <v>68</v>
      </c>
      <c r="C79" s="5"/>
      <c r="D79" s="5" t="s">
        <v>29</v>
      </c>
      <c r="F79"/>
      <c r="G79">
        <v>20.13</v>
      </c>
      <c r="H79"/>
      <c r="I79">
        <v>19.95</v>
      </c>
      <c r="J79"/>
      <c r="K79">
        <v>20.1</v>
      </c>
      <c r="L79"/>
      <c r="M79"/>
    </row>
    <row r="80" spans="2:13" ht="12.75">
      <c r="B80" s="5" t="s">
        <v>69</v>
      </c>
      <c r="C80" s="5" t="s">
        <v>184</v>
      </c>
      <c r="D80" s="5" t="s">
        <v>29</v>
      </c>
      <c r="F80"/>
      <c r="G80" s="32">
        <v>1.57E-05</v>
      </c>
      <c r="H80"/>
      <c r="I80" s="32">
        <v>2.51E-05</v>
      </c>
      <c r="J80"/>
      <c r="K80" s="32">
        <v>2.27E-05</v>
      </c>
      <c r="L80"/>
      <c r="M80"/>
    </row>
    <row r="81" spans="2:13" ht="12.75">
      <c r="B81" s="5" t="s">
        <v>28</v>
      </c>
      <c r="C81" s="5" t="s">
        <v>184</v>
      </c>
      <c r="D81" s="5" t="s">
        <v>18</v>
      </c>
      <c r="F81" s="14"/>
      <c r="G81">
        <v>99.99992</v>
      </c>
      <c r="I81">
        <v>99.99987</v>
      </c>
      <c r="K81">
        <v>99.99989</v>
      </c>
      <c r="L81"/>
      <c r="M81"/>
    </row>
    <row r="82" spans="2:13" ht="12.75">
      <c r="B82" s="5"/>
      <c r="C82" s="5"/>
      <c r="F82"/>
      <c r="G82"/>
      <c r="H82"/>
      <c r="I82"/>
      <c r="J82"/>
      <c r="K82"/>
      <c r="L82"/>
      <c r="M82" s="33"/>
    </row>
    <row r="83" spans="2:13" ht="12.75">
      <c r="B83" s="5" t="s">
        <v>74</v>
      </c>
      <c r="C83" s="5" t="s">
        <v>28</v>
      </c>
      <c r="D83" s="5" t="s">
        <v>184</v>
      </c>
      <c r="F83"/>
      <c r="G83"/>
      <c r="H83"/>
      <c r="I83"/>
      <c r="J83"/>
      <c r="K83"/>
      <c r="L83"/>
      <c r="M83"/>
    </row>
    <row r="84" spans="2:13" ht="12.75">
      <c r="B84" s="5" t="s">
        <v>54</v>
      </c>
      <c r="C84" s="5"/>
      <c r="D84" s="5" t="s">
        <v>17</v>
      </c>
      <c r="F84"/>
      <c r="G84">
        <v>2992</v>
      </c>
      <c r="H84"/>
      <c r="I84">
        <v>2946</v>
      </c>
      <c r="J84"/>
      <c r="K84">
        <v>3129</v>
      </c>
      <c r="L84"/>
      <c r="M84" s="2">
        <f>AVERAGE(K84,I84,G84)</f>
        <v>3022.3333333333335</v>
      </c>
    </row>
    <row r="85" spans="2:13" ht="12.75">
      <c r="B85" s="5" t="s">
        <v>70</v>
      </c>
      <c r="C85" s="5"/>
      <c r="D85" s="5" t="s">
        <v>18</v>
      </c>
      <c r="F85"/>
      <c r="G85">
        <v>14</v>
      </c>
      <c r="H85"/>
      <c r="I85">
        <v>13.9</v>
      </c>
      <c r="J85"/>
      <c r="K85">
        <v>14.2</v>
      </c>
      <c r="L85"/>
      <c r="M85" s="2">
        <f>AVERAGE(K85,I85,G85)</f>
        <v>14.033333333333333</v>
      </c>
    </row>
    <row r="86" spans="2:13" ht="12.75">
      <c r="B86" s="5" t="s">
        <v>71</v>
      </c>
      <c r="C86" s="5"/>
      <c r="D86" s="5" t="s">
        <v>18</v>
      </c>
      <c r="F86"/>
      <c r="G86">
        <v>14.3</v>
      </c>
      <c r="H86"/>
      <c r="I86">
        <v>14.3</v>
      </c>
      <c r="J86"/>
      <c r="K86">
        <v>14.6</v>
      </c>
      <c r="L86"/>
      <c r="M86" s="2">
        <f>AVERAGE(K86,I86,G86)</f>
        <v>14.4</v>
      </c>
    </row>
    <row r="87" spans="2:13" ht="12.75">
      <c r="B87" s="5" t="s">
        <v>53</v>
      </c>
      <c r="C87" s="5"/>
      <c r="D87" s="5" t="s">
        <v>19</v>
      </c>
      <c r="F87"/>
      <c r="G87">
        <v>265.3</v>
      </c>
      <c r="H87"/>
      <c r="I87">
        <v>264.4</v>
      </c>
      <c r="J87"/>
      <c r="K87">
        <v>271.8</v>
      </c>
      <c r="L87"/>
      <c r="M87" s="34">
        <f>AVERAGE(K87,I87,G87)</f>
        <v>267.1666666666667</v>
      </c>
    </row>
    <row r="88" spans="7:11" ht="12.75">
      <c r="G88" s="20"/>
      <c r="K88" s="20"/>
    </row>
    <row r="89" spans="1:13" ht="12.75">
      <c r="A89" s="14">
        <v>1</v>
      </c>
      <c r="B89" s="18" t="s">
        <v>145</v>
      </c>
      <c r="C89" s="18" t="s">
        <v>67</v>
      </c>
      <c r="G89" s="16" t="s">
        <v>152</v>
      </c>
      <c r="H89" s="16"/>
      <c r="I89" s="17" t="s">
        <v>153</v>
      </c>
      <c r="J89" s="16"/>
      <c r="K89" s="16" t="s">
        <v>154</v>
      </c>
      <c r="L89" s="16"/>
      <c r="M89" s="14" t="s">
        <v>155</v>
      </c>
    </row>
    <row r="90" spans="2:12" ht="12.75">
      <c r="B90" s="5"/>
      <c r="C90" s="5"/>
      <c r="D90" s="9"/>
      <c r="E90" s="9"/>
      <c r="F90" s="9"/>
      <c r="G90" s="9"/>
      <c r="H90" s="9"/>
      <c r="I90" s="19"/>
      <c r="J90" s="9"/>
      <c r="K90" s="9"/>
      <c r="L90" s="16"/>
    </row>
    <row r="91" spans="2:13" ht="12.75">
      <c r="B91" s="5" t="s">
        <v>13</v>
      </c>
      <c r="C91" s="5" t="s">
        <v>184</v>
      </c>
      <c r="D91" s="9" t="s">
        <v>14</v>
      </c>
      <c r="E91" s="9" t="s">
        <v>15</v>
      </c>
      <c r="F91" s="9"/>
      <c r="G91" s="9">
        <v>0.0005</v>
      </c>
      <c r="H91" s="9"/>
      <c r="I91" s="19">
        <v>0.0005</v>
      </c>
      <c r="J91" s="9"/>
      <c r="K91" s="9">
        <v>0.0006</v>
      </c>
      <c r="L91" s="16"/>
      <c r="M91" s="35">
        <f>AVERAGE(K91,I91,G91)</f>
        <v>0.0005333333333333333</v>
      </c>
    </row>
    <row r="92" spans="2:13" ht="12.75">
      <c r="B92" s="5" t="s">
        <v>72</v>
      </c>
      <c r="C92" s="5" t="s">
        <v>184</v>
      </c>
      <c r="D92" s="5" t="s">
        <v>16</v>
      </c>
      <c r="E92" s="5" t="s">
        <v>15</v>
      </c>
      <c r="F92"/>
      <c r="G92">
        <v>8.15</v>
      </c>
      <c r="H92"/>
      <c r="I92">
        <v>9.13</v>
      </c>
      <c r="J92"/>
      <c r="K92">
        <v>13</v>
      </c>
      <c r="L92"/>
      <c r="M92" s="33">
        <f>AVERAGE(K92,I92,G92)</f>
        <v>10.093333333333334</v>
      </c>
    </row>
    <row r="93" spans="2:13" ht="12.75">
      <c r="B93" s="5" t="s">
        <v>84</v>
      </c>
      <c r="C93" s="5" t="s">
        <v>184</v>
      </c>
      <c r="D93" s="5" t="s">
        <v>16</v>
      </c>
      <c r="E93" s="5" t="s">
        <v>15</v>
      </c>
      <c r="F93"/>
      <c r="G93">
        <v>12</v>
      </c>
      <c r="H93"/>
      <c r="I93">
        <v>20.6</v>
      </c>
      <c r="J93"/>
      <c r="K93">
        <v>25.6</v>
      </c>
      <c r="L93"/>
      <c r="M93" s="2">
        <f>AVERAGE(K93,I93,G93)</f>
        <v>19.400000000000002</v>
      </c>
    </row>
    <row r="94" spans="2:13" ht="12.75">
      <c r="B94" s="5"/>
      <c r="C94" s="5"/>
      <c r="F94"/>
      <c r="G94"/>
      <c r="H94"/>
      <c r="I94"/>
      <c r="J94"/>
      <c r="K94"/>
      <c r="L94"/>
      <c r="M94" s="2"/>
    </row>
    <row r="95" spans="2:13" ht="12.75">
      <c r="B95" s="5" t="s">
        <v>26</v>
      </c>
      <c r="C95" s="5"/>
      <c r="D95" s="5" t="s">
        <v>29</v>
      </c>
      <c r="E95" s="5" t="s">
        <v>96</v>
      </c>
      <c r="F95"/>
      <c r="G95">
        <v>1.23</v>
      </c>
      <c r="H95"/>
      <c r="I95">
        <v>2.57</v>
      </c>
      <c r="J95"/>
      <c r="K95">
        <v>0.27</v>
      </c>
      <c r="L95"/>
      <c r="M95" s="2"/>
    </row>
    <row r="96" spans="2:13" ht="12.75">
      <c r="B96" s="5" t="s">
        <v>27</v>
      </c>
      <c r="C96" s="5"/>
      <c r="D96" s="5" t="s">
        <v>29</v>
      </c>
      <c r="E96" s="5" t="s">
        <v>96</v>
      </c>
      <c r="F96"/>
      <c r="G96">
        <v>0.00454</v>
      </c>
      <c r="H96"/>
      <c r="I96">
        <v>0.00165</v>
      </c>
      <c r="J96"/>
      <c r="K96">
        <v>0.00121</v>
      </c>
      <c r="L96"/>
      <c r="M96" s="2"/>
    </row>
    <row r="97" spans="2:13" ht="12.75">
      <c r="B97" s="5"/>
      <c r="C97" s="5"/>
      <c r="F97" s="14"/>
      <c r="G97"/>
      <c r="I97"/>
      <c r="K97"/>
      <c r="L97"/>
      <c r="M97"/>
    </row>
    <row r="98" spans="2:13" ht="12.75">
      <c r="B98" s="60" t="s">
        <v>187</v>
      </c>
      <c r="C98" s="5"/>
      <c r="D98" s="5" t="s">
        <v>128</v>
      </c>
      <c r="F98" s="14"/>
      <c r="G98">
        <v>0.0035</v>
      </c>
      <c r="I98">
        <v>0.0035</v>
      </c>
      <c r="J98" s="14" t="s">
        <v>80</v>
      </c>
      <c r="K98">
        <v>0.0014</v>
      </c>
      <c r="L98"/>
      <c r="M98"/>
    </row>
    <row r="99" spans="2:13" ht="12.75">
      <c r="B99" s="5" t="s">
        <v>56</v>
      </c>
      <c r="C99" s="5"/>
      <c r="D99" s="5" t="s">
        <v>29</v>
      </c>
      <c r="F99" s="14" t="s">
        <v>80</v>
      </c>
      <c r="G99" s="32">
        <v>1.04E-05</v>
      </c>
      <c r="I99" s="32">
        <v>1.81E-05</v>
      </c>
      <c r="J99" s="14" t="s">
        <v>80</v>
      </c>
      <c r="K99" s="32">
        <v>1.04E-05</v>
      </c>
      <c r="L99"/>
      <c r="M99"/>
    </row>
    <row r="100" spans="2:13" ht="12.75">
      <c r="B100" s="5" t="s">
        <v>57</v>
      </c>
      <c r="C100" s="5"/>
      <c r="D100" s="5" t="s">
        <v>29</v>
      </c>
      <c r="F100" s="14" t="s">
        <v>80</v>
      </c>
      <c r="G100" s="32">
        <v>1.04E-05</v>
      </c>
      <c r="H100" s="14" t="s">
        <v>80</v>
      </c>
      <c r="I100" s="32">
        <v>1.04E-05</v>
      </c>
      <c r="J100" s="14" t="s">
        <v>80</v>
      </c>
      <c r="K100" s="32">
        <v>1.04E-05</v>
      </c>
      <c r="L100"/>
      <c r="M100"/>
    </row>
    <row r="101" spans="2:13" ht="12.75">
      <c r="B101" s="5" t="s">
        <v>58</v>
      </c>
      <c r="C101" s="5"/>
      <c r="D101" s="5" t="s">
        <v>29</v>
      </c>
      <c r="F101" s="14"/>
      <c r="G101" s="32">
        <v>2.2E-06</v>
      </c>
      <c r="I101" s="32">
        <v>2.65E-06</v>
      </c>
      <c r="K101" s="32">
        <v>0</v>
      </c>
      <c r="L101"/>
      <c r="M101"/>
    </row>
    <row r="102" spans="2:13" ht="12.75">
      <c r="B102" s="5" t="s">
        <v>59</v>
      </c>
      <c r="C102" s="5"/>
      <c r="D102" s="5" t="s">
        <v>29</v>
      </c>
      <c r="F102" s="14"/>
      <c r="G102" s="32">
        <v>6.61E-06</v>
      </c>
      <c r="I102" s="32">
        <v>2.2E-07</v>
      </c>
      <c r="J102" s="14" t="s">
        <v>80</v>
      </c>
      <c r="K102" s="32">
        <v>2.2E-07</v>
      </c>
      <c r="L102"/>
      <c r="M102"/>
    </row>
    <row r="103" spans="2:13" ht="12.75">
      <c r="B103" s="5" t="s">
        <v>60</v>
      </c>
      <c r="C103" s="5"/>
      <c r="D103" s="5" t="s">
        <v>29</v>
      </c>
      <c r="F103" s="14"/>
      <c r="G103" s="32">
        <v>8.82E-07</v>
      </c>
      <c r="I103" s="32">
        <v>0</v>
      </c>
      <c r="K103" s="32">
        <v>1.32E-06</v>
      </c>
      <c r="L103"/>
      <c r="M103"/>
    </row>
    <row r="104" spans="2:13" ht="12.75">
      <c r="B104" s="5" t="s">
        <v>73</v>
      </c>
      <c r="C104" s="5"/>
      <c r="D104" s="5" t="s">
        <v>29</v>
      </c>
      <c r="F104" s="14"/>
      <c r="G104" s="32">
        <v>1.12E-05</v>
      </c>
      <c r="H104" s="14" t="s">
        <v>80</v>
      </c>
      <c r="I104" s="32">
        <v>2.03E-05</v>
      </c>
      <c r="J104" s="14" t="s">
        <v>80</v>
      </c>
      <c r="K104" s="32">
        <v>2.03E-05</v>
      </c>
      <c r="L104"/>
      <c r="M104"/>
    </row>
    <row r="105" spans="2:13" ht="12.75">
      <c r="B105" s="5" t="s">
        <v>55</v>
      </c>
      <c r="C105" s="5"/>
      <c r="D105" s="5" t="s">
        <v>29</v>
      </c>
      <c r="F105" s="14" t="s">
        <v>80</v>
      </c>
      <c r="G105" s="32">
        <v>5.07E-06</v>
      </c>
      <c r="I105" s="32">
        <v>3.09E-06</v>
      </c>
      <c r="J105" s="14" t="s">
        <v>80</v>
      </c>
      <c r="K105" s="32">
        <v>4.85E-06</v>
      </c>
      <c r="L105"/>
      <c r="M105"/>
    </row>
    <row r="106" spans="2:13" ht="12.75">
      <c r="B106" s="5" t="s">
        <v>61</v>
      </c>
      <c r="C106" s="5"/>
      <c r="D106" s="5" t="s">
        <v>29</v>
      </c>
      <c r="F106" s="14"/>
      <c r="G106" s="32">
        <v>4.12E-05</v>
      </c>
      <c r="I106" s="32">
        <v>2.98E-05</v>
      </c>
      <c r="K106" s="32">
        <v>8.6E-06</v>
      </c>
      <c r="L106"/>
      <c r="M106"/>
    </row>
    <row r="107" spans="2:13" ht="12.75">
      <c r="B107" s="5" t="s">
        <v>62</v>
      </c>
      <c r="C107" s="5"/>
      <c r="D107" s="5" t="s">
        <v>29</v>
      </c>
      <c r="F107" s="14"/>
      <c r="G107" s="32">
        <v>1.76E-06</v>
      </c>
      <c r="I107" s="32">
        <v>1.32E-06</v>
      </c>
      <c r="K107" s="32">
        <v>0</v>
      </c>
      <c r="L107"/>
      <c r="M107"/>
    </row>
    <row r="108" spans="2:13" ht="12.75">
      <c r="B108" s="5" t="s">
        <v>63</v>
      </c>
      <c r="C108" s="5"/>
      <c r="D108" s="5" t="s">
        <v>29</v>
      </c>
      <c r="F108" s="14"/>
      <c r="G108" s="32">
        <v>1.32E-06</v>
      </c>
      <c r="I108" s="32">
        <v>1.76E-06</v>
      </c>
      <c r="J108" s="14" t="s">
        <v>80</v>
      </c>
      <c r="K108" s="32">
        <v>3.09E-06</v>
      </c>
      <c r="L108"/>
      <c r="M108"/>
    </row>
    <row r="109" spans="2:13" ht="12.75">
      <c r="B109" s="5" t="s">
        <v>64</v>
      </c>
      <c r="C109" s="5"/>
      <c r="D109" s="5" t="s">
        <v>29</v>
      </c>
      <c r="F109" s="14" t="s">
        <v>80</v>
      </c>
      <c r="G109" s="32">
        <v>1.04E-05</v>
      </c>
      <c r="H109" s="14" t="s">
        <v>80</v>
      </c>
      <c r="I109" s="32">
        <v>1.04E-05</v>
      </c>
      <c r="J109" s="14" t="s">
        <v>80</v>
      </c>
      <c r="K109" s="32">
        <v>1.04E-05</v>
      </c>
      <c r="L109"/>
      <c r="M109"/>
    </row>
    <row r="110" spans="2:13" ht="12.75">
      <c r="B110" s="5" t="s">
        <v>65</v>
      </c>
      <c r="C110" s="5"/>
      <c r="D110" s="5" t="s">
        <v>29</v>
      </c>
      <c r="F110" s="14" t="s">
        <v>80</v>
      </c>
      <c r="G110" s="32">
        <v>3.09E-06</v>
      </c>
      <c r="H110" s="14" t="s">
        <v>80</v>
      </c>
      <c r="I110" s="32">
        <v>3.09E-06</v>
      </c>
      <c r="J110" s="14" t="s">
        <v>80</v>
      </c>
      <c r="K110" s="32">
        <v>3.09E-06</v>
      </c>
      <c r="L110"/>
      <c r="M110"/>
    </row>
    <row r="111" spans="2:13" ht="12.75">
      <c r="B111" s="5"/>
      <c r="C111" s="5"/>
      <c r="F111" s="14"/>
      <c r="G111"/>
      <c r="I111"/>
      <c r="K111"/>
      <c r="L111"/>
      <c r="M111"/>
    </row>
    <row r="112" spans="2:13" ht="12.75">
      <c r="B112" s="5" t="s">
        <v>74</v>
      </c>
      <c r="C112" s="5" t="s">
        <v>125</v>
      </c>
      <c r="D112" s="5" t="s">
        <v>184</v>
      </c>
      <c r="F112"/>
      <c r="G112"/>
      <c r="H112"/>
      <c r="I112"/>
      <c r="J112"/>
      <c r="K112"/>
      <c r="L112"/>
      <c r="M112"/>
    </row>
    <row r="113" spans="2:13" ht="12.75">
      <c r="B113" s="5" t="s">
        <v>54</v>
      </c>
      <c r="C113" s="5"/>
      <c r="D113" s="5" t="s">
        <v>17</v>
      </c>
      <c r="F113"/>
      <c r="G113" s="34">
        <v>3020</v>
      </c>
      <c r="H113"/>
      <c r="I113" s="34">
        <v>3021</v>
      </c>
      <c r="J113" s="34"/>
      <c r="K113" s="34">
        <v>2608</v>
      </c>
      <c r="L113"/>
      <c r="M113">
        <f>AVERAGE(K113,I113,G113)</f>
        <v>2883</v>
      </c>
    </row>
    <row r="114" spans="2:13" ht="12.75">
      <c r="B114" s="5" t="s">
        <v>70</v>
      </c>
      <c r="C114" s="5"/>
      <c r="D114" s="5" t="s">
        <v>18</v>
      </c>
      <c r="F114"/>
      <c r="G114">
        <v>13.4</v>
      </c>
      <c r="H114"/>
      <c r="I114">
        <v>13.6</v>
      </c>
      <c r="J114"/>
      <c r="K114">
        <v>14.2</v>
      </c>
      <c r="L114"/>
      <c r="M114" s="2">
        <f>AVERAGE(K114,I114,G114)</f>
        <v>13.733333333333333</v>
      </c>
    </row>
    <row r="115" spans="2:13" ht="12.75">
      <c r="B115" s="5" t="s">
        <v>71</v>
      </c>
      <c r="C115" s="5"/>
      <c r="D115" s="5" t="s">
        <v>18</v>
      </c>
      <c r="F115"/>
      <c r="G115">
        <v>10.6</v>
      </c>
      <c r="H115"/>
      <c r="I115">
        <v>11.2</v>
      </c>
      <c r="J115"/>
      <c r="K115">
        <v>11</v>
      </c>
      <c r="L115"/>
      <c r="M115" s="2">
        <f>AVERAGE(K115,I115,G115)</f>
        <v>10.933333333333332</v>
      </c>
    </row>
    <row r="116" spans="2:13" ht="12.75">
      <c r="B116" s="5" t="s">
        <v>53</v>
      </c>
      <c r="C116" s="5"/>
      <c r="D116" s="5" t="s">
        <v>19</v>
      </c>
      <c r="F116"/>
      <c r="G116">
        <v>275.2</v>
      </c>
      <c r="H116"/>
      <c r="I116">
        <v>273.6</v>
      </c>
      <c r="J116"/>
      <c r="K116">
        <v>266</v>
      </c>
      <c r="L116"/>
      <c r="M116" s="2">
        <f>AVERAGE(K116,I116,G116)</f>
        <v>271.59999999999997</v>
      </c>
    </row>
    <row r="117" spans="2:13" ht="12.75">
      <c r="B117" s="5"/>
      <c r="C117" s="5"/>
      <c r="F117" s="14"/>
      <c r="G117"/>
      <c r="I117"/>
      <c r="K117"/>
      <c r="L117"/>
      <c r="M117"/>
    </row>
    <row r="118" spans="2:13" ht="12.75">
      <c r="B118" s="5" t="s">
        <v>74</v>
      </c>
      <c r="C118" s="5" t="s">
        <v>126</v>
      </c>
      <c r="D118" s="5" t="s">
        <v>185</v>
      </c>
      <c r="F118"/>
      <c r="G118"/>
      <c r="H118"/>
      <c r="I118"/>
      <c r="J118"/>
      <c r="K118"/>
      <c r="L118"/>
      <c r="M118"/>
    </row>
    <row r="119" spans="2:13" ht="12.75">
      <c r="B119" s="5" t="s">
        <v>54</v>
      </c>
      <c r="C119" s="5"/>
      <c r="D119" s="5" t="s">
        <v>17</v>
      </c>
      <c r="F119"/>
      <c r="G119" s="34">
        <v>2917</v>
      </c>
      <c r="H119"/>
      <c r="I119" s="34">
        <v>2947</v>
      </c>
      <c r="J119" s="34"/>
      <c r="K119" s="34">
        <v>2605</v>
      </c>
      <c r="L119"/>
      <c r="M119">
        <f>AVERAGE(K119,I119,G119)</f>
        <v>2823</v>
      </c>
    </row>
    <row r="120" spans="2:13" ht="12.75">
      <c r="B120" s="5" t="s">
        <v>70</v>
      </c>
      <c r="C120" s="5"/>
      <c r="D120" s="5" t="s">
        <v>18</v>
      </c>
      <c r="F120"/>
      <c r="G120">
        <v>13.6</v>
      </c>
      <c r="H120"/>
      <c r="I120">
        <v>13.5</v>
      </c>
      <c r="J120"/>
      <c r="K120">
        <v>13.7</v>
      </c>
      <c r="L120"/>
      <c r="M120" s="2">
        <f>AVERAGE(K120,I120,G120)</f>
        <v>13.6</v>
      </c>
    </row>
    <row r="121" spans="2:13" ht="12.75">
      <c r="B121" s="5" t="s">
        <v>71</v>
      </c>
      <c r="C121" s="5"/>
      <c r="D121" s="5" t="s">
        <v>18</v>
      </c>
      <c r="F121"/>
      <c r="G121">
        <v>10.6</v>
      </c>
      <c r="H121"/>
      <c r="I121">
        <v>10.9</v>
      </c>
      <c r="J121"/>
      <c r="K121">
        <v>10.4</v>
      </c>
      <c r="L121"/>
      <c r="M121" s="2">
        <f>AVERAGE(K121,I121,G121)</f>
        <v>10.633333333333333</v>
      </c>
    </row>
    <row r="122" spans="2:13" ht="12.75">
      <c r="B122" s="5" t="s">
        <v>53</v>
      </c>
      <c r="C122" s="5"/>
      <c r="D122" s="5" t="s">
        <v>19</v>
      </c>
      <c r="F122"/>
      <c r="G122">
        <v>277.8</v>
      </c>
      <c r="H122"/>
      <c r="I122">
        <v>275.1</v>
      </c>
      <c r="J122"/>
      <c r="K122">
        <v>265.5</v>
      </c>
      <c r="L122"/>
      <c r="M122" s="2">
        <f>AVERAGE(K122,I122,G122)</f>
        <v>272.8</v>
      </c>
    </row>
    <row r="123" spans="2:13" ht="12.75">
      <c r="B123" s="5"/>
      <c r="C123" s="5"/>
      <c r="F123" s="14"/>
      <c r="G123"/>
      <c r="I123"/>
      <c r="K123"/>
      <c r="L123"/>
      <c r="M123"/>
    </row>
    <row r="124" spans="2:13" ht="12.75">
      <c r="B124" s="5" t="s">
        <v>74</v>
      </c>
      <c r="C124" s="5" t="s">
        <v>127</v>
      </c>
      <c r="D124" s="5" t="s">
        <v>186</v>
      </c>
      <c r="F124"/>
      <c r="G124"/>
      <c r="H124"/>
      <c r="I124"/>
      <c r="J124"/>
      <c r="K124"/>
      <c r="L124"/>
      <c r="M124"/>
    </row>
    <row r="125" spans="2:13" ht="12.75">
      <c r="B125" s="5" t="s">
        <v>54</v>
      </c>
      <c r="C125" s="5"/>
      <c r="D125" s="5" t="s">
        <v>17</v>
      </c>
      <c r="F125"/>
      <c r="G125" s="34">
        <v>3107</v>
      </c>
      <c r="H125"/>
      <c r="I125" s="34">
        <v>3140</v>
      </c>
      <c r="J125" s="34"/>
      <c r="K125" s="34">
        <v>2588</v>
      </c>
      <c r="L125"/>
      <c r="M125">
        <f>AVERAGE(K125,I125,G125)</f>
        <v>2945</v>
      </c>
    </row>
    <row r="126" spans="2:13" ht="12.75">
      <c r="B126" s="5" t="s">
        <v>70</v>
      </c>
      <c r="C126" s="5"/>
      <c r="D126" s="5" t="s">
        <v>18</v>
      </c>
      <c r="F126"/>
      <c r="G126">
        <v>13.6</v>
      </c>
      <c r="H126"/>
      <c r="I126">
        <v>13.5</v>
      </c>
      <c r="J126"/>
      <c r="K126">
        <v>13.7</v>
      </c>
      <c r="L126"/>
      <c r="M126" s="2">
        <f>AVERAGE(K126,I126,G126)</f>
        <v>13.6</v>
      </c>
    </row>
    <row r="127" spans="2:13" ht="12.75">
      <c r="B127" s="5" t="s">
        <v>71</v>
      </c>
      <c r="C127" s="5"/>
      <c r="D127" s="5" t="s">
        <v>18</v>
      </c>
      <c r="F127"/>
      <c r="G127">
        <v>9.8</v>
      </c>
      <c r="H127"/>
      <c r="I127">
        <v>9.1</v>
      </c>
      <c r="J127"/>
      <c r="K127">
        <v>11.8</v>
      </c>
      <c r="L127"/>
      <c r="M127" s="2">
        <f>AVERAGE(K127,I127,G127)</f>
        <v>10.233333333333333</v>
      </c>
    </row>
    <row r="128" spans="2:13" ht="12.75">
      <c r="B128" s="5" t="s">
        <v>53</v>
      </c>
      <c r="C128" s="5"/>
      <c r="D128" s="5" t="s">
        <v>19</v>
      </c>
      <c r="F128"/>
      <c r="G128">
        <v>277.8</v>
      </c>
      <c r="H128"/>
      <c r="I128">
        <v>276.9</v>
      </c>
      <c r="J128"/>
      <c r="K128">
        <v>266.9</v>
      </c>
      <c r="L128"/>
      <c r="M128" s="2">
        <f>AVERAGE(K128,I128,G128)</f>
        <v>273.8666666666666</v>
      </c>
    </row>
    <row r="130" spans="2:13" ht="12.75">
      <c r="B130" s="5" t="s">
        <v>26</v>
      </c>
      <c r="C130" s="5" t="s">
        <v>184</v>
      </c>
      <c r="D130" s="5" t="s">
        <v>16</v>
      </c>
      <c r="E130" s="5" t="s">
        <v>15</v>
      </c>
      <c r="F130"/>
      <c r="G130" s="33">
        <f>G95*454/60/0.0283/G$113*(21-7)/(21-G$114)*667.8</f>
        <v>133.96063377618924</v>
      </c>
      <c r="H130"/>
      <c r="I130" s="33">
        <f>I95*454/60/0.0283/I$113*(21-7)/(21-I$114)*667.8</f>
        <v>287.3712358443621</v>
      </c>
      <c r="J130"/>
      <c r="K130" s="33">
        <f>K95*454/60/0.0283/K$113*(21-7)/(21-K$114)*667.8</f>
        <v>38.05746719876356</v>
      </c>
      <c r="L130"/>
      <c r="M130" s="2">
        <f>AVERAGE(K130,I130,G130)</f>
        <v>153.12977893977163</v>
      </c>
    </row>
    <row r="131" spans="2:13" ht="12.75">
      <c r="B131" s="5" t="s">
        <v>27</v>
      </c>
      <c r="C131" s="5" t="s">
        <v>184</v>
      </c>
      <c r="D131" s="5" t="s">
        <v>16</v>
      </c>
      <c r="E131" s="5" t="s">
        <v>15</v>
      </c>
      <c r="F131"/>
      <c r="G131" s="37">
        <f>G96*454/60/0.0283/G$113*(21-7)/(21-G$114)*343.4</f>
        <v>0.2542622062492482</v>
      </c>
      <c r="H131"/>
      <c r="I131" s="37">
        <f>I96*454/60/0.0283/I$113*(21-7)/(21-I$114)*343.4</f>
        <v>0.09487417068518965</v>
      </c>
      <c r="J131"/>
      <c r="K131" s="37">
        <f>K96*454/60/0.0283/K$113*(21-7)/(21-K$114)*343.4</f>
        <v>0.08770318472833429</v>
      </c>
      <c r="L131"/>
      <c r="M131" s="2">
        <f>AVERAGE(K131,I131,G131)</f>
        <v>0.14561318722092406</v>
      </c>
    </row>
    <row r="132" spans="2:13" ht="12.75">
      <c r="B132" s="5" t="s">
        <v>99</v>
      </c>
      <c r="C132" s="5" t="s">
        <v>184</v>
      </c>
      <c r="D132" s="5" t="s">
        <v>16</v>
      </c>
      <c r="E132" s="5" t="s">
        <v>15</v>
      </c>
      <c r="F132"/>
      <c r="G132" s="33">
        <f>G131*2+G130</f>
        <v>134.46915818868774</v>
      </c>
      <c r="H132"/>
      <c r="I132" s="33">
        <f>I131*2+I130</f>
        <v>287.5609841857325</v>
      </c>
      <c r="J132"/>
      <c r="K132" s="33">
        <f>K131*2+K130</f>
        <v>38.23287356822023</v>
      </c>
      <c r="L132"/>
      <c r="M132" s="2">
        <f>AVERAGE(K132,I132,G132)</f>
        <v>153.4210053142135</v>
      </c>
    </row>
    <row r="133" spans="2:13" ht="12.75">
      <c r="B133" s="5"/>
      <c r="C133" s="5"/>
      <c r="F133"/>
      <c r="G133"/>
      <c r="H133"/>
      <c r="I133"/>
      <c r="J133"/>
      <c r="K133"/>
      <c r="L133"/>
      <c r="M133"/>
    </row>
    <row r="134" spans="2:13" ht="12.75">
      <c r="B134" s="60" t="s">
        <v>187</v>
      </c>
      <c r="C134" s="5" t="s">
        <v>186</v>
      </c>
      <c r="D134" s="5" t="s">
        <v>34</v>
      </c>
      <c r="E134" s="5" t="s">
        <v>15</v>
      </c>
      <c r="F134"/>
      <c r="G134" s="33">
        <f>G98/60/0.0283/G$125*(21-7)/(21-G$126)*1000000</f>
        <v>1.2551204945900154</v>
      </c>
      <c r="H134"/>
      <c r="I134" s="33">
        <f>I98/60/0.0283/I$125*(21-7)/(21-I$126)*1000000</f>
        <v>1.2253706746290751</v>
      </c>
      <c r="J134" t="s">
        <v>80</v>
      </c>
      <c r="K134" s="33">
        <f>K98/60/0.0283/K$125*(21-7)/(21-K$126)*1000000</f>
        <v>0.6109859919865073</v>
      </c>
      <c r="L134"/>
      <c r="M134" s="2">
        <f aca="true" t="shared" si="4" ref="M134:M141">AVERAGE(K134,I134,G134)</f>
        <v>1.0304923870685325</v>
      </c>
    </row>
    <row r="135" spans="2:13" ht="12.75">
      <c r="B135" s="5" t="s">
        <v>56</v>
      </c>
      <c r="C135" s="5" t="s">
        <v>185</v>
      </c>
      <c r="D135" s="5" t="s">
        <v>34</v>
      </c>
      <c r="E135" s="5" t="s">
        <v>15</v>
      </c>
      <c r="F135" s="14" t="s">
        <v>80</v>
      </c>
      <c r="G135" s="33">
        <f>G99*454/60/0.0283/G$119*(21-7)/(21-G$120)*1000000</f>
        <v>1.803480259854554</v>
      </c>
      <c r="I135" s="33">
        <f>I99*454/60/0.0283/I$119*(21-7)/(21-I$120)*1000000</f>
        <v>3.0653733562003453</v>
      </c>
      <c r="J135" s="14" t="s">
        <v>80</v>
      </c>
      <c r="K135" s="33">
        <f aca="true" t="shared" si="5" ref="K135:K146">K99*454/60/0.0283/K$119*(21-7)/(21-K$120)*1000000</f>
        <v>2.047146645974203</v>
      </c>
      <c r="L135"/>
      <c r="M135" s="2">
        <f t="shared" si="4"/>
        <v>2.3053334206763676</v>
      </c>
    </row>
    <row r="136" spans="2:13" ht="12.75">
      <c r="B136" s="5" t="s">
        <v>57</v>
      </c>
      <c r="C136" s="5" t="s">
        <v>185</v>
      </c>
      <c r="D136" s="5" t="s">
        <v>34</v>
      </c>
      <c r="E136" s="5" t="s">
        <v>15</v>
      </c>
      <c r="F136" s="14" t="s">
        <v>80</v>
      </c>
      <c r="G136" s="33">
        <f aca="true" t="shared" si="6" ref="G136:I146">G100*454/60/0.0283/G$119*(21-7)/(21-G$120)*1000000</f>
        <v>1.803480259854554</v>
      </c>
      <c r="H136" s="14" t="s">
        <v>80</v>
      </c>
      <c r="I136" s="33">
        <f t="shared" si="6"/>
        <v>1.7613194974852815</v>
      </c>
      <c r="J136" s="14" t="s">
        <v>80</v>
      </c>
      <c r="K136" s="33">
        <f t="shared" si="5"/>
        <v>2.047146645974203</v>
      </c>
      <c r="L136">
        <v>100</v>
      </c>
      <c r="M136" s="2">
        <f t="shared" si="4"/>
        <v>1.8706488011046796</v>
      </c>
    </row>
    <row r="137" spans="2:13" ht="12.75">
      <c r="B137" s="5" t="s">
        <v>58</v>
      </c>
      <c r="C137" s="5" t="s">
        <v>185</v>
      </c>
      <c r="D137" s="5" t="s">
        <v>34</v>
      </c>
      <c r="E137" s="5" t="s">
        <v>15</v>
      </c>
      <c r="F137" s="14"/>
      <c r="G137" s="33">
        <f t="shared" si="6"/>
        <v>0.38150543958461725</v>
      </c>
      <c r="I137" s="33">
        <f t="shared" si="6"/>
        <v>0.44879775657076887</v>
      </c>
      <c r="K137" s="33">
        <f t="shared" si="5"/>
        <v>0</v>
      </c>
      <c r="L137"/>
      <c r="M137" s="2">
        <f t="shared" si="4"/>
        <v>0.2767677320517954</v>
      </c>
    </row>
    <row r="138" spans="2:13" ht="12.75">
      <c r="B138" s="5" t="s">
        <v>59</v>
      </c>
      <c r="C138" s="5" t="s">
        <v>185</v>
      </c>
      <c r="D138" s="5" t="s">
        <v>34</v>
      </c>
      <c r="E138" s="5" t="s">
        <v>15</v>
      </c>
      <c r="F138" s="14"/>
      <c r="G138" s="33">
        <f t="shared" si="6"/>
        <v>1.146250434388327</v>
      </c>
      <c r="I138" s="33">
        <f t="shared" si="6"/>
        <v>0.03725868167757327</v>
      </c>
      <c r="J138" s="14" t="s">
        <v>80</v>
      </c>
      <c r="K138" s="33">
        <f t="shared" si="5"/>
        <v>0.04330502520330045</v>
      </c>
      <c r="L138"/>
      <c r="M138" s="2">
        <f t="shared" si="4"/>
        <v>0.40893804708973364</v>
      </c>
    </row>
    <row r="139" spans="2:13" ht="12.75">
      <c r="B139" s="5" t="s">
        <v>60</v>
      </c>
      <c r="C139" s="5" t="s">
        <v>185</v>
      </c>
      <c r="D139" s="5" t="s">
        <v>34</v>
      </c>
      <c r="E139" s="5" t="s">
        <v>15</v>
      </c>
      <c r="F139" s="14"/>
      <c r="G139" s="33">
        <f t="shared" si="6"/>
        <v>0.152948998960742</v>
      </c>
      <c r="I139" s="33">
        <f t="shared" si="6"/>
        <v>0</v>
      </c>
      <c r="K139" s="33">
        <f t="shared" si="5"/>
        <v>0.2598301512198027</v>
      </c>
      <c r="L139"/>
      <c r="M139" s="2">
        <f t="shared" si="4"/>
        <v>0.13759305006018155</v>
      </c>
    </row>
    <row r="140" spans="2:13" ht="12.75">
      <c r="B140" s="5" t="s">
        <v>73</v>
      </c>
      <c r="C140" s="5" t="s">
        <v>185</v>
      </c>
      <c r="D140" s="5" t="s">
        <v>34</v>
      </c>
      <c r="E140" s="5" t="s">
        <v>15</v>
      </c>
      <c r="F140" s="14"/>
      <c r="G140" s="33">
        <f t="shared" si="6"/>
        <v>1.9422095106125965</v>
      </c>
      <c r="H140" s="14" t="s">
        <v>80</v>
      </c>
      <c r="I140" s="33">
        <f t="shared" si="6"/>
        <v>3.4379601729760774</v>
      </c>
      <c r="J140" s="14" t="s">
        <v>80</v>
      </c>
      <c r="K140" s="33">
        <f t="shared" si="5"/>
        <v>3.9958727801227223</v>
      </c>
      <c r="L140"/>
      <c r="M140" s="2">
        <f t="shared" si="4"/>
        <v>3.125347487903799</v>
      </c>
    </row>
    <row r="141" spans="2:13" ht="12.75">
      <c r="B141" s="5" t="s">
        <v>55</v>
      </c>
      <c r="C141" s="5" t="s">
        <v>185</v>
      </c>
      <c r="D141" s="5" t="s">
        <v>34</v>
      </c>
      <c r="E141" s="5" t="s">
        <v>15</v>
      </c>
      <c r="F141" s="14" t="s">
        <v>80</v>
      </c>
      <c r="G141" s="33">
        <f t="shared" si="6"/>
        <v>0.8791966266790952</v>
      </c>
      <c r="I141" s="33">
        <f t="shared" si="6"/>
        <v>0.5233151199259154</v>
      </c>
      <c r="J141" s="14" t="s">
        <v>80</v>
      </c>
      <c r="K141" s="33">
        <f t="shared" si="5"/>
        <v>0.9546789647091236</v>
      </c>
      <c r="L141"/>
      <c r="M141" s="2">
        <f t="shared" si="4"/>
        <v>0.7857302371047113</v>
      </c>
    </row>
    <row r="142" spans="2:13" ht="12.75">
      <c r="B142" s="5" t="s">
        <v>61</v>
      </c>
      <c r="C142" s="5" t="s">
        <v>185</v>
      </c>
      <c r="D142" s="5" t="s">
        <v>34</v>
      </c>
      <c r="E142" s="5" t="s">
        <v>15</v>
      </c>
      <c r="F142" s="14"/>
      <c r="G142" s="33">
        <f t="shared" si="6"/>
        <v>7.144556414039196</v>
      </c>
      <c r="I142" s="33">
        <f t="shared" si="6"/>
        <v>5.046857790871287</v>
      </c>
      <c r="K142" s="33">
        <f t="shared" si="5"/>
        <v>1.692832803401745</v>
      </c>
      <c r="L142"/>
      <c r="M142" s="2">
        <f aca="true" t="shared" si="7" ref="M142:M148">AVERAGE(K142,I142,G142)</f>
        <v>4.628082336104076</v>
      </c>
    </row>
    <row r="143" spans="2:13" ht="12.75">
      <c r="B143" s="5" t="s">
        <v>62</v>
      </c>
      <c r="C143" s="5" t="s">
        <v>185</v>
      </c>
      <c r="D143" s="5" t="s">
        <v>34</v>
      </c>
      <c r="E143" s="5" t="s">
        <v>15</v>
      </c>
      <c r="F143" s="14"/>
      <c r="G143" s="33">
        <f t="shared" si="6"/>
        <v>0.3052043516676938</v>
      </c>
      <c r="I143" s="33">
        <f t="shared" si="6"/>
        <v>0.2235520900654396</v>
      </c>
      <c r="K143" s="33">
        <f t="shared" si="5"/>
        <v>0</v>
      </c>
      <c r="L143"/>
      <c r="M143" s="2">
        <f t="shared" si="7"/>
        <v>0.1762521472443778</v>
      </c>
    </row>
    <row r="144" spans="2:13" ht="12.75">
      <c r="B144" s="5" t="s">
        <v>63</v>
      </c>
      <c r="C144" s="5" t="s">
        <v>185</v>
      </c>
      <c r="D144" s="5" t="s">
        <v>34</v>
      </c>
      <c r="E144" s="5" t="s">
        <v>15</v>
      </c>
      <c r="F144" s="14"/>
      <c r="G144" s="33">
        <f t="shared" si="6"/>
        <v>0.22890326375077033</v>
      </c>
      <c r="I144" s="33">
        <f t="shared" si="6"/>
        <v>0.29806945342058616</v>
      </c>
      <c r="J144" s="14" t="s">
        <v>80</v>
      </c>
      <c r="K144" s="33">
        <f t="shared" si="5"/>
        <v>0.6082387630827201</v>
      </c>
      <c r="L144"/>
      <c r="M144" s="2">
        <f t="shared" si="7"/>
        <v>0.3784038267513589</v>
      </c>
    </row>
    <row r="145" spans="2:13" ht="12.75">
      <c r="B145" s="5" t="s">
        <v>64</v>
      </c>
      <c r="C145" s="5" t="s">
        <v>185</v>
      </c>
      <c r="D145" s="5" t="s">
        <v>34</v>
      </c>
      <c r="E145" s="5" t="s">
        <v>15</v>
      </c>
      <c r="F145" s="14" t="s">
        <v>80</v>
      </c>
      <c r="G145" s="33">
        <f t="shared" si="6"/>
        <v>1.803480259854554</v>
      </c>
      <c r="H145" s="14" t="s">
        <v>80</v>
      </c>
      <c r="I145" s="33">
        <f t="shared" si="6"/>
        <v>1.7613194974852815</v>
      </c>
      <c r="J145" s="14" t="s">
        <v>80</v>
      </c>
      <c r="K145" s="33">
        <f t="shared" si="5"/>
        <v>2.047146645974203</v>
      </c>
      <c r="L145">
        <v>100</v>
      </c>
      <c r="M145" s="2">
        <f t="shared" si="7"/>
        <v>1.8706488011046796</v>
      </c>
    </row>
    <row r="146" spans="2:13" ht="12.75">
      <c r="B146" s="5" t="s">
        <v>65</v>
      </c>
      <c r="C146" s="5" t="s">
        <v>185</v>
      </c>
      <c r="D146" s="5" t="s">
        <v>34</v>
      </c>
      <c r="E146" s="5" t="s">
        <v>15</v>
      </c>
      <c r="F146" s="14" t="s">
        <v>80</v>
      </c>
      <c r="G146" s="33">
        <f t="shared" si="6"/>
        <v>0.5358417310529396</v>
      </c>
      <c r="H146" s="14" t="s">
        <v>80</v>
      </c>
      <c r="I146" s="33">
        <f t="shared" si="6"/>
        <v>0.5233151199259154</v>
      </c>
      <c r="J146" s="14" t="s">
        <v>80</v>
      </c>
      <c r="K146" s="33">
        <f t="shared" si="5"/>
        <v>0.6082387630827201</v>
      </c>
      <c r="L146">
        <v>100</v>
      </c>
      <c r="M146" s="2">
        <f t="shared" si="7"/>
        <v>0.5557985380205249</v>
      </c>
    </row>
    <row r="147" spans="2:13" ht="12.75">
      <c r="B147" s="5" t="s">
        <v>35</v>
      </c>
      <c r="C147" s="5" t="s">
        <v>185</v>
      </c>
      <c r="D147" s="5" t="s">
        <v>34</v>
      </c>
      <c r="E147" s="5" t="s">
        <v>15</v>
      </c>
      <c r="F147" s="14"/>
      <c r="G147" s="33">
        <f>G141+G139</f>
        <v>1.0321456256398371</v>
      </c>
      <c r="I147" s="33">
        <f>I141+I139</f>
        <v>0.5233151199259154</v>
      </c>
      <c r="K147" s="33">
        <f>K141+K139</f>
        <v>1.2145091159289263</v>
      </c>
      <c r="L147"/>
      <c r="M147" s="2">
        <f t="shared" si="7"/>
        <v>0.923323287164893</v>
      </c>
    </row>
    <row r="148" spans="2:13" ht="12.75">
      <c r="B148" s="5" t="s">
        <v>36</v>
      </c>
      <c r="C148" s="5" t="s">
        <v>185</v>
      </c>
      <c r="D148" s="5" t="s">
        <v>34</v>
      </c>
      <c r="E148" s="5" t="s">
        <v>15</v>
      </c>
      <c r="F148" s="14"/>
      <c r="G148" s="33">
        <f>G140+G136+G138</f>
        <v>4.891940204855477</v>
      </c>
      <c r="I148" s="33">
        <f>I140+I136+I138</f>
        <v>5.236538352138933</v>
      </c>
      <c r="K148" s="33">
        <f>K140+K136+K138</f>
        <v>6.086324451300226</v>
      </c>
      <c r="L148"/>
      <c r="M148" s="2">
        <f t="shared" si="7"/>
        <v>5.404934336098211</v>
      </c>
    </row>
    <row r="149" spans="2:13" ht="12.75">
      <c r="B149" s="5"/>
      <c r="C149" s="5"/>
      <c r="F149" s="14"/>
      <c r="G149" s="32"/>
      <c r="I149" s="32"/>
      <c r="K149" s="32"/>
      <c r="L149"/>
      <c r="M149"/>
    </row>
    <row r="150" spans="1:13" ht="12.75">
      <c r="A150" s="14">
        <v>1</v>
      </c>
      <c r="B150" s="18" t="s">
        <v>146</v>
      </c>
      <c r="C150" s="18" t="s">
        <v>67</v>
      </c>
      <c r="G150" s="16" t="s">
        <v>152</v>
      </c>
      <c r="H150" s="16"/>
      <c r="I150" s="17" t="s">
        <v>153</v>
      </c>
      <c r="J150" s="16"/>
      <c r="K150" s="16" t="s">
        <v>154</v>
      </c>
      <c r="L150" s="16"/>
      <c r="M150" s="14" t="s">
        <v>155</v>
      </c>
    </row>
    <row r="151" spans="2:12" ht="12.75">
      <c r="B151" s="5"/>
      <c r="C151" s="5"/>
      <c r="D151" s="9"/>
      <c r="E151" s="9"/>
      <c r="F151" s="9"/>
      <c r="G151" s="9"/>
      <c r="H151" s="9"/>
      <c r="I151" s="19"/>
      <c r="J151" s="9"/>
      <c r="K151" s="9"/>
      <c r="L151" s="16"/>
    </row>
    <row r="152" spans="2:13" ht="12.75">
      <c r="B152" s="5" t="s">
        <v>72</v>
      </c>
      <c r="C152" s="5" t="s">
        <v>184</v>
      </c>
      <c r="D152" s="5" t="s">
        <v>16</v>
      </c>
      <c r="E152" s="5" t="s">
        <v>15</v>
      </c>
      <c r="F152"/>
      <c r="G152">
        <v>5.5</v>
      </c>
      <c r="H152"/>
      <c r="I152">
        <v>5.4</v>
      </c>
      <c r="J152"/>
      <c r="K152">
        <v>7.4</v>
      </c>
      <c r="L152"/>
      <c r="M152" s="33">
        <f>AVERAGE(K152,I152,G152)</f>
        <v>6.1000000000000005</v>
      </c>
    </row>
    <row r="153" spans="2:13" ht="12.75">
      <c r="B153" s="5" t="s">
        <v>84</v>
      </c>
      <c r="C153" s="5" t="s">
        <v>184</v>
      </c>
      <c r="D153" s="5" t="s">
        <v>16</v>
      </c>
      <c r="E153" s="5" t="s">
        <v>15</v>
      </c>
      <c r="F153"/>
      <c r="G153">
        <v>6</v>
      </c>
      <c r="H153"/>
      <c r="I153">
        <v>6</v>
      </c>
      <c r="J153"/>
      <c r="K153">
        <v>16.8</v>
      </c>
      <c r="L153"/>
      <c r="M153" s="33">
        <f>AVERAGE(K153,I153,G153)</f>
        <v>9.6</v>
      </c>
    </row>
    <row r="154" spans="2:13" ht="12.75">
      <c r="B154" s="5"/>
      <c r="C154" s="5"/>
      <c r="F154"/>
      <c r="G154"/>
      <c r="H154"/>
      <c r="I154"/>
      <c r="J154"/>
      <c r="K154"/>
      <c r="L154"/>
      <c r="M154"/>
    </row>
    <row r="155" spans="2:13" ht="12.75">
      <c r="B155" s="5" t="s">
        <v>45</v>
      </c>
      <c r="C155" s="5" t="s">
        <v>101</v>
      </c>
      <c r="F155"/>
      <c r="G155"/>
      <c r="H155"/>
      <c r="I155"/>
      <c r="J155"/>
      <c r="K155"/>
      <c r="L155"/>
      <c r="M155"/>
    </row>
    <row r="156" spans="2:13" ht="12.75">
      <c r="B156" s="5" t="s">
        <v>68</v>
      </c>
      <c r="C156" s="5"/>
      <c r="D156" s="5" t="s">
        <v>29</v>
      </c>
      <c r="F156"/>
      <c r="G156">
        <v>7.85</v>
      </c>
      <c r="H156"/>
      <c r="I156">
        <v>9.41</v>
      </c>
      <c r="J156"/>
      <c r="K156">
        <v>8.06</v>
      </c>
      <c r="L156"/>
      <c r="M156"/>
    </row>
    <row r="157" spans="2:13" ht="12.75">
      <c r="B157" s="5" t="s">
        <v>69</v>
      </c>
      <c r="C157" s="5" t="s">
        <v>184</v>
      </c>
      <c r="D157" s="5" t="s">
        <v>29</v>
      </c>
      <c r="F157" t="s">
        <v>80</v>
      </c>
      <c r="G157" s="32">
        <v>5.95E-05</v>
      </c>
      <c r="H157" t="s">
        <v>80</v>
      </c>
      <c r="I157" s="32">
        <v>5.51E-05</v>
      </c>
      <c r="J157" t="s">
        <v>80</v>
      </c>
      <c r="K157" s="32">
        <v>0.000161</v>
      </c>
      <c r="L157"/>
      <c r="M157"/>
    </row>
    <row r="158" spans="2:13" ht="12.75">
      <c r="B158" s="5" t="s">
        <v>28</v>
      </c>
      <c r="C158" s="5" t="s">
        <v>184</v>
      </c>
      <c r="D158" s="5" t="s">
        <v>18</v>
      </c>
      <c r="F158" s="14"/>
      <c r="G158">
        <v>99.99924</v>
      </c>
      <c r="I158">
        <v>99.99941</v>
      </c>
      <c r="K158">
        <v>99.998</v>
      </c>
      <c r="L158"/>
      <c r="M158"/>
    </row>
    <row r="159" spans="2:13" ht="12.75">
      <c r="B159" s="5"/>
      <c r="C159" s="5"/>
      <c r="F159"/>
      <c r="G159"/>
      <c r="H159"/>
      <c r="I159"/>
      <c r="J159"/>
      <c r="K159"/>
      <c r="L159"/>
      <c r="M159"/>
    </row>
    <row r="160" spans="2:13" ht="12.75">
      <c r="B160" s="5" t="s">
        <v>45</v>
      </c>
      <c r="C160" s="5" t="s">
        <v>103</v>
      </c>
      <c r="F160"/>
      <c r="G160"/>
      <c r="H160"/>
      <c r="I160"/>
      <c r="J160"/>
      <c r="K160"/>
      <c r="L160"/>
      <c r="M160"/>
    </row>
    <row r="161" spans="2:13" ht="12.75">
      <c r="B161" s="5" t="s">
        <v>68</v>
      </c>
      <c r="C161" s="5"/>
      <c r="D161" s="5" t="s">
        <v>29</v>
      </c>
      <c r="F161"/>
      <c r="G161">
        <v>7.85</v>
      </c>
      <c r="H161"/>
      <c r="I161">
        <v>9.41</v>
      </c>
      <c r="J161"/>
      <c r="K161">
        <v>8.06</v>
      </c>
      <c r="L161"/>
      <c r="M161"/>
    </row>
    <row r="162" spans="2:13" ht="12.75">
      <c r="B162" s="5" t="s">
        <v>69</v>
      </c>
      <c r="C162" s="5" t="s">
        <v>184</v>
      </c>
      <c r="D162" s="5" t="s">
        <v>29</v>
      </c>
      <c r="F162"/>
      <c r="G162" s="32">
        <v>2.65E-06</v>
      </c>
      <c r="H162"/>
      <c r="I162" s="32">
        <v>5.29E-06</v>
      </c>
      <c r="J162"/>
      <c r="K162" s="32">
        <v>5.07E-06</v>
      </c>
      <c r="L162"/>
      <c r="M162"/>
    </row>
    <row r="163" spans="2:13" ht="12.75">
      <c r="B163" s="5" t="s">
        <v>28</v>
      </c>
      <c r="C163" s="5" t="s">
        <v>184</v>
      </c>
      <c r="D163" s="5" t="s">
        <v>18</v>
      </c>
      <c r="F163" s="14"/>
      <c r="G163">
        <v>99.99997</v>
      </c>
      <c r="I163">
        <v>99.99994</v>
      </c>
      <c r="K163">
        <v>99.99994</v>
      </c>
      <c r="L163"/>
      <c r="M163"/>
    </row>
    <row r="164" spans="2:13" ht="12.75">
      <c r="B164" s="5"/>
      <c r="C164" s="5"/>
      <c r="F164"/>
      <c r="G164"/>
      <c r="H164"/>
      <c r="I164"/>
      <c r="J164"/>
      <c r="K164"/>
      <c r="L164"/>
      <c r="M164" s="33"/>
    </row>
    <row r="165" spans="2:13" ht="12.75">
      <c r="B165" s="5" t="s">
        <v>74</v>
      </c>
      <c r="C165" s="5" t="s">
        <v>28</v>
      </c>
      <c r="D165" s="5" t="s">
        <v>184</v>
      </c>
      <c r="F165"/>
      <c r="G165"/>
      <c r="H165"/>
      <c r="I165"/>
      <c r="J165"/>
      <c r="K165"/>
      <c r="L165"/>
      <c r="M165"/>
    </row>
    <row r="166" spans="2:13" ht="12.75">
      <c r="B166" s="5" t="s">
        <v>54</v>
      </c>
      <c r="C166" s="5"/>
      <c r="D166" s="5" t="s">
        <v>17</v>
      </c>
      <c r="F166"/>
      <c r="G166">
        <v>2555</v>
      </c>
      <c r="H166"/>
      <c r="I166">
        <v>2492</v>
      </c>
      <c r="J166"/>
      <c r="K166">
        <v>2347</v>
      </c>
      <c r="L166"/>
      <c r="M166" s="34">
        <f>AVERAGE(K166,I166,G166)</f>
        <v>2464.6666666666665</v>
      </c>
    </row>
    <row r="167" spans="2:13" ht="12.75">
      <c r="B167" s="5" t="s">
        <v>70</v>
      </c>
      <c r="C167" s="5"/>
      <c r="D167" s="5" t="s">
        <v>18</v>
      </c>
      <c r="F167"/>
      <c r="G167">
        <v>14</v>
      </c>
      <c r="H167"/>
      <c r="I167">
        <v>13.9</v>
      </c>
      <c r="J167"/>
      <c r="K167">
        <v>14.2</v>
      </c>
      <c r="L167"/>
      <c r="M167" s="2">
        <f>AVERAGE(K167,I167,G167)</f>
        <v>14.033333333333333</v>
      </c>
    </row>
    <row r="168" spans="2:13" ht="12.75">
      <c r="B168" s="5" t="s">
        <v>71</v>
      </c>
      <c r="C168" s="5"/>
      <c r="D168" s="5" t="s">
        <v>18</v>
      </c>
      <c r="F168"/>
      <c r="G168">
        <v>9.9</v>
      </c>
      <c r="H168"/>
      <c r="I168">
        <v>10.3</v>
      </c>
      <c r="J168"/>
      <c r="K168">
        <v>9.9</v>
      </c>
      <c r="L168"/>
      <c r="M168" s="2">
        <f>AVERAGE(K168,I168,G168)</f>
        <v>10.033333333333333</v>
      </c>
    </row>
    <row r="169" spans="2:13" ht="12.75">
      <c r="B169" s="5" t="s">
        <v>53</v>
      </c>
      <c r="C169" s="5"/>
      <c r="D169" s="5" t="s">
        <v>19</v>
      </c>
      <c r="F169"/>
      <c r="G169">
        <v>266</v>
      </c>
      <c r="H169"/>
      <c r="I169">
        <v>263.5</v>
      </c>
      <c r="J169"/>
      <c r="K169">
        <v>260</v>
      </c>
      <c r="L169"/>
      <c r="M169" s="34">
        <f>AVERAGE(K169,I169,G169)</f>
        <v>263.1666666666667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85"/>
  <sheetViews>
    <sheetView workbookViewId="0" topLeftCell="B1">
      <selection activeCell="C2" sqref="C2"/>
    </sheetView>
  </sheetViews>
  <sheetFormatPr defaultColWidth="9.140625" defaultRowHeight="12.75"/>
  <cols>
    <col min="1" max="1" width="9.140625" style="0" hidden="1" customWidth="1"/>
    <col min="2" max="2" width="15.421875" style="0" customWidth="1"/>
    <col min="3" max="3" width="13.140625" style="0" customWidth="1"/>
    <col min="5" max="5" width="4.00390625" style="0" customWidth="1"/>
    <col min="6" max="6" width="3.8515625" style="0" customWidth="1"/>
    <col min="8" max="8" width="3.8515625" style="0" customWidth="1"/>
    <col min="10" max="10" width="3.8515625" style="0" customWidth="1"/>
    <col min="12" max="12" width="4.00390625" style="0" customWidth="1"/>
    <col min="14" max="14" width="2.57421875" style="0" hidden="1" customWidth="1"/>
    <col min="15" max="15" width="6.28125" style="0" hidden="1" customWidth="1"/>
    <col min="16" max="16" width="1.8515625" style="0" hidden="1" customWidth="1"/>
    <col min="17" max="24" width="0" style="0" hidden="1" customWidth="1"/>
  </cols>
  <sheetData>
    <row r="1" ht="12.75">
      <c r="B1" s="3" t="s">
        <v>172</v>
      </c>
    </row>
    <row r="2" ht="12.75">
      <c r="B2" s="3"/>
    </row>
    <row r="3" ht="12.75">
      <c r="B3" s="3"/>
    </row>
    <row r="4" spans="2:13" ht="12.75">
      <c r="B4" s="3" t="s">
        <v>98</v>
      </c>
      <c r="G4" s="58" t="s">
        <v>152</v>
      </c>
      <c r="H4" s="58"/>
      <c r="I4" s="58" t="s">
        <v>153</v>
      </c>
      <c r="J4" s="58"/>
      <c r="K4" s="58" t="s">
        <v>154</v>
      </c>
      <c r="L4" s="58"/>
      <c r="M4" s="58" t="s">
        <v>155</v>
      </c>
    </row>
    <row r="6" spans="1:24" s="45" customFormat="1" ht="12.75">
      <c r="A6" s="45" t="s">
        <v>98</v>
      </c>
      <c r="B6" s="45" t="s">
        <v>13</v>
      </c>
      <c r="C6" s="45" t="s">
        <v>184</v>
      </c>
      <c r="D6" s="45" t="s">
        <v>14</v>
      </c>
      <c r="E6" s="45" t="s">
        <v>15</v>
      </c>
      <c r="F6" s="46" t="s">
        <v>156</v>
      </c>
      <c r="G6" s="47">
        <v>0.0017600174592</v>
      </c>
      <c r="H6" s="47" t="s">
        <v>156</v>
      </c>
      <c r="I6" s="47">
        <v>0.0049900495008</v>
      </c>
      <c r="J6" s="47" t="s">
        <v>156</v>
      </c>
      <c r="K6" s="47">
        <v>0.00095300945376</v>
      </c>
      <c r="L6" s="47" t="s">
        <v>156</v>
      </c>
      <c r="M6" s="47">
        <f>AVERAGE(G6,I6,K6)</f>
        <v>0.00256769213792</v>
      </c>
      <c r="N6" s="47" t="s">
        <v>156</v>
      </c>
      <c r="O6" s="47"/>
      <c r="P6" s="47" t="s">
        <v>156</v>
      </c>
      <c r="Q6" s="47"/>
      <c r="R6" s="47" t="s">
        <v>156</v>
      </c>
      <c r="S6" s="47"/>
      <c r="T6" s="47" t="s">
        <v>156</v>
      </c>
      <c r="U6" s="47"/>
      <c r="V6" s="46" t="s">
        <v>156</v>
      </c>
      <c r="W6" s="46"/>
      <c r="X6" s="45">
        <v>0.00256769213792</v>
      </c>
    </row>
    <row r="7" spans="1:24" s="45" customFormat="1" ht="12.75">
      <c r="A7" s="45" t="s">
        <v>98</v>
      </c>
      <c r="B7" s="45" t="s">
        <v>72</v>
      </c>
      <c r="C7" s="45" t="s">
        <v>184</v>
      </c>
      <c r="D7" s="45" t="s">
        <v>16</v>
      </c>
      <c r="E7" s="45" t="s">
        <v>15</v>
      </c>
      <c r="F7" s="46" t="s">
        <v>156</v>
      </c>
      <c r="G7" s="48">
        <v>2.55</v>
      </c>
      <c r="H7" s="48" t="s">
        <v>156</v>
      </c>
      <c r="I7" s="48">
        <v>6.84</v>
      </c>
      <c r="J7" s="48" t="s">
        <v>156</v>
      </c>
      <c r="K7" s="48">
        <v>5.65</v>
      </c>
      <c r="L7" s="46" t="s">
        <v>156</v>
      </c>
      <c r="M7" s="48">
        <f>AVERAGE(G7,I7,K7)</f>
        <v>5.013333333333334</v>
      </c>
      <c r="N7" s="46" t="s">
        <v>156</v>
      </c>
      <c r="O7" s="46"/>
      <c r="P7" s="46" t="s">
        <v>156</v>
      </c>
      <c r="Q7" s="46"/>
      <c r="R7" s="46" t="s">
        <v>156</v>
      </c>
      <c r="S7" s="46"/>
      <c r="T7" s="46" t="s">
        <v>156</v>
      </c>
      <c r="U7" s="46"/>
      <c r="V7" s="46" t="s">
        <v>156</v>
      </c>
      <c r="W7" s="46"/>
      <c r="X7" s="45">
        <v>5.013333333333333</v>
      </c>
    </row>
    <row r="8" spans="1:24" s="45" customFormat="1" ht="12.75">
      <c r="A8" s="45" t="s">
        <v>98</v>
      </c>
      <c r="B8" s="45" t="s">
        <v>84</v>
      </c>
      <c r="C8" s="45" t="s">
        <v>184</v>
      </c>
      <c r="D8" s="45" t="s">
        <v>34</v>
      </c>
      <c r="E8" s="45" t="s">
        <v>15</v>
      </c>
      <c r="F8" s="46" t="s">
        <v>156</v>
      </c>
      <c r="G8" s="48">
        <v>100</v>
      </c>
      <c r="H8" s="48" t="s">
        <v>156</v>
      </c>
      <c r="I8" s="48">
        <v>100</v>
      </c>
      <c r="J8" s="48" t="s">
        <v>156</v>
      </c>
      <c r="K8" s="48">
        <v>97</v>
      </c>
      <c r="L8" s="46" t="s">
        <v>156</v>
      </c>
      <c r="M8" s="48">
        <f>AVERAGE(G8,I8,K8)</f>
        <v>99</v>
      </c>
      <c r="N8" s="46" t="s">
        <v>156</v>
      </c>
      <c r="O8" s="46"/>
      <c r="P8" s="46" t="s">
        <v>156</v>
      </c>
      <c r="Q8" s="46"/>
      <c r="R8" s="46" t="s">
        <v>156</v>
      </c>
      <c r="S8" s="46"/>
      <c r="T8" s="46" t="s">
        <v>156</v>
      </c>
      <c r="U8" s="46"/>
      <c r="V8" s="46" t="s">
        <v>156</v>
      </c>
      <c r="W8" s="46"/>
      <c r="X8" s="45">
        <v>99</v>
      </c>
    </row>
    <row r="9" spans="1:24" s="45" customFormat="1" ht="12.75">
      <c r="A9" s="45" t="s">
        <v>98</v>
      </c>
      <c r="B9" s="45" t="s">
        <v>26</v>
      </c>
      <c r="C9" s="45" t="s">
        <v>184</v>
      </c>
      <c r="D9" s="45" t="s">
        <v>16</v>
      </c>
      <c r="E9" s="45" t="s">
        <v>15</v>
      </c>
      <c r="F9" s="46" t="s">
        <v>156</v>
      </c>
      <c r="G9" s="48">
        <v>1.521931165813</v>
      </c>
      <c r="H9" s="48" t="s">
        <v>156</v>
      </c>
      <c r="I9" s="48">
        <v>42.02679888402773</v>
      </c>
      <c r="J9" s="48" t="s">
        <v>156</v>
      </c>
      <c r="K9" s="48">
        <v>2.329172305048085</v>
      </c>
      <c r="L9" s="46" t="s">
        <v>156</v>
      </c>
      <c r="M9" s="48">
        <f>AVERAGE(G9,I9,K9)</f>
        <v>15.29263411829627</v>
      </c>
      <c r="N9" s="46" t="s">
        <v>156</v>
      </c>
      <c r="O9" s="46"/>
      <c r="P9" s="46" t="s">
        <v>156</v>
      </c>
      <c r="Q9" s="46"/>
      <c r="R9" s="46" t="s">
        <v>156</v>
      </c>
      <c r="S9" s="46"/>
      <c r="T9" s="46" t="s">
        <v>156</v>
      </c>
      <c r="U9" s="46"/>
      <c r="V9" s="46" t="s">
        <v>156</v>
      </c>
      <c r="W9" s="46"/>
      <c r="X9" s="45">
        <v>15.29263411829627</v>
      </c>
    </row>
    <row r="10" spans="2:23" s="45" customFormat="1" ht="12.75">
      <c r="B10" s="45" t="s">
        <v>227</v>
      </c>
      <c r="C10" s="45" t="s">
        <v>184</v>
      </c>
      <c r="D10" s="45" t="s">
        <v>16</v>
      </c>
      <c r="E10" s="45" t="s">
        <v>15</v>
      </c>
      <c r="F10" s="46"/>
      <c r="G10" s="48">
        <f>G9</f>
        <v>1.521931165813</v>
      </c>
      <c r="H10" s="48"/>
      <c r="I10" s="48">
        <f>I9</f>
        <v>42.02679888402773</v>
      </c>
      <c r="J10" s="48"/>
      <c r="K10" s="48">
        <f>K9</f>
        <v>2.329172305048085</v>
      </c>
      <c r="L10" s="46"/>
      <c r="M10" s="48">
        <f>M9</f>
        <v>15.29263411829627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4" s="45" customFormat="1" ht="12.75">
      <c r="A11" s="45" t="s">
        <v>98</v>
      </c>
      <c r="B11" s="45" t="s">
        <v>56</v>
      </c>
      <c r="C11" s="45" t="s">
        <v>185</v>
      </c>
      <c r="D11" s="45" t="s">
        <v>34</v>
      </c>
      <c r="E11" s="45" t="s">
        <v>15</v>
      </c>
      <c r="F11" s="46" t="s">
        <v>80</v>
      </c>
      <c r="G11" s="48">
        <v>1.030928196916588</v>
      </c>
      <c r="H11" s="48" t="s">
        <v>80</v>
      </c>
      <c r="I11" s="48">
        <v>0.9592887999416475</v>
      </c>
      <c r="J11" s="48" t="s">
        <v>80</v>
      </c>
      <c r="K11" s="48">
        <v>0.9308528167151547</v>
      </c>
      <c r="L11" s="46">
        <v>100</v>
      </c>
      <c r="M11" s="48">
        <f aca="true" t="shared" si="0" ref="M11:M17">AVERAGE(G11,I11,K11)</f>
        <v>0.9736899378577967</v>
      </c>
      <c r="N11" s="46" t="s">
        <v>156</v>
      </c>
      <c r="O11" s="46"/>
      <c r="P11" s="46" t="s">
        <v>156</v>
      </c>
      <c r="Q11" s="46"/>
      <c r="R11" s="46" t="s">
        <v>156</v>
      </c>
      <c r="S11" s="46"/>
      <c r="T11" s="46" t="s">
        <v>156</v>
      </c>
      <c r="U11" s="46"/>
      <c r="V11" s="46" t="s">
        <v>156</v>
      </c>
      <c r="W11" s="46"/>
      <c r="X11" s="45">
        <v>0.9736899378577967</v>
      </c>
    </row>
    <row r="12" spans="1:24" s="45" customFormat="1" ht="12.75">
      <c r="A12" s="45" t="s">
        <v>98</v>
      </c>
      <c r="B12" s="45" t="s">
        <v>57</v>
      </c>
      <c r="C12" s="45" t="s">
        <v>185</v>
      </c>
      <c r="D12" s="45" t="s">
        <v>34</v>
      </c>
      <c r="E12" s="45" t="s">
        <v>15</v>
      </c>
      <c r="F12" s="46" t="s">
        <v>80</v>
      </c>
      <c r="G12" s="48">
        <v>1.030928196916588</v>
      </c>
      <c r="H12" s="48" t="s">
        <v>80</v>
      </c>
      <c r="I12" s="48">
        <v>0.9592887999416475</v>
      </c>
      <c r="J12" s="48" t="s">
        <v>80</v>
      </c>
      <c r="K12" s="48">
        <v>0.9308528167151547</v>
      </c>
      <c r="L12" s="46">
        <v>100</v>
      </c>
      <c r="M12" s="48">
        <f t="shared" si="0"/>
        <v>0.9736899378577967</v>
      </c>
      <c r="N12" s="46" t="s">
        <v>156</v>
      </c>
      <c r="O12" s="46"/>
      <c r="P12" s="46" t="s">
        <v>156</v>
      </c>
      <c r="Q12" s="46"/>
      <c r="R12" s="46" t="s">
        <v>156</v>
      </c>
      <c r="S12" s="46"/>
      <c r="T12" s="46" t="s">
        <v>156</v>
      </c>
      <c r="U12" s="46"/>
      <c r="V12" s="46" t="s">
        <v>156</v>
      </c>
      <c r="W12" s="46"/>
      <c r="X12" s="45">
        <v>0.9736899378577967</v>
      </c>
    </row>
    <row r="13" spans="1:24" s="45" customFormat="1" ht="12.75">
      <c r="A13" s="45" t="s">
        <v>98</v>
      </c>
      <c r="B13" s="45" t="s">
        <v>58</v>
      </c>
      <c r="C13" s="45" t="s">
        <v>185</v>
      </c>
      <c r="D13" s="45" t="s">
        <v>34</v>
      </c>
      <c r="E13" s="45" t="s">
        <v>15</v>
      </c>
      <c r="F13" s="46" t="s">
        <v>80</v>
      </c>
      <c r="G13" s="48">
        <v>41.237127876663514</v>
      </c>
      <c r="H13" s="48" t="s">
        <v>80</v>
      </c>
      <c r="I13" s="48">
        <v>38.33747424278342</v>
      </c>
      <c r="J13" s="48" t="s">
        <v>80</v>
      </c>
      <c r="K13" s="48">
        <v>37.234112668606194</v>
      </c>
      <c r="L13" s="46">
        <v>100</v>
      </c>
      <c r="M13" s="48">
        <f t="shared" si="0"/>
        <v>38.93623826268438</v>
      </c>
      <c r="N13" s="46" t="s">
        <v>156</v>
      </c>
      <c r="O13" s="46"/>
      <c r="P13" s="46" t="s">
        <v>156</v>
      </c>
      <c r="Q13" s="46"/>
      <c r="R13" s="46" t="s">
        <v>156</v>
      </c>
      <c r="S13" s="46"/>
      <c r="T13" s="46" t="s">
        <v>156</v>
      </c>
      <c r="U13" s="46"/>
      <c r="V13" s="46" t="s">
        <v>156</v>
      </c>
      <c r="W13" s="46"/>
      <c r="X13" s="45">
        <v>38.93623826268438</v>
      </c>
    </row>
    <row r="14" spans="1:24" s="45" customFormat="1" ht="12.75">
      <c r="A14" s="45" t="s">
        <v>98</v>
      </c>
      <c r="B14" s="45" t="s">
        <v>59</v>
      </c>
      <c r="C14" s="45" t="s">
        <v>185</v>
      </c>
      <c r="D14" s="45" t="s">
        <v>34</v>
      </c>
      <c r="E14" s="45" t="s">
        <v>15</v>
      </c>
      <c r="F14" s="46" t="s">
        <v>80</v>
      </c>
      <c r="G14" s="48">
        <v>0.1030928196916588</v>
      </c>
      <c r="H14" s="48" t="s">
        <v>80</v>
      </c>
      <c r="I14" s="48">
        <v>0.09592887999416476</v>
      </c>
      <c r="J14" s="48" t="s">
        <v>80</v>
      </c>
      <c r="K14" s="48">
        <v>0.09308528167151549</v>
      </c>
      <c r="L14" s="46">
        <v>100</v>
      </c>
      <c r="M14" s="48">
        <f t="shared" si="0"/>
        <v>0.09736899378577968</v>
      </c>
      <c r="N14" s="46" t="s">
        <v>156</v>
      </c>
      <c r="O14" s="46"/>
      <c r="P14" s="46" t="s">
        <v>156</v>
      </c>
      <c r="Q14" s="46"/>
      <c r="R14" s="46" t="s">
        <v>156</v>
      </c>
      <c r="S14" s="46"/>
      <c r="T14" s="46" t="s">
        <v>156</v>
      </c>
      <c r="U14" s="46"/>
      <c r="V14" s="46" t="s">
        <v>156</v>
      </c>
      <c r="W14" s="46"/>
      <c r="X14" s="45">
        <v>0.09736899378577968</v>
      </c>
    </row>
    <row r="15" spans="1:24" s="45" customFormat="1" ht="12.75">
      <c r="A15" s="45" t="s">
        <v>98</v>
      </c>
      <c r="B15" s="45" t="s">
        <v>60</v>
      </c>
      <c r="C15" s="45" t="s">
        <v>185</v>
      </c>
      <c r="D15" s="45" t="s">
        <v>34</v>
      </c>
      <c r="E15" s="45" t="s">
        <v>15</v>
      </c>
      <c r="F15" s="46" t="s">
        <v>80</v>
      </c>
      <c r="G15" s="48">
        <v>10.309281969165879</v>
      </c>
      <c r="H15" s="48" t="s">
        <v>80</v>
      </c>
      <c r="I15" s="48">
        <v>9.592887999416474</v>
      </c>
      <c r="J15" s="48" t="s">
        <v>80</v>
      </c>
      <c r="K15" s="48">
        <v>9.308528167151549</v>
      </c>
      <c r="L15" s="46">
        <v>100</v>
      </c>
      <c r="M15" s="48">
        <f t="shared" si="0"/>
        <v>9.736899378577967</v>
      </c>
      <c r="N15" s="46" t="s">
        <v>156</v>
      </c>
      <c r="O15" s="46"/>
      <c r="P15" s="46" t="s">
        <v>156</v>
      </c>
      <c r="Q15" s="46"/>
      <c r="R15" s="46" t="s">
        <v>156</v>
      </c>
      <c r="S15" s="46"/>
      <c r="T15" s="46" t="s">
        <v>156</v>
      </c>
      <c r="U15" s="46"/>
      <c r="V15" s="46" t="s">
        <v>156</v>
      </c>
      <c r="W15" s="46"/>
      <c r="X15" s="45">
        <v>9.736899378577967</v>
      </c>
    </row>
    <row r="16" spans="1:24" s="45" customFormat="1" ht="12.75">
      <c r="A16" s="45" t="s">
        <v>98</v>
      </c>
      <c r="B16" s="45" t="s">
        <v>73</v>
      </c>
      <c r="C16" s="45" t="s">
        <v>185</v>
      </c>
      <c r="D16" s="45" t="s">
        <v>34</v>
      </c>
      <c r="E16" s="45" t="s">
        <v>15</v>
      </c>
      <c r="F16" s="46" t="s">
        <v>80</v>
      </c>
      <c r="G16" s="48">
        <v>20.618563938331757</v>
      </c>
      <c r="H16" s="48" t="s">
        <v>80</v>
      </c>
      <c r="I16" s="48">
        <v>19.253931508597898</v>
      </c>
      <c r="J16" s="48" t="s">
        <v>80</v>
      </c>
      <c r="K16" s="48">
        <v>18.617056334303</v>
      </c>
      <c r="L16" s="46">
        <v>100</v>
      </c>
      <c r="M16" s="48">
        <f t="shared" si="0"/>
        <v>19.496517260410887</v>
      </c>
      <c r="N16" s="46" t="s">
        <v>156</v>
      </c>
      <c r="O16" s="46"/>
      <c r="P16" s="46" t="s">
        <v>156</v>
      </c>
      <c r="Q16" s="46"/>
      <c r="R16" s="46" t="s">
        <v>156</v>
      </c>
      <c r="S16" s="46"/>
      <c r="T16" s="46" t="s">
        <v>156</v>
      </c>
      <c r="U16" s="46"/>
      <c r="V16" s="46" t="s">
        <v>156</v>
      </c>
      <c r="W16" s="46"/>
      <c r="X16" s="45">
        <v>19.496517260410887</v>
      </c>
    </row>
    <row r="17" spans="1:24" s="45" customFormat="1" ht="12.75">
      <c r="A17" s="45" t="s">
        <v>98</v>
      </c>
      <c r="B17" s="45" t="s">
        <v>55</v>
      </c>
      <c r="C17" s="45" t="s">
        <v>185</v>
      </c>
      <c r="D17" s="45" t="s">
        <v>34</v>
      </c>
      <c r="E17" s="45" t="s">
        <v>15</v>
      </c>
      <c r="F17" s="46" t="s">
        <v>80</v>
      </c>
      <c r="G17" s="48">
        <v>20.618563938331757</v>
      </c>
      <c r="H17" s="48" t="s">
        <v>156</v>
      </c>
      <c r="I17" s="48">
        <v>38.33747424278342</v>
      </c>
      <c r="J17" s="48" t="s">
        <v>80</v>
      </c>
      <c r="K17" s="48">
        <v>18.617056334303</v>
      </c>
      <c r="L17" s="46">
        <v>100</v>
      </c>
      <c r="M17" s="48">
        <f t="shared" si="0"/>
        <v>25.85769817180606</v>
      </c>
      <c r="N17" s="46" t="s">
        <v>156</v>
      </c>
      <c r="O17" s="46"/>
      <c r="P17" s="46" t="s">
        <v>156</v>
      </c>
      <c r="Q17" s="46"/>
      <c r="R17" s="46" t="s">
        <v>156</v>
      </c>
      <c r="S17" s="46"/>
      <c r="T17" s="46" t="s">
        <v>156</v>
      </c>
      <c r="U17" s="46"/>
      <c r="V17" s="46" t="s">
        <v>156</v>
      </c>
      <c r="W17" s="46"/>
      <c r="X17" s="45">
        <v>25.85769817180606</v>
      </c>
    </row>
    <row r="18" spans="1:24" s="45" customFormat="1" ht="12.75">
      <c r="A18" s="45" t="s">
        <v>98</v>
      </c>
      <c r="B18" s="45" t="s">
        <v>61</v>
      </c>
      <c r="C18" s="45" t="s">
        <v>185</v>
      </c>
      <c r="D18" s="45" t="s">
        <v>34</v>
      </c>
      <c r="E18" s="45" t="s">
        <v>15</v>
      </c>
      <c r="F18" s="46" t="s">
        <v>80</v>
      </c>
      <c r="G18" s="48">
        <v>2.7917170642166</v>
      </c>
      <c r="H18" s="48" t="s">
        <v>80</v>
      </c>
      <c r="I18" s="48">
        <v>2.589909371068036</v>
      </c>
      <c r="J18" s="48" t="s">
        <v>80</v>
      </c>
      <c r="K18" s="48">
        <v>2.504241206030151</v>
      </c>
      <c r="L18" s="46">
        <v>100</v>
      </c>
      <c r="M18" s="48">
        <f>AVERAGE(G18,I18,K18)</f>
        <v>2.628622547104929</v>
      </c>
      <c r="N18" s="46" t="s">
        <v>156</v>
      </c>
      <c r="O18" s="46"/>
      <c r="P18" s="46" t="s">
        <v>156</v>
      </c>
      <c r="Q18" s="46"/>
      <c r="R18" s="46" t="s">
        <v>156</v>
      </c>
      <c r="S18" s="46"/>
      <c r="T18" s="46" t="s">
        <v>156</v>
      </c>
      <c r="U18" s="46"/>
      <c r="V18" s="46" t="s">
        <v>156</v>
      </c>
      <c r="W18" s="46"/>
      <c r="X18" s="45">
        <v>2.628622547104929</v>
      </c>
    </row>
    <row r="19" spans="1:24" s="45" customFormat="1" ht="12.75">
      <c r="A19" s="45" t="s">
        <v>98</v>
      </c>
      <c r="B19" s="45" t="s">
        <v>64</v>
      </c>
      <c r="C19" s="45" t="s">
        <v>185</v>
      </c>
      <c r="D19" s="45" t="s">
        <v>34</v>
      </c>
      <c r="E19" s="45" t="s">
        <v>15</v>
      </c>
      <c r="F19" s="46" t="s">
        <v>80</v>
      </c>
      <c r="G19" s="48">
        <v>10.309281969165879</v>
      </c>
      <c r="H19" s="48" t="s">
        <v>80</v>
      </c>
      <c r="I19" s="48">
        <v>9.592887999416474</v>
      </c>
      <c r="J19" s="48" t="s">
        <v>80</v>
      </c>
      <c r="K19" s="48">
        <v>9.308528167151549</v>
      </c>
      <c r="L19" s="46">
        <v>100</v>
      </c>
      <c r="M19" s="48">
        <f>AVERAGE(G19,I19,K19)</f>
        <v>9.736899378577967</v>
      </c>
      <c r="N19" s="46" t="s">
        <v>156</v>
      </c>
      <c r="O19" s="46"/>
      <c r="P19" s="46" t="s">
        <v>156</v>
      </c>
      <c r="Q19" s="46"/>
      <c r="R19" s="46" t="s">
        <v>156</v>
      </c>
      <c r="S19" s="46"/>
      <c r="T19" s="46" t="s">
        <v>156</v>
      </c>
      <c r="U19" s="46"/>
      <c r="V19" s="46" t="s">
        <v>156</v>
      </c>
      <c r="W19" s="46"/>
      <c r="X19" s="45">
        <v>9.736899378577967</v>
      </c>
    </row>
    <row r="20" spans="1:24" s="45" customFormat="1" ht="12.75">
      <c r="A20" s="45" t="s">
        <v>98</v>
      </c>
      <c r="B20" s="45" t="s">
        <v>65</v>
      </c>
      <c r="C20" s="45" t="s">
        <v>185</v>
      </c>
      <c r="D20" s="45" t="s">
        <v>34</v>
      </c>
      <c r="E20" s="45" t="s">
        <v>15</v>
      </c>
      <c r="F20" s="46" t="s">
        <v>80</v>
      </c>
      <c r="G20" s="48">
        <v>20.618563938331757</v>
      </c>
      <c r="H20" s="48" t="s">
        <v>80</v>
      </c>
      <c r="I20" s="48">
        <v>19.253931508597898</v>
      </c>
      <c r="J20" s="48" t="s">
        <v>80</v>
      </c>
      <c r="K20" s="48">
        <v>18.617056334303</v>
      </c>
      <c r="L20" s="46">
        <v>100</v>
      </c>
      <c r="M20" s="48">
        <f>AVERAGE(G20,I20,K20)</f>
        <v>19.496517260410887</v>
      </c>
      <c r="N20" s="46" t="s">
        <v>156</v>
      </c>
      <c r="O20" s="46"/>
      <c r="P20" s="46" t="s">
        <v>156</v>
      </c>
      <c r="Q20" s="46"/>
      <c r="R20" s="46" t="s">
        <v>156</v>
      </c>
      <c r="S20" s="46"/>
      <c r="T20" s="46" t="s">
        <v>156</v>
      </c>
      <c r="U20" s="46"/>
      <c r="V20" s="46" t="s">
        <v>156</v>
      </c>
      <c r="W20" s="46"/>
      <c r="X20" s="45">
        <v>19.496517260410887</v>
      </c>
    </row>
    <row r="21" spans="2:23" s="45" customFormat="1" ht="12.75">
      <c r="B21" s="45" t="s">
        <v>35</v>
      </c>
      <c r="C21" s="45" t="s">
        <v>185</v>
      </c>
      <c r="D21" s="45" t="s">
        <v>34</v>
      </c>
      <c r="E21" s="45" t="s">
        <v>15</v>
      </c>
      <c r="F21" s="46">
        <v>100</v>
      </c>
      <c r="G21" s="48">
        <f>G17+G15</f>
        <v>30.927845907497634</v>
      </c>
      <c r="H21" s="46">
        <v>100</v>
      </c>
      <c r="I21" s="48">
        <f>I17+I15</f>
        <v>47.9303622421999</v>
      </c>
      <c r="J21" s="46">
        <v>100</v>
      </c>
      <c r="K21" s="48">
        <f>K17+K15</f>
        <v>27.92558450145455</v>
      </c>
      <c r="L21" s="46">
        <v>100</v>
      </c>
      <c r="M21" s="48">
        <f>AVERAGE(G21,I21,K21)</f>
        <v>35.59459755038403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spans="2:23" s="45" customFormat="1" ht="12.75">
      <c r="B22" s="45" t="s">
        <v>36</v>
      </c>
      <c r="C22" s="45" t="s">
        <v>185</v>
      </c>
      <c r="D22" s="45" t="s">
        <v>34</v>
      </c>
      <c r="E22" s="45" t="s">
        <v>15</v>
      </c>
      <c r="F22" s="46">
        <v>100</v>
      </c>
      <c r="G22" s="48">
        <f>G12+G14+G16</f>
        <v>21.752584954940005</v>
      </c>
      <c r="H22" s="46">
        <v>100</v>
      </c>
      <c r="I22" s="48">
        <f>I12+I14+I16</f>
        <v>20.30914918853371</v>
      </c>
      <c r="J22" s="46">
        <v>100</v>
      </c>
      <c r="K22" s="48">
        <f>K12+K14+K16</f>
        <v>19.64099443268967</v>
      </c>
      <c r="L22" s="46">
        <v>100</v>
      </c>
      <c r="M22" s="48">
        <f>AVERAGE(G22,I22,K22)</f>
        <v>20.56757619205446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6:23" s="45" customFormat="1" ht="12.75">
      <c r="F23" s="46"/>
      <c r="G23" s="48"/>
      <c r="H23" s="48"/>
      <c r="I23" s="48"/>
      <c r="J23" s="48"/>
      <c r="K23" s="48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2:23" s="45" customFormat="1" ht="12.75">
      <c r="B24" s="45" t="s">
        <v>74</v>
      </c>
      <c r="C24" s="45" t="s">
        <v>157</v>
      </c>
      <c r="D24" s="45" t="s">
        <v>184</v>
      </c>
      <c r="F24" s="46"/>
      <c r="G24" s="48"/>
      <c r="H24" s="48"/>
      <c r="I24" s="48"/>
      <c r="J24" s="48"/>
      <c r="K24" s="48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2:63" s="45" customFormat="1" ht="12.75">
      <c r="B25" s="5" t="s">
        <v>54</v>
      </c>
      <c r="C25" s="5"/>
      <c r="D25" s="5" t="s">
        <v>17</v>
      </c>
      <c r="G25" s="48">
        <v>3674</v>
      </c>
      <c r="H25" s="48"/>
      <c r="I25" s="48">
        <v>3965</v>
      </c>
      <c r="J25" s="48"/>
      <c r="K25" s="48">
        <v>3944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</row>
    <row r="26" spans="2:63" s="45" customFormat="1" ht="12.75">
      <c r="B26" s="5" t="s">
        <v>70</v>
      </c>
      <c r="C26" s="5"/>
      <c r="D26" s="5" t="s">
        <v>18</v>
      </c>
      <c r="G26" s="48">
        <v>14.9</v>
      </c>
      <c r="H26" s="48"/>
      <c r="I26" s="48">
        <v>14.8</v>
      </c>
      <c r="J26" s="48"/>
      <c r="K26" s="48">
        <v>15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</row>
    <row r="27" spans="1:63" s="45" customFormat="1" ht="12.75">
      <c r="A27" s="45" t="s">
        <v>98</v>
      </c>
      <c r="B27" s="5" t="s">
        <v>71</v>
      </c>
      <c r="C27" s="5"/>
      <c r="D27" s="5" t="s">
        <v>18</v>
      </c>
      <c r="G27" s="48">
        <v>10</v>
      </c>
      <c r="H27" s="48"/>
      <c r="I27" s="48">
        <v>8.8</v>
      </c>
      <c r="J27" s="48"/>
      <c r="K27" s="48">
        <v>7.9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</row>
    <row r="28" spans="2:63" s="45" customFormat="1" ht="12.75">
      <c r="B28" s="5" t="s">
        <v>53</v>
      </c>
      <c r="C28" s="5"/>
      <c r="D28" s="5" t="s">
        <v>19</v>
      </c>
      <c r="G28" s="48">
        <v>216</v>
      </c>
      <c r="H28" s="48"/>
      <c r="I28" s="48">
        <v>225</v>
      </c>
      <c r="J28" s="48"/>
      <c r="K28" s="48">
        <v>234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</row>
    <row r="29" spans="7:63" s="45" customFormat="1" ht="12.75"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</row>
    <row r="30" spans="2:63" s="45" customFormat="1" ht="12.75">
      <c r="B30" s="45" t="s">
        <v>74</v>
      </c>
      <c r="C30" s="45" t="s">
        <v>126</v>
      </c>
      <c r="D30" s="45" t="s">
        <v>185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</row>
    <row r="31" spans="2:63" s="45" customFormat="1" ht="12.75">
      <c r="B31" s="5" t="s">
        <v>54</v>
      </c>
      <c r="C31" s="5"/>
      <c r="D31" s="5" t="s">
        <v>17</v>
      </c>
      <c r="G31" s="48">
        <v>3358</v>
      </c>
      <c r="H31" s="48"/>
      <c r="I31" s="48">
        <v>3538</v>
      </c>
      <c r="J31" s="48"/>
      <c r="K31" s="48">
        <v>3781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</row>
    <row r="32" spans="2:63" s="45" customFormat="1" ht="12.75">
      <c r="B32" s="5" t="s">
        <v>70</v>
      </c>
      <c r="C32" s="5"/>
      <c r="D32" s="5" t="s">
        <v>18</v>
      </c>
      <c r="G32" s="48">
        <v>14.9</v>
      </c>
      <c r="H32" s="48"/>
      <c r="I32" s="48">
        <v>14.8</v>
      </c>
      <c r="J32" s="48"/>
      <c r="K32" s="48">
        <v>15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</row>
    <row r="33" spans="2:63" s="45" customFormat="1" ht="12.75">
      <c r="B33" s="5" t="s">
        <v>71</v>
      </c>
      <c r="C33" s="5"/>
      <c r="D33" s="5" t="s">
        <v>18</v>
      </c>
      <c r="G33" s="48">
        <v>10.2</v>
      </c>
      <c r="H33" s="48"/>
      <c r="I33" s="48">
        <v>8.8</v>
      </c>
      <c r="J33" s="48"/>
      <c r="K33" s="48">
        <v>7.8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</row>
    <row r="34" spans="2:63" s="45" customFormat="1" ht="12.75">
      <c r="B34" s="5" t="s">
        <v>53</v>
      </c>
      <c r="C34" s="5"/>
      <c r="D34" s="5" t="s">
        <v>19</v>
      </c>
      <c r="G34" s="48">
        <v>212</v>
      </c>
      <c r="H34" s="48"/>
      <c r="I34" s="48">
        <v>229</v>
      </c>
      <c r="J34" s="48"/>
      <c r="K34" s="48">
        <v>230</v>
      </c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</row>
    <row r="35" spans="7:63" s="45" customFormat="1" ht="12.75"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</row>
    <row r="36" spans="2:63" s="45" customFormat="1" ht="12.75">
      <c r="B36" s="45" t="s">
        <v>74</v>
      </c>
      <c r="C36" s="45" t="s">
        <v>158</v>
      </c>
      <c r="D36" s="45" t="s">
        <v>186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</row>
    <row r="37" spans="2:63" s="45" customFormat="1" ht="12.75">
      <c r="B37" s="5" t="s">
        <v>54</v>
      </c>
      <c r="C37" s="5"/>
      <c r="D37" s="5" t="s">
        <v>17</v>
      </c>
      <c r="G37" s="48">
        <v>3522</v>
      </c>
      <c r="H37" s="48"/>
      <c r="I37" s="48">
        <v>3763</v>
      </c>
      <c r="J37" s="48"/>
      <c r="K37" s="48">
        <v>3887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</row>
    <row r="38" spans="2:63" s="45" customFormat="1" ht="12.75">
      <c r="B38" s="5" t="s">
        <v>70</v>
      </c>
      <c r="C38" s="5"/>
      <c r="D38" s="5" t="s">
        <v>18</v>
      </c>
      <c r="G38" s="48">
        <v>14.9</v>
      </c>
      <c r="H38" s="48"/>
      <c r="I38" s="48">
        <v>14.8</v>
      </c>
      <c r="J38" s="48"/>
      <c r="K38" s="48">
        <v>15</v>
      </c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</row>
    <row r="39" spans="2:63" s="45" customFormat="1" ht="12.75">
      <c r="B39" s="5" t="s">
        <v>71</v>
      </c>
      <c r="C39" s="5"/>
      <c r="D39" s="5" t="s">
        <v>18</v>
      </c>
      <c r="G39" s="48">
        <v>10.4</v>
      </c>
      <c r="H39" s="48"/>
      <c r="I39" s="48">
        <v>8.9</v>
      </c>
      <c r="J39" s="48"/>
      <c r="K39" s="48">
        <v>7.8</v>
      </c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</row>
    <row r="40" spans="2:63" s="45" customFormat="1" ht="12.75">
      <c r="B40" s="5" t="s">
        <v>53</v>
      </c>
      <c r="C40" s="5"/>
      <c r="D40" s="5" t="s">
        <v>19</v>
      </c>
      <c r="G40" s="48">
        <v>212</v>
      </c>
      <c r="H40" s="48"/>
      <c r="I40" s="48">
        <v>220</v>
      </c>
      <c r="J40" s="48"/>
      <c r="K40" s="48">
        <v>222</v>
      </c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</row>
    <row r="41" spans="7:63" s="45" customFormat="1" ht="12.75"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</row>
    <row r="42" spans="1:57" s="49" customFormat="1" ht="12.75">
      <c r="A42" s="49" t="s">
        <v>98</v>
      </c>
      <c r="B42" s="49" t="s">
        <v>159</v>
      </c>
      <c r="C42" s="49" t="s">
        <v>186</v>
      </c>
      <c r="D42" s="49" t="s">
        <v>18</v>
      </c>
      <c r="G42" s="50">
        <v>99.9996</v>
      </c>
      <c r="H42" s="50"/>
      <c r="I42" s="50">
        <v>99.9997</v>
      </c>
      <c r="J42" s="50"/>
      <c r="K42" s="50">
        <v>99.9997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</row>
    <row r="43" spans="1:57" s="49" customFormat="1" ht="12.75">
      <c r="A43" s="49" t="s">
        <v>98</v>
      </c>
      <c r="B43" s="49" t="s">
        <v>101</v>
      </c>
      <c r="C43" s="49" t="s">
        <v>186</v>
      </c>
      <c r="D43" s="49" t="s">
        <v>18</v>
      </c>
      <c r="G43" s="50">
        <v>99.9971</v>
      </c>
      <c r="H43" s="50"/>
      <c r="I43" s="50">
        <v>99.9983</v>
      </c>
      <c r="J43" s="50"/>
      <c r="K43" s="50">
        <v>99.998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</row>
    <row r="44" spans="1:57" s="49" customFormat="1" ht="12.75">
      <c r="A44" s="49" t="s">
        <v>98</v>
      </c>
      <c r="B44" s="49" t="s">
        <v>160</v>
      </c>
      <c r="C44" s="49" t="s">
        <v>186</v>
      </c>
      <c r="D44" s="49" t="s">
        <v>18</v>
      </c>
      <c r="G44" s="50">
        <v>99.9994</v>
      </c>
      <c r="H44" s="50"/>
      <c r="I44" s="50">
        <v>99.9994</v>
      </c>
      <c r="J44" s="50"/>
      <c r="K44" s="50">
        <v>99.9995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</row>
    <row r="45" spans="6:23" s="45" customFormat="1" ht="12.75">
      <c r="F45" s="46"/>
      <c r="G45" s="48"/>
      <c r="H45" s="48"/>
      <c r="I45" s="48"/>
      <c r="J45" s="48"/>
      <c r="K45" s="48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2:23" s="45" customFormat="1" ht="12.75">
      <c r="B46" s="51" t="s">
        <v>100</v>
      </c>
      <c r="F46" s="46"/>
      <c r="G46" s="58" t="s">
        <v>152</v>
      </c>
      <c r="H46" s="58"/>
      <c r="I46" s="58" t="s">
        <v>153</v>
      </c>
      <c r="J46" s="58"/>
      <c r="K46" s="58" t="s">
        <v>154</v>
      </c>
      <c r="L46" s="58"/>
      <c r="M46" s="58" t="s">
        <v>155</v>
      </c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6:23" s="45" customFormat="1" ht="12.75">
      <c r="F47" s="46"/>
      <c r="G47" s="48"/>
      <c r="H47" s="48"/>
      <c r="I47" s="48"/>
      <c r="J47" s="48"/>
      <c r="K47" s="48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4" s="45" customFormat="1" ht="12.75">
      <c r="A48" s="45" t="s">
        <v>100</v>
      </c>
      <c r="B48" s="45" t="s">
        <v>13</v>
      </c>
      <c r="C48" s="45" t="s">
        <v>184</v>
      </c>
      <c r="D48" s="45" t="s">
        <v>14</v>
      </c>
      <c r="E48" s="45" t="s">
        <v>15</v>
      </c>
      <c r="F48" s="46" t="s">
        <v>156</v>
      </c>
      <c r="G48" s="47">
        <v>0.0020800206336</v>
      </c>
      <c r="H48" s="47" t="s">
        <v>156</v>
      </c>
      <c r="I48" s="47">
        <v>0.0011900118048</v>
      </c>
      <c r="J48" s="47" t="s">
        <v>156</v>
      </c>
      <c r="K48" s="47">
        <v>0.0006350062992</v>
      </c>
      <c r="L48" s="47" t="s">
        <v>156</v>
      </c>
      <c r="M48" s="47">
        <f>AVERAGE(G48,I48,K48)</f>
        <v>0.0013016795791999998</v>
      </c>
      <c r="N48" s="47" t="s">
        <v>156</v>
      </c>
      <c r="O48" s="47"/>
      <c r="P48" s="47" t="s">
        <v>156</v>
      </c>
      <c r="Q48" s="47"/>
      <c r="R48" s="47" t="s">
        <v>156</v>
      </c>
      <c r="S48" s="47"/>
      <c r="T48" s="47" t="s">
        <v>156</v>
      </c>
      <c r="U48" s="47"/>
      <c r="V48" s="46" t="s">
        <v>156</v>
      </c>
      <c r="W48" s="46"/>
      <c r="X48" s="45">
        <v>0.0013016795791999998</v>
      </c>
    </row>
    <row r="49" spans="1:24" s="45" customFormat="1" ht="12.75">
      <c r="A49" s="45" t="s">
        <v>100</v>
      </c>
      <c r="B49" s="45" t="s">
        <v>72</v>
      </c>
      <c r="C49" s="45" t="s">
        <v>184</v>
      </c>
      <c r="D49" s="45" t="s">
        <v>16</v>
      </c>
      <c r="E49" s="45" t="s">
        <v>15</v>
      </c>
      <c r="F49" s="46" t="s">
        <v>156</v>
      </c>
      <c r="G49" s="48">
        <v>2.73</v>
      </c>
      <c r="H49" s="48" t="s">
        <v>156</v>
      </c>
      <c r="I49" s="48">
        <v>1.18</v>
      </c>
      <c r="J49" s="48" t="s">
        <v>156</v>
      </c>
      <c r="K49" s="48">
        <v>1.18</v>
      </c>
      <c r="L49" s="46" t="s">
        <v>156</v>
      </c>
      <c r="M49" s="48">
        <f>AVERAGE(G49,I49,K49)</f>
        <v>1.6966666666666665</v>
      </c>
      <c r="N49" s="46" t="s">
        <v>156</v>
      </c>
      <c r="O49" s="46"/>
      <c r="P49" s="46" t="s">
        <v>156</v>
      </c>
      <c r="Q49" s="46"/>
      <c r="R49" s="46" t="s">
        <v>156</v>
      </c>
      <c r="S49" s="46"/>
      <c r="T49" s="46" t="s">
        <v>156</v>
      </c>
      <c r="U49" s="46"/>
      <c r="V49" s="46" t="s">
        <v>156</v>
      </c>
      <c r="W49" s="46"/>
      <c r="X49" s="45">
        <v>1.6966666666666665</v>
      </c>
    </row>
    <row r="50" spans="1:24" s="45" customFormat="1" ht="12.75">
      <c r="A50" s="45" t="s">
        <v>100</v>
      </c>
      <c r="B50" s="45" t="s">
        <v>84</v>
      </c>
      <c r="C50" s="45" t="s">
        <v>184</v>
      </c>
      <c r="D50" s="45" t="s">
        <v>34</v>
      </c>
      <c r="E50" s="45" t="s">
        <v>15</v>
      </c>
      <c r="F50" s="46" t="s">
        <v>156</v>
      </c>
      <c r="G50" s="48">
        <v>4</v>
      </c>
      <c r="H50" s="48" t="s">
        <v>156</v>
      </c>
      <c r="I50" s="48">
        <v>16.3</v>
      </c>
      <c r="J50" s="48" t="s">
        <v>156</v>
      </c>
      <c r="K50" s="48">
        <v>15.3</v>
      </c>
      <c r="L50" s="46" t="s">
        <v>156</v>
      </c>
      <c r="M50" s="48">
        <f>AVERAGE(G50,I50,K50)</f>
        <v>11.866666666666667</v>
      </c>
      <c r="N50" s="46" t="s">
        <v>156</v>
      </c>
      <c r="O50" s="46"/>
      <c r="P50" s="46" t="s">
        <v>156</v>
      </c>
      <c r="Q50" s="46"/>
      <c r="R50" s="46" t="s">
        <v>156</v>
      </c>
      <c r="S50" s="46"/>
      <c r="T50" s="46" t="s">
        <v>156</v>
      </c>
      <c r="U50" s="46"/>
      <c r="V50" s="46" t="s">
        <v>156</v>
      </c>
      <c r="W50" s="46"/>
      <c r="X50" s="45">
        <v>11.866666666666667</v>
      </c>
    </row>
    <row r="51" spans="1:24" s="45" customFormat="1" ht="12.75">
      <c r="A51" s="45" t="s">
        <v>100</v>
      </c>
      <c r="B51" s="45" t="s">
        <v>26</v>
      </c>
      <c r="C51" s="45" t="s">
        <v>184</v>
      </c>
      <c r="D51" s="45" t="s">
        <v>16</v>
      </c>
      <c r="E51" s="45" t="s">
        <v>15</v>
      </c>
      <c r="F51" s="46" t="s">
        <v>156</v>
      </c>
      <c r="G51" s="48">
        <v>3.5563757095738584</v>
      </c>
      <c r="H51" s="48" t="s">
        <v>156</v>
      </c>
      <c r="I51" s="48">
        <v>4.349999500234489</v>
      </c>
      <c r="J51" s="48" t="s">
        <v>156</v>
      </c>
      <c r="K51" s="48">
        <v>4.837254523552851</v>
      </c>
      <c r="L51" s="46" t="s">
        <v>156</v>
      </c>
      <c r="M51" s="48">
        <f>AVERAGE(G51,I51,K51)</f>
        <v>4.247876577787066</v>
      </c>
      <c r="N51" s="46" t="s">
        <v>156</v>
      </c>
      <c r="O51" s="46"/>
      <c r="P51" s="46" t="s">
        <v>156</v>
      </c>
      <c r="Q51" s="46"/>
      <c r="R51" s="46" t="s">
        <v>156</v>
      </c>
      <c r="S51" s="46"/>
      <c r="T51" s="46" t="s">
        <v>156</v>
      </c>
      <c r="U51" s="46"/>
      <c r="V51" s="46" t="s">
        <v>156</v>
      </c>
      <c r="W51" s="46"/>
      <c r="X51" s="45">
        <v>4.247876577787066</v>
      </c>
    </row>
    <row r="52" spans="1:24" s="45" customFormat="1" ht="12.75">
      <c r="A52" s="45" t="s">
        <v>100</v>
      </c>
      <c r="B52" s="45" t="s">
        <v>56</v>
      </c>
      <c r="C52" s="49" t="s">
        <v>185</v>
      </c>
      <c r="D52" s="45" t="s">
        <v>34</v>
      </c>
      <c r="E52" s="45" t="s">
        <v>15</v>
      </c>
      <c r="F52" s="46" t="s">
        <v>80</v>
      </c>
      <c r="G52" s="48">
        <v>0.929192019817982</v>
      </c>
      <c r="H52" s="48" t="s">
        <v>80</v>
      </c>
      <c r="I52" s="48">
        <v>0.96997182112069</v>
      </c>
      <c r="J52" s="48" t="s">
        <v>80</v>
      </c>
      <c r="K52" s="48">
        <v>0.9186064516129033</v>
      </c>
      <c r="L52" s="46">
        <v>100</v>
      </c>
      <c r="M52" s="48">
        <f aca="true" t="shared" si="1" ref="M52:M58">AVERAGE(G52,I52,K52)</f>
        <v>0.9392567641838584</v>
      </c>
      <c r="N52" s="46" t="s">
        <v>156</v>
      </c>
      <c r="O52" s="46"/>
      <c r="P52" s="46" t="s">
        <v>156</v>
      </c>
      <c r="Q52" s="46"/>
      <c r="R52" s="46" t="s">
        <v>156</v>
      </c>
      <c r="S52" s="46"/>
      <c r="T52" s="46" t="s">
        <v>156</v>
      </c>
      <c r="U52" s="46"/>
      <c r="V52" s="46" t="s">
        <v>156</v>
      </c>
      <c r="W52" s="46"/>
      <c r="X52" s="45">
        <v>0.9392567641838584</v>
      </c>
    </row>
    <row r="53" spans="1:24" s="45" customFormat="1" ht="12.75">
      <c r="A53" s="45" t="s">
        <v>100</v>
      </c>
      <c r="B53" s="45" t="s">
        <v>57</v>
      </c>
      <c r="C53" s="49" t="s">
        <v>185</v>
      </c>
      <c r="D53" s="45" t="s">
        <v>34</v>
      </c>
      <c r="E53" s="45" t="s">
        <v>15</v>
      </c>
      <c r="F53" s="46" t="s">
        <v>80</v>
      </c>
      <c r="G53" s="48">
        <v>0.929192019817982</v>
      </c>
      <c r="H53" s="48" t="s">
        <v>80</v>
      </c>
      <c r="I53" s="48">
        <v>0.96997182112069</v>
      </c>
      <c r="J53" s="48" t="s">
        <v>80</v>
      </c>
      <c r="K53" s="48">
        <v>0.9186064516129033</v>
      </c>
      <c r="L53" s="46">
        <v>100</v>
      </c>
      <c r="M53" s="48">
        <f t="shared" si="1"/>
        <v>0.9392567641838584</v>
      </c>
      <c r="N53" s="46" t="s">
        <v>156</v>
      </c>
      <c r="O53" s="46"/>
      <c r="P53" s="46" t="s">
        <v>156</v>
      </c>
      <c r="Q53" s="46"/>
      <c r="R53" s="46" t="s">
        <v>156</v>
      </c>
      <c r="S53" s="46"/>
      <c r="T53" s="46" t="s">
        <v>156</v>
      </c>
      <c r="U53" s="46"/>
      <c r="V53" s="46" t="s">
        <v>156</v>
      </c>
      <c r="W53" s="46"/>
      <c r="X53" s="45">
        <v>0.9392567641838584</v>
      </c>
    </row>
    <row r="54" spans="1:24" s="45" customFormat="1" ht="12.75">
      <c r="A54" s="45" t="s">
        <v>100</v>
      </c>
      <c r="B54" s="45" t="s">
        <v>58</v>
      </c>
      <c r="C54" s="49" t="s">
        <v>185</v>
      </c>
      <c r="D54" s="45" t="s">
        <v>34</v>
      </c>
      <c r="E54" s="45" t="s">
        <v>15</v>
      </c>
      <c r="F54" s="46" t="s">
        <v>80</v>
      </c>
      <c r="G54" s="48">
        <v>37.13467219521242</v>
      </c>
      <c r="H54" s="48" t="s">
        <v>80</v>
      </c>
      <c r="I54" s="48">
        <v>38.76530980603448</v>
      </c>
      <c r="J54" s="48" t="s">
        <v>80</v>
      </c>
      <c r="K54" s="48">
        <v>36.680465949820785</v>
      </c>
      <c r="L54" s="46">
        <v>100</v>
      </c>
      <c r="M54" s="48">
        <f t="shared" si="1"/>
        <v>37.526815983689225</v>
      </c>
      <c r="N54" s="46" t="s">
        <v>156</v>
      </c>
      <c r="O54" s="46"/>
      <c r="P54" s="46" t="s">
        <v>156</v>
      </c>
      <c r="Q54" s="46"/>
      <c r="R54" s="46" t="s">
        <v>156</v>
      </c>
      <c r="S54" s="46"/>
      <c r="T54" s="46" t="s">
        <v>156</v>
      </c>
      <c r="U54" s="46"/>
      <c r="V54" s="46" t="s">
        <v>156</v>
      </c>
      <c r="W54" s="46"/>
      <c r="X54" s="45">
        <v>37.526815983689225</v>
      </c>
    </row>
    <row r="55" spans="1:24" s="45" customFormat="1" ht="12.75">
      <c r="A55" s="45" t="s">
        <v>100</v>
      </c>
      <c r="B55" s="45" t="s">
        <v>59</v>
      </c>
      <c r="C55" s="49" t="s">
        <v>185</v>
      </c>
      <c r="D55" s="45" t="s">
        <v>34</v>
      </c>
      <c r="E55" s="45" t="s">
        <v>15</v>
      </c>
      <c r="F55" s="46" t="s">
        <v>80</v>
      </c>
      <c r="G55" s="48">
        <v>0.09291920198179819</v>
      </c>
      <c r="H55" s="48" t="s">
        <v>80</v>
      </c>
      <c r="I55" s="48">
        <v>0.096997182112069</v>
      </c>
      <c r="J55" s="48" t="s">
        <v>80</v>
      </c>
      <c r="K55" s="48">
        <v>0.09186064516129033</v>
      </c>
      <c r="L55" s="46">
        <v>100</v>
      </c>
      <c r="M55" s="48">
        <f t="shared" si="1"/>
        <v>0.09392567641838584</v>
      </c>
      <c r="N55" s="46" t="s">
        <v>156</v>
      </c>
      <c r="O55" s="46"/>
      <c r="P55" s="46" t="s">
        <v>156</v>
      </c>
      <c r="Q55" s="46"/>
      <c r="R55" s="46" t="s">
        <v>156</v>
      </c>
      <c r="S55" s="46"/>
      <c r="T55" s="46" t="s">
        <v>156</v>
      </c>
      <c r="U55" s="46"/>
      <c r="V55" s="46" t="s">
        <v>156</v>
      </c>
      <c r="W55" s="46"/>
      <c r="X55" s="45">
        <v>0.09392567641838584</v>
      </c>
    </row>
    <row r="56" spans="1:24" s="45" customFormat="1" ht="12.75">
      <c r="A56" s="45" t="s">
        <v>100</v>
      </c>
      <c r="B56" s="45" t="s">
        <v>60</v>
      </c>
      <c r="C56" s="49" t="s">
        <v>185</v>
      </c>
      <c r="D56" s="45" t="s">
        <v>34</v>
      </c>
      <c r="E56" s="45" t="s">
        <v>15</v>
      </c>
      <c r="F56" s="46" t="s">
        <v>80</v>
      </c>
      <c r="G56" s="48">
        <v>9.291920198179819</v>
      </c>
      <c r="H56" s="48" t="s">
        <v>80</v>
      </c>
      <c r="I56" s="48">
        <v>9.6997182112069</v>
      </c>
      <c r="J56" s="48" t="s">
        <v>80</v>
      </c>
      <c r="K56" s="48">
        <v>9.186064516129033</v>
      </c>
      <c r="L56" s="46">
        <v>100</v>
      </c>
      <c r="M56" s="48">
        <f t="shared" si="1"/>
        <v>9.392567641838584</v>
      </c>
      <c r="N56" s="46" t="s">
        <v>156</v>
      </c>
      <c r="O56" s="46"/>
      <c r="P56" s="46" t="s">
        <v>156</v>
      </c>
      <c r="Q56" s="46"/>
      <c r="R56" s="46" t="s">
        <v>156</v>
      </c>
      <c r="S56" s="46"/>
      <c r="T56" s="46" t="s">
        <v>156</v>
      </c>
      <c r="U56" s="46"/>
      <c r="V56" s="46" t="s">
        <v>156</v>
      </c>
      <c r="W56" s="46"/>
      <c r="X56" s="45">
        <v>9.392567641838584</v>
      </c>
    </row>
    <row r="57" spans="1:24" s="45" customFormat="1" ht="12.75">
      <c r="A57" s="45" t="s">
        <v>100</v>
      </c>
      <c r="B57" s="45" t="s">
        <v>73</v>
      </c>
      <c r="C57" s="49" t="s">
        <v>185</v>
      </c>
      <c r="D57" s="45" t="s">
        <v>34</v>
      </c>
      <c r="E57" s="45" t="s">
        <v>15</v>
      </c>
      <c r="F57" s="46" t="s">
        <v>80</v>
      </c>
      <c r="G57" s="48">
        <v>18.649857591373348</v>
      </c>
      <c r="H57" s="48" t="s">
        <v>80</v>
      </c>
      <c r="I57" s="48">
        <v>19.4665625</v>
      </c>
      <c r="J57" s="48" t="s">
        <v>80</v>
      </c>
      <c r="K57" s="48">
        <v>18.340232974910393</v>
      </c>
      <c r="L57" s="46">
        <v>100</v>
      </c>
      <c r="M57" s="48">
        <f t="shared" si="1"/>
        <v>18.81888435542791</v>
      </c>
      <c r="N57" s="46" t="s">
        <v>156</v>
      </c>
      <c r="O57" s="46"/>
      <c r="P57" s="46" t="s">
        <v>156</v>
      </c>
      <c r="Q57" s="46"/>
      <c r="R57" s="46" t="s">
        <v>156</v>
      </c>
      <c r="S57" s="46"/>
      <c r="T57" s="46" t="s">
        <v>156</v>
      </c>
      <c r="U57" s="46"/>
      <c r="V57" s="46" t="s">
        <v>156</v>
      </c>
      <c r="W57" s="46"/>
      <c r="X57" s="45">
        <v>18.81888435542791</v>
      </c>
    </row>
    <row r="58" spans="1:24" s="45" customFormat="1" ht="12.75">
      <c r="A58" s="45" t="s">
        <v>100</v>
      </c>
      <c r="B58" s="45" t="s">
        <v>55</v>
      </c>
      <c r="C58" s="49" t="s">
        <v>185</v>
      </c>
      <c r="D58" s="45" t="s">
        <v>34</v>
      </c>
      <c r="E58" s="45" t="s">
        <v>15</v>
      </c>
      <c r="F58" s="46" t="s">
        <v>80</v>
      </c>
      <c r="G58" s="48">
        <v>18.649857591373348</v>
      </c>
      <c r="H58" s="48" t="s">
        <v>80</v>
      </c>
      <c r="I58" s="48">
        <v>19.4665625</v>
      </c>
      <c r="J58" s="48" t="s">
        <v>80</v>
      </c>
      <c r="K58" s="48">
        <v>18.340232974910393</v>
      </c>
      <c r="L58" s="46">
        <v>100</v>
      </c>
      <c r="M58" s="48">
        <f t="shared" si="1"/>
        <v>18.81888435542791</v>
      </c>
      <c r="N58" s="46" t="s">
        <v>156</v>
      </c>
      <c r="O58" s="46"/>
      <c r="P58" s="46" t="s">
        <v>156</v>
      </c>
      <c r="Q58" s="46"/>
      <c r="R58" s="46" t="s">
        <v>156</v>
      </c>
      <c r="S58" s="46"/>
      <c r="T58" s="46" t="s">
        <v>156</v>
      </c>
      <c r="U58" s="46"/>
      <c r="V58" s="46" t="s">
        <v>156</v>
      </c>
      <c r="W58" s="46"/>
      <c r="X58" s="45">
        <v>18.81888435542791</v>
      </c>
    </row>
    <row r="59" spans="1:24" s="45" customFormat="1" ht="12.75">
      <c r="A59" s="45" t="s">
        <v>100</v>
      </c>
      <c r="B59" s="45" t="s">
        <v>61</v>
      </c>
      <c r="C59" s="49" t="s">
        <v>185</v>
      </c>
      <c r="D59" s="45" t="s">
        <v>34</v>
      </c>
      <c r="E59" s="45" t="s">
        <v>15</v>
      </c>
      <c r="F59" s="46" t="s">
        <v>80</v>
      </c>
      <c r="G59" s="48">
        <v>2.508653410521017</v>
      </c>
      <c r="H59" s="48" t="s">
        <v>80</v>
      </c>
      <c r="I59" s="48">
        <v>2.617917025862069</v>
      </c>
      <c r="J59" s="48" t="s">
        <v>80</v>
      </c>
      <c r="K59" s="48">
        <v>2.471944444444445</v>
      </c>
      <c r="L59" s="46">
        <v>100</v>
      </c>
      <c r="M59" s="48">
        <f>AVERAGE(G59,I59,K59)</f>
        <v>2.5328382936091773</v>
      </c>
      <c r="N59" s="46" t="s">
        <v>156</v>
      </c>
      <c r="O59" s="46"/>
      <c r="P59" s="46" t="s">
        <v>156</v>
      </c>
      <c r="Q59" s="46"/>
      <c r="R59" s="46" t="s">
        <v>156</v>
      </c>
      <c r="S59" s="46"/>
      <c r="T59" s="46" t="s">
        <v>156</v>
      </c>
      <c r="U59" s="46"/>
      <c r="V59" s="46" t="s">
        <v>156</v>
      </c>
      <c r="W59" s="46"/>
      <c r="X59" s="45">
        <v>2.5328382936091773</v>
      </c>
    </row>
    <row r="60" spans="1:24" s="45" customFormat="1" ht="12.75">
      <c r="A60" s="45" t="s">
        <v>100</v>
      </c>
      <c r="B60" s="45" t="s">
        <v>64</v>
      </c>
      <c r="C60" s="49" t="s">
        <v>185</v>
      </c>
      <c r="D60" s="45" t="s">
        <v>34</v>
      </c>
      <c r="E60" s="45" t="s">
        <v>15</v>
      </c>
      <c r="F60" s="46" t="s">
        <v>80</v>
      </c>
      <c r="G60" s="48">
        <v>9.291920198179819</v>
      </c>
      <c r="H60" s="48" t="s">
        <v>80</v>
      </c>
      <c r="I60" s="48">
        <v>9.6997182112069</v>
      </c>
      <c r="J60" s="48" t="s">
        <v>80</v>
      </c>
      <c r="K60" s="48">
        <v>9.186064516129033</v>
      </c>
      <c r="L60" s="46">
        <v>100</v>
      </c>
      <c r="M60" s="48">
        <f>AVERAGE(G60,I60,K60)</f>
        <v>9.392567641838584</v>
      </c>
      <c r="N60" s="46" t="s">
        <v>156</v>
      </c>
      <c r="O60" s="46"/>
      <c r="P60" s="46" t="s">
        <v>156</v>
      </c>
      <c r="Q60" s="46"/>
      <c r="R60" s="46" t="s">
        <v>156</v>
      </c>
      <c r="S60" s="46"/>
      <c r="T60" s="46" t="s">
        <v>156</v>
      </c>
      <c r="U60" s="46"/>
      <c r="V60" s="46" t="s">
        <v>156</v>
      </c>
      <c r="W60" s="46"/>
      <c r="X60" s="45">
        <v>9.392567641838584</v>
      </c>
    </row>
    <row r="61" spans="1:24" s="45" customFormat="1" ht="12.75">
      <c r="A61" s="45" t="s">
        <v>100</v>
      </c>
      <c r="B61" s="45" t="s">
        <v>65</v>
      </c>
      <c r="C61" s="49" t="s">
        <v>185</v>
      </c>
      <c r="D61" s="45" t="s">
        <v>34</v>
      </c>
      <c r="E61" s="45" t="s">
        <v>15</v>
      </c>
      <c r="F61" s="46" t="s">
        <v>80</v>
      </c>
      <c r="G61" s="48">
        <v>18.649857591373348</v>
      </c>
      <c r="H61" s="48" t="s">
        <v>80</v>
      </c>
      <c r="I61" s="48">
        <v>19.4665625</v>
      </c>
      <c r="J61" s="48" t="s">
        <v>80</v>
      </c>
      <c r="K61" s="48">
        <v>18.340232974910393</v>
      </c>
      <c r="L61" s="46">
        <v>100</v>
      </c>
      <c r="M61" s="48">
        <f>AVERAGE(G61,I61,K61)</f>
        <v>18.81888435542791</v>
      </c>
      <c r="N61" s="46" t="s">
        <v>156</v>
      </c>
      <c r="O61" s="46"/>
      <c r="P61" s="46" t="s">
        <v>156</v>
      </c>
      <c r="Q61" s="46"/>
      <c r="R61" s="46" t="s">
        <v>156</v>
      </c>
      <c r="S61" s="46"/>
      <c r="T61" s="46" t="s">
        <v>156</v>
      </c>
      <c r="U61" s="46"/>
      <c r="V61" s="46" t="s">
        <v>156</v>
      </c>
      <c r="W61" s="46"/>
      <c r="X61" s="45">
        <v>18.81888435542791</v>
      </c>
    </row>
    <row r="62" spans="2:23" s="45" customFormat="1" ht="12.75">
      <c r="B62" s="45" t="s">
        <v>35</v>
      </c>
      <c r="C62" s="49" t="s">
        <v>185</v>
      </c>
      <c r="D62" s="45" t="s">
        <v>34</v>
      </c>
      <c r="E62" s="45" t="s">
        <v>15</v>
      </c>
      <c r="F62" s="46">
        <v>100</v>
      </c>
      <c r="G62" s="48">
        <f>G56+G58</f>
        <v>27.941777789553164</v>
      </c>
      <c r="H62" s="46">
        <v>100</v>
      </c>
      <c r="I62" s="48">
        <f>I56+I58</f>
        <v>29.1662807112069</v>
      </c>
      <c r="J62" s="46">
        <v>100</v>
      </c>
      <c r="K62" s="48">
        <f>K56+K58</f>
        <v>27.526297491039426</v>
      </c>
      <c r="L62" s="46">
        <v>100</v>
      </c>
      <c r="M62" s="48">
        <f>AVERAGE(G62,I62,K62)</f>
        <v>28.211451997266497</v>
      </c>
      <c r="N62" s="46"/>
      <c r="O62" s="46"/>
      <c r="P62" s="46"/>
      <c r="Q62" s="46"/>
      <c r="R62" s="46"/>
      <c r="S62" s="46"/>
      <c r="T62" s="46"/>
      <c r="U62" s="46"/>
      <c r="V62" s="46"/>
      <c r="W62" s="46"/>
    </row>
    <row r="63" spans="2:23" s="45" customFormat="1" ht="12.75">
      <c r="B63" s="45" t="s">
        <v>36</v>
      </c>
      <c r="C63" s="49" t="s">
        <v>185</v>
      </c>
      <c r="D63" s="45" t="s">
        <v>34</v>
      </c>
      <c r="E63" s="45" t="s">
        <v>15</v>
      </c>
      <c r="F63" s="46">
        <v>100</v>
      </c>
      <c r="G63" s="48">
        <f>G53+G55+G57</f>
        <v>19.671968813173127</v>
      </c>
      <c r="H63" s="46">
        <v>100</v>
      </c>
      <c r="I63" s="48">
        <f>I53+I55+I57</f>
        <v>20.53353150323276</v>
      </c>
      <c r="J63" s="46">
        <v>100</v>
      </c>
      <c r="K63" s="48">
        <f>K53+K55+K57</f>
        <v>19.350700071684585</v>
      </c>
      <c r="L63" s="46">
        <v>100</v>
      </c>
      <c r="M63" s="48">
        <f>AVERAGE(G63,I63,K63)</f>
        <v>19.852066796030158</v>
      </c>
      <c r="N63" s="46"/>
      <c r="O63" s="46"/>
      <c r="P63" s="46"/>
      <c r="Q63" s="46"/>
      <c r="R63" s="46"/>
      <c r="S63" s="46"/>
      <c r="T63" s="46"/>
      <c r="U63" s="46"/>
      <c r="V63" s="46"/>
      <c r="W63" s="46"/>
    </row>
    <row r="64" spans="6:23" s="45" customFormat="1" ht="12.75">
      <c r="F64" s="46"/>
      <c r="G64" s="48"/>
      <c r="H64" s="48"/>
      <c r="I64" s="48"/>
      <c r="J64" s="48"/>
      <c r="K64" s="48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</row>
    <row r="65" spans="2:4" ht="12.75">
      <c r="B65" s="45" t="s">
        <v>74</v>
      </c>
      <c r="C65" s="45" t="s">
        <v>157</v>
      </c>
      <c r="D65" s="49" t="s">
        <v>184</v>
      </c>
    </row>
    <row r="66" spans="2:63" s="45" customFormat="1" ht="12.75">
      <c r="B66" s="5" t="s">
        <v>54</v>
      </c>
      <c r="C66" s="5"/>
      <c r="D66" s="5" t="s">
        <v>17</v>
      </c>
      <c r="G66" s="48">
        <v>4048</v>
      </c>
      <c r="H66" s="48"/>
      <c r="I66" s="48">
        <v>3930</v>
      </c>
      <c r="J66" s="48"/>
      <c r="K66" s="48">
        <v>3730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</row>
    <row r="67" spans="2:63" s="45" customFormat="1" ht="12.75">
      <c r="B67" s="5" t="s">
        <v>70</v>
      </c>
      <c r="C67" s="5"/>
      <c r="D67" s="5" t="s">
        <v>18</v>
      </c>
      <c r="G67" s="48">
        <v>15.3</v>
      </c>
      <c r="H67" s="48"/>
      <c r="I67" s="48">
        <v>15</v>
      </c>
      <c r="J67" s="48"/>
      <c r="K67" s="48">
        <v>15</v>
      </c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</row>
    <row r="68" spans="1:63" s="45" customFormat="1" ht="12.75">
      <c r="A68" s="45" t="s">
        <v>100</v>
      </c>
      <c r="B68" s="5" t="s">
        <v>71</v>
      </c>
      <c r="C68" s="5"/>
      <c r="D68" s="5" t="s">
        <v>18</v>
      </c>
      <c r="G68" s="48">
        <v>8.7</v>
      </c>
      <c r="H68" s="48"/>
      <c r="I68" s="48">
        <v>8.3</v>
      </c>
      <c r="J68" s="48"/>
      <c r="K68" s="48">
        <v>8.1</v>
      </c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</row>
    <row r="69" spans="2:63" s="45" customFormat="1" ht="12.75">
      <c r="B69" s="5" t="s">
        <v>53</v>
      </c>
      <c r="C69" s="5"/>
      <c r="D69" s="5" t="s">
        <v>19</v>
      </c>
      <c r="G69" s="48">
        <v>234</v>
      </c>
      <c r="H69" s="48"/>
      <c r="I69" s="48">
        <v>233</v>
      </c>
      <c r="J69" s="48"/>
      <c r="K69" s="48">
        <v>237</v>
      </c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</row>
    <row r="70" spans="7:63" s="45" customFormat="1" ht="12.75"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</row>
    <row r="71" spans="2:63" s="45" customFormat="1" ht="12.75">
      <c r="B71" s="45" t="s">
        <v>74</v>
      </c>
      <c r="C71" s="45" t="s">
        <v>126</v>
      </c>
      <c r="D71" s="49" t="s">
        <v>185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</row>
    <row r="72" spans="2:63" s="45" customFormat="1" ht="12.75">
      <c r="B72" s="5" t="s">
        <v>54</v>
      </c>
      <c r="C72" s="5"/>
      <c r="D72" s="5" t="s">
        <v>17</v>
      </c>
      <c r="G72" s="48">
        <v>3973</v>
      </c>
      <c r="H72" s="48"/>
      <c r="I72" s="48">
        <v>3712</v>
      </c>
      <c r="J72" s="48"/>
      <c r="K72" s="48">
        <v>3906</v>
      </c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</row>
    <row r="73" spans="2:63" s="45" customFormat="1" ht="12.75">
      <c r="B73" s="5" t="s">
        <v>70</v>
      </c>
      <c r="C73" s="5"/>
      <c r="D73" s="5" t="s">
        <v>18</v>
      </c>
      <c r="G73" s="48">
        <v>15.3</v>
      </c>
      <c r="H73" s="48"/>
      <c r="I73" s="48">
        <v>15</v>
      </c>
      <c r="J73" s="48"/>
      <c r="K73" s="48">
        <v>15</v>
      </c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</row>
    <row r="74" spans="2:63" s="45" customFormat="1" ht="12.75">
      <c r="B74" s="5" t="s">
        <v>71</v>
      </c>
      <c r="C74" s="5"/>
      <c r="D74" s="5" t="s">
        <v>18</v>
      </c>
      <c r="G74" s="48">
        <v>8.5</v>
      </c>
      <c r="H74" s="48"/>
      <c r="I74" s="48">
        <v>8.5</v>
      </c>
      <c r="J74" s="48"/>
      <c r="K74" s="48">
        <v>6.9</v>
      </c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</row>
    <row r="75" spans="2:63" s="45" customFormat="1" ht="12.75">
      <c r="B75" s="5" t="s">
        <v>53</v>
      </c>
      <c r="C75" s="5"/>
      <c r="D75" s="5" t="s">
        <v>19</v>
      </c>
      <c r="G75" s="48">
        <v>230</v>
      </c>
      <c r="H75" s="48"/>
      <c r="I75" s="48">
        <v>227</v>
      </c>
      <c r="J75" s="48"/>
      <c r="K75" s="48">
        <v>232</v>
      </c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</row>
    <row r="76" spans="7:63" s="45" customFormat="1" ht="12.75"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</row>
    <row r="77" spans="2:63" s="45" customFormat="1" ht="12.75">
      <c r="B77" s="45" t="s">
        <v>74</v>
      </c>
      <c r="C77" s="45" t="s">
        <v>158</v>
      </c>
      <c r="D77" s="45" t="s">
        <v>186</v>
      </c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</row>
    <row r="78" spans="2:63" s="45" customFormat="1" ht="12.75">
      <c r="B78" s="5" t="s">
        <v>54</v>
      </c>
      <c r="C78" s="5"/>
      <c r="D78" s="5" t="s">
        <v>17</v>
      </c>
      <c r="G78" s="48">
        <v>4106</v>
      </c>
      <c r="H78" s="48"/>
      <c r="I78" s="48">
        <v>3905</v>
      </c>
      <c r="J78" s="48"/>
      <c r="K78" s="48">
        <v>3992</v>
      </c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</row>
    <row r="79" spans="2:63" s="45" customFormat="1" ht="12.75">
      <c r="B79" s="5" t="s">
        <v>70</v>
      </c>
      <c r="C79" s="5"/>
      <c r="D79" s="5" t="s">
        <v>18</v>
      </c>
      <c r="G79" s="48">
        <v>15.3</v>
      </c>
      <c r="H79" s="48"/>
      <c r="I79" s="48">
        <v>15</v>
      </c>
      <c r="J79" s="48"/>
      <c r="K79" s="48">
        <v>15</v>
      </c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</row>
    <row r="80" spans="2:63" s="45" customFormat="1" ht="12.75">
      <c r="B80" s="5" t="s">
        <v>71</v>
      </c>
      <c r="C80" s="5"/>
      <c r="D80" s="5" t="s">
        <v>18</v>
      </c>
      <c r="G80" s="48">
        <v>8</v>
      </c>
      <c r="H80" s="48"/>
      <c r="I80" s="48">
        <v>8.2</v>
      </c>
      <c r="J80" s="48"/>
      <c r="K80" s="48">
        <v>8.1</v>
      </c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</row>
    <row r="81" spans="2:63" s="45" customFormat="1" ht="12.75">
      <c r="B81" s="5" t="s">
        <v>53</v>
      </c>
      <c r="C81" s="5"/>
      <c r="D81" s="5" t="s">
        <v>19</v>
      </c>
      <c r="G81" s="48">
        <v>223</v>
      </c>
      <c r="H81" s="48"/>
      <c r="I81" s="48">
        <v>217</v>
      </c>
      <c r="J81" s="48"/>
      <c r="K81" s="48">
        <v>220</v>
      </c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</row>
    <row r="83" spans="1:57" s="49" customFormat="1" ht="12.75">
      <c r="A83" s="49" t="s">
        <v>100</v>
      </c>
      <c r="B83" s="49" t="s">
        <v>101</v>
      </c>
      <c r="C83" s="49" t="s">
        <v>186</v>
      </c>
      <c r="D83" s="49" t="s">
        <v>18</v>
      </c>
      <c r="G83" s="50">
        <v>99.9983</v>
      </c>
      <c r="H83" s="50"/>
      <c r="I83" s="50">
        <v>99.9992</v>
      </c>
      <c r="J83" s="50"/>
      <c r="K83" s="50">
        <v>99.9991</v>
      </c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</row>
    <row r="84" spans="1:57" s="49" customFormat="1" ht="12.75">
      <c r="A84" s="49" t="s">
        <v>100</v>
      </c>
      <c r="B84" s="49" t="s">
        <v>161</v>
      </c>
      <c r="C84" s="49" t="s">
        <v>186</v>
      </c>
      <c r="D84" s="49" t="s">
        <v>18</v>
      </c>
      <c r="G84" s="50">
        <v>99.9997</v>
      </c>
      <c r="H84" s="50"/>
      <c r="I84" s="50">
        <v>99.9994</v>
      </c>
      <c r="J84" s="50"/>
      <c r="K84" s="50">
        <v>99.9994</v>
      </c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</row>
    <row r="85" spans="1:57" s="49" customFormat="1" ht="12.75">
      <c r="A85" s="49" t="s">
        <v>100</v>
      </c>
      <c r="B85" s="49" t="s">
        <v>160</v>
      </c>
      <c r="C85" s="49" t="s">
        <v>186</v>
      </c>
      <c r="D85" s="49" t="s">
        <v>18</v>
      </c>
      <c r="G85" s="50">
        <v>99.9995</v>
      </c>
      <c r="H85" s="50"/>
      <c r="I85" s="50">
        <v>99.9976</v>
      </c>
      <c r="J85" s="50"/>
      <c r="K85" s="50">
        <v>99.9975</v>
      </c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N140"/>
  <sheetViews>
    <sheetView workbookViewId="0" topLeftCell="R1">
      <selection activeCell="C2" sqref="C2"/>
    </sheetView>
  </sheetViews>
  <sheetFormatPr defaultColWidth="9.140625" defaultRowHeight="12.75"/>
  <cols>
    <col min="1" max="1" width="3.421875" style="22" hidden="1" customWidth="1"/>
    <col min="2" max="2" width="24.00390625" style="6" customWidth="1"/>
    <col min="3" max="3" width="3.140625" style="6" customWidth="1"/>
    <col min="4" max="4" width="9.28125" style="6" customWidth="1"/>
    <col min="5" max="5" width="2.8515625" style="6" customWidth="1"/>
    <col min="6" max="6" width="9.28125" style="6" customWidth="1"/>
    <col min="7" max="7" width="2.8515625" style="22" customWidth="1"/>
    <col min="8" max="8" width="12.140625" style="23" customWidth="1"/>
    <col min="9" max="9" width="3.00390625" style="22" customWidth="1"/>
    <col min="10" max="10" width="14.57421875" style="22" customWidth="1"/>
    <col min="11" max="11" width="2.8515625" style="22" customWidth="1"/>
    <col min="12" max="12" width="11.8515625" style="22" customWidth="1"/>
    <col min="13" max="13" width="2.57421875" style="22" customWidth="1"/>
    <col min="14" max="14" width="11.57421875" style="22" customWidth="1"/>
    <col min="15" max="15" width="3.00390625" style="22" customWidth="1"/>
    <col min="16" max="16" width="15.8515625" style="22" customWidth="1"/>
    <col min="17" max="17" width="2.57421875" style="22" customWidth="1"/>
    <col min="18" max="18" width="15.140625" style="22" customWidth="1"/>
    <col min="19" max="19" width="3.00390625" style="22" customWidth="1"/>
    <col min="20" max="20" width="12.8515625" style="22" customWidth="1"/>
    <col min="21" max="21" width="2.57421875" style="22" customWidth="1"/>
    <col min="22" max="22" width="12.00390625" style="22" customWidth="1"/>
    <col min="23" max="23" width="2.57421875" style="22" customWidth="1"/>
    <col min="24" max="24" width="12.57421875" style="22" customWidth="1"/>
    <col min="25" max="25" width="3.140625" style="22" bestFit="1" customWidth="1"/>
    <col min="26" max="26" width="12.00390625" style="22" customWidth="1"/>
    <col min="27" max="27" width="2.421875" style="22" customWidth="1"/>
    <col min="28" max="28" width="11.28125" style="22" customWidth="1"/>
    <col min="29" max="29" width="2.421875" style="22" customWidth="1"/>
    <col min="30" max="30" width="11.28125" style="22" customWidth="1"/>
    <col min="31" max="31" width="2.421875" style="22" customWidth="1"/>
    <col min="32" max="32" width="10.421875" style="22" bestFit="1" customWidth="1"/>
    <col min="33" max="33" width="2.28125" style="22" customWidth="1"/>
    <col min="34" max="34" width="10.421875" style="22" bestFit="1" customWidth="1"/>
    <col min="35" max="35" width="2.57421875" style="22" customWidth="1"/>
    <col min="36" max="36" width="11.140625" style="22" customWidth="1"/>
    <col min="37" max="37" width="2.57421875" style="22" customWidth="1"/>
    <col min="38" max="38" width="12.421875" style="22" customWidth="1"/>
    <col min="39" max="39" width="2.421875" style="22" customWidth="1"/>
    <col min="40" max="40" width="10.28125" style="22" customWidth="1"/>
    <col min="41" max="41" width="2.140625" style="22" customWidth="1"/>
    <col min="42" max="42" width="8.8515625" style="22" customWidth="1"/>
    <col min="43" max="43" width="2.8515625" style="22" customWidth="1"/>
    <col min="44" max="44" width="8.8515625" style="22" customWidth="1"/>
    <col min="45" max="45" width="2.57421875" style="22" customWidth="1"/>
    <col min="46" max="46" width="11.140625" style="22" customWidth="1"/>
    <col min="47" max="47" width="2.00390625" style="22" customWidth="1"/>
    <col min="48" max="48" width="10.8515625" style="22" customWidth="1"/>
    <col min="49" max="49" width="1.8515625" style="22" customWidth="1"/>
    <col min="50" max="50" width="13.00390625" style="22" customWidth="1"/>
    <col min="51" max="51" width="2.7109375" style="22" customWidth="1"/>
    <col min="52" max="52" width="10.7109375" style="22" customWidth="1"/>
    <col min="53" max="53" width="1.7109375" style="22" customWidth="1"/>
    <col min="54" max="54" width="10.7109375" style="22" customWidth="1"/>
    <col min="55" max="55" width="2.28125" style="22" customWidth="1"/>
    <col min="56" max="56" width="10.7109375" style="22" customWidth="1"/>
    <col min="57" max="57" width="2.00390625" style="22" customWidth="1"/>
    <col min="58" max="58" width="11.28125" style="22" customWidth="1"/>
    <col min="59" max="59" width="2.00390625" style="22" customWidth="1"/>
    <col min="60" max="60" width="10.7109375" style="22" customWidth="1"/>
    <col min="61" max="61" width="2.140625" style="22" customWidth="1"/>
    <col min="62" max="62" width="13.421875" style="22" customWidth="1"/>
    <col min="63" max="63" width="2.140625" style="22" customWidth="1"/>
    <col min="64" max="64" width="10.00390625" style="22" customWidth="1"/>
    <col min="65" max="65" width="2.140625" style="22" customWidth="1"/>
    <col min="66" max="66" width="9.57421875" style="22" customWidth="1"/>
    <col min="67" max="67" width="2.140625" style="22" customWidth="1"/>
    <col min="68" max="68" width="11.421875" style="22" bestFit="1" customWidth="1"/>
    <col min="69" max="69" width="3.28125" style="22" customWidth="1"/>
    <col min="70" max="70" width="8.8515625" style="22" customWidth="1"/>
    <col min="71" max="71" width="2.57421875" style="22" customWidth="1"/>
    <col min="72" max="72" width="8.8515625" style="22" customWidth="1"/>
    <col min="73" max="73" width="2.28125" style="22" customWidth="1"/>
    <col min="74" max="74" width="8.8515625" style="22" customWidth="1"/>
    <col min="75" max="75" width="2.7109375" style="22" customWidth="1"/>
    <col min="76" max="76" width="8.8515625" style="22" customWidth="1"/>
    <col min="77" max="77" width="2.28125" style="22" customWidth="1"/>
    <col min="78" max="78" width="8.8515625" style="22" customWidth="1"/>
    <col min="79" max="79" width="2.57421875" style="22" customWidth="1"/>
    <col min="80" max="80" width="8.8515625" style="22" customWidth="1"/>
    <col min="81" max="81" width="2.140625" style="22" customWidth="1"/>
    <col min="82" max="82" width="8.8515625" style="22" customWidth="1"/>
    <col min="83" max="83" width="2.00390625" style="22" customWidth="1"/>
    <col min="84" max="84" width="10.421875" style="22" customWidth="1"/>
    <col min="85" max="85" width="2.00390625" style="22" customWidth="1"/>
    <col min="86" max="86" width="10.57421875" style="22" customWidth="1"/>
    <col min="87" max="87" width="2.00390625" style="22" customWidth="1"/>
    <col min="88" max="88" width="11.00390625" style="22" customWidth="1"/>
    <col min="89" max="89" width="3.140625" style="22" customWidth="1"/>
    <col min="90" max="90" width="9.421875" style="22" bestFit="1" customWidth="1"/>
    <col min="91" max="91" width="2.7109375" style="22" customWidth="1"/>
    <col min="92" max="92" width="10.28125" style="22" customWidth="1"/>
    <col min="93" max="16384" width="8.8515625" style="22" customWidth="1"/>
  </cols>
  <sheetData>
    <row r="1" spans="2:3" ht="12.75">
      <c r="B1" s="21" t="s">
        <v>173</v>
      </c>
      <c r="C1" s="21"/>
    </row>
    <row r="3" spans="14:48" ht="12.75">
      <c r="N3" s="22" t="s">
        <v>117</v>
      </c>
      <c r="AN3" s="22" t="s">
        <v>118</v>
      </c>
      <c r="AV3" s="22" t="s">
        <v>119</v>
      </c>
    </row>
    <row r="4" spans="1:68" ht="12.75">
      <c r="A4" s="22" t="s">
        <v>76</v>
      </c>
      <c r="B4" s="21" t="s">
        <v>143</v>
      </c>
      <c r="C4" s="21" t="s">
        <v>75</v>
      </c>
      <c r="F4" s="24" t="s">
        <v>152</v>
      </c>
      <c r="G4" s="24"/>
      <c r="H4" s="24" t="s">
        <v>153</v>
      </c>
      <c r="I4" s="24"/>
      <c r="J4" s="24" t="s">
        <v>154</v>
      </c>
      <c r="K4" s="24"/>
      <c r="L4" s="24" t="s">
        <v>155</v>
      </c>
      <c r="N4" s="24" t="s">
        <v>152</v>
      </c>
      <c r="O4" s="24"/>
      <c r="P4" s="24" t="s">
        <v>153</v>
      </c>
      <c r="Q4" s="24"/>
      <c r="R4" s="24" t="s">
        <v>154</v>
      </c>
      <c r="S4" s="24"/>
      <c r="T4" s="24" t="s">
        <v>155</v>
      </c>
      <c r="V4" s="24" t="s">
        <v>152</v>
      </c>
      <c r="W4" s="24"/>
      <c r="X4" s="24" t="s">
        <v>153</v>
      </c>
      <c r="Y4" s="24"/>
      <c r="Z4" s="24" t="s">
        <v>154</v>
      </c>
      <c r="AA4" s="24"/>
      <c r="AB4" s="24" t="s">
        <v>155</v>
      </c>
      <c r="AD4" s="24" t="s">
        <v>152</v>
      </c>
      <c r="AE4" s="24"/>
      <c r="AF4" s="24" t="s">
        <v>153</v>
      </c>
      <c r="AG4" s="24"/>
      <c r="AH4" s="24" t="s">
        <v>154</v>
      </c>
      <c r="AI4" s="24"/>
      <c r="AJ4" s="24" t="s">
        <v>155</v>
      </c>
      <c r="AL4" s="24" t="s">
        <v>152</v>
      </c>
      <c r="AM4" s="24"/>
      <c r="AN4" s="24" t="s">
        <v>153</v>
      </c>
      <c r="AO4" s="24"/>
      <c r="AP4" s="24" t="s">
        <v>154</v>
      </c>
      <c r="AQ4" s="24"/>
      <c r="AR4" s="24" t="s">
        <v>155</v>
      </c>
      <c r="AT4" s="24" t="s">
        <v>152</v>
      </c>
      <c r="AU4" s="24"/>
      <c r="AV4" s="24" t="s">
        <v>153</v>
      </c>
      <c r="AW4" s="24"/>
      <c r="AX4" s="24" t="s">
        <v>154</v>
      </c>
      <c r="AY4" s="24"/>
      <c r="AZ4" s="24" t="s">
        <v>155</v>
      </c>
      <c r="BA4" s="24"/>
      <c r="BB4" s="24" t="s">
        <v>152</v>
      </c>
      <c r="BC4" s="24"/>
      <c r="BD4" s="24" t="s">
        <v>153</v>
      </c>
      <c r="BE4" s="24"/>
      <c r="BF4" s="24" t="s">
        <v>154</v>
      </c>
      <c r="BG4" s="24"/>
      <c r="BH4" s="24" t="s">
        <v>155</v>
      </c>
      <c r="BJ4" s="24" t="s">
        <v>152</v>
      </c>
      <c r="BK4" s="24"/>
      <c r="BL4" s="24" t="s">
        <v>153</v>
      </c>
      <c r="BM4" s="24"/>
      <c r="BN4" s="24" t="s">
        <v>154</v>
      </c>
      <c r="BO4" s="24"/>
      <c r="BP4" s="24" t="s">
        <v>155</v>
      </c>
    </row>
    <row r="5" spans="8:10" ht="12.75">
      <c r="H5" s="6"/>
      <c r="J5" s="6"/>
    </row>
    <row r="6" spans="2:68" ht="12.75">
      <c r="B6" s="6" t="s">
        <v>203</v>
      </c>
      <c r="F6" s="6" t="s">
        <v>205</v>
      </c>
      <c r="H6" s="6" t="s">
        <v>205</v>
      </c>
      <c r="J6" s="6" t="s">
        <v>205</v>
      </c>
      <c r="L6" s="22" t="s">
        <v>207</v>
      </c>
      <c r="N6" s="22" t="s">
        <v>207</v>
      </c>
      <c r="P6" s="22" t="s">
        <v>207</v>
      </c>
      <c r="R6" s="22" t="s">
        <v>207</v>
      </c>
      <c r="T6" s="22" t="s">
        <v>207</v>
      </c>
      <c r="V6" s="22" t="s">
        <v>208</v>
      </c>
      <c r="X6" s="22" t="s">
        <v>208</v>
      </c>
      <c r="Z6" s="22" t="s">
        <v>208</v>
      </c>
      <c r="AB6" s="22" t="s">
        <v>208</v>
      </c>
      <c r="AD6" s="22" t="s">
        <v>209</v>
      </c>
      <c r="AF6" s="22" t="s">
        <v>209</v>
      </c>
      <c r="AH6" s="22" t="s">
        <v>209</v>
      </c>
      <c r="AJ6" s="22" t="s">
        <v>209</v>
      </c>
      <c r="AL6" s="22" t="s">
        <v>210</v>
      </c>
      <c r="AN6" s="22" t="s">
        <v>210</v>
      </c>
      <c r="AP6" s="22" t="s">
        <v>210</v>
      </c>
      <c r="AR6" s="22" t="s">
        <v>210</v>
      </c>
      <c r="AT6" s="22" t="s">
        <v>211</v>
      </c>
      <c r="AV6" s="22" t="s">
        <v>211</v>
      </c>
      <c r="AX6" s="22" t="s">
        <v>211</v>
      </c>
      <c r="AZ6" s="22" t="s">
        <v>211</v>
      </c>
      <c r="BJ6" s="22" t="s">
        <v>212</v>
      </c>
      <c r="BL6" s="22" t="s">
        <v>212</v>
      </c>
      <c r="BN6" s="22" t="s">
        <v>212</v>
      </c>
      <c r="BP6" s="22" t="s">
        <v>212</v>
      </c>
    </row>
    <row r="7" spans="2:68" ht="12.75">
      <c r="B7" s="6" t="s">
        <v>204</v>
      </c>
      <c r="F7" s="6" t="s">
        <v>206</v>
      </c>
      <c r="H7" s="6" t="s">
        <v>206</v>
      </c>
      <c r="J7" s="6" t="s">
        <v>206</v>
      </c>
      <c r="L7" s="6" t="s">
        <v>206</v>
      </c>
      <c r="N7" s="22" t="s">
        <v>33</v>
      </c>
      <c r="P7" s="22" t="s">
        <v>33</v>
      </c>
      <c r="R7" s="22" t="s">
        <v>33</v>
      </c>
      <c r="T7" s="22" t="s">
        <v>33</v>
      </c>
      <c r="V7" s="22" t="s">
        <v>33</v>
      </c>
      <c r="X7" s="22" t="s">
        <v>33</v>
      </c>
      <c r="Z7" s="22" t="s">
        <v>33</v>
      </c>
      <c r="AB7" s="22" t="s">
        <v>33</v>
      </c>
      <c r="AD7" s="22" t="s">
        <v>33</v>
      </c>
      <c r="AF7" s="22" t="s">
        <v>33</v>
      </c>
      <c r="AH7" s="22" t="s">
        <v>33</v>
      </c>
      <c r="AJ7" s="22" t="s">
        <v>33</v>
      </c>
      <c r="AL7" s="22" t="s">
        <v>33</v>
      </c>
      <c r="AN7" s="22" t="s">
        <v>33</v>
      </c>
      <c r="AP7" s="22" t="s">
        <v>33</v>
      </c>
      <c r="AR7" s="22" t="s">
        <v>33</v>
      </c>
      <c r="AT7" s="22" t="s">
        <v>33</v>
      </c>
      <c r="AV7" s="22" t="s">
        <v>33</v>
      </c>
      <c r="AX7" s="22" t="s">
        <v>33</v>
      </c>
      <c r="AZ7" s="22" t="s">
        <v>33</v>
      </c>
      <c r="BJ7" s="22" t="s">
        <v>20</v>
      </c>
      <c r="BL7" s="22" t="s">
        <v>20</v>
      </c>
      <c r="BN7" s="22" t="s">
        <v>20</v>
      </c>
      <c r="BP7" s="22" t="s">
        <v>20</v>
      </c>
    </row>
    <row r="8" spans="2:68" ht="12.75">
      <c r="B8" s="6" t="s">
        <v>216</v>
      </c>
      <c r="F8" s="6" t="s">
        <v>40</v>
      </c>
      <c r="H8" s="6" t="s">
        <v>40</v>
      </c>
      <c r="J8" s="6" t="s">
        <v>40</v>
      </c>
      <c r="L8" s="6" t="s">
        <v>40</v>
      </c>
      <c r="BB8" s="22" t="s">
        <v>33</v>
      </c>
      <c r="BD8" s="22" t="s">
        <v>33</v>
      </c>
      <c r="BF8" s="22" t="s">
        <v>33</v>
      </c>
      <c r="BH8" s="22" t="s">
        <v>33</v>
      </c>
      <c r="BJ8" s="22" t="s">
        <v>20</v>
      </c>
      <c r="BL8" s="22" t="s">
        <v>20</v>
      </c>
      <c r="BN8" s="22" t="s">
        <v>20</v>
      </c>
      <c r="BP8" s="22" t="s">
        <v>20</v>
      </c>
    </row>
    <row r="9" spans="2:68" ht="12.75">
      <c r="B9" s="6" t="s">
        <v>21</v>
      </c>
      <c r="F9" s="6" t="s">
        <v>86</v>
      </c>
      <c r="G9" s="9"/>
      <c r="H9" s="6" t="s">
        <v>86</v>
      </c>
      <c r="I9" s="23"/>
      <c r="J9" s="6" t="s">
        <v>86</v>
      </c>
      <c r="K9" s="23"/>
      <c r="L9" s="6" t="s">
        <v>86</v>
      </c>
      <c r="M9" s="23"/>
      <c r="N9" s="23" t="s">
        <v>112</v>
      </c>
      <c r="O9" s="23"/>
      <c r="P9" s="23" t="s">
        <v>112</v>
      </c>
      <c r="Q9" s="23"/>
      <c r="R9" s="23" t="s">
        <v>112</v>
      </c>
      <c r="S9" s="23"/>
      <c r="T9" s="23" t="s">
        <v>112</v>
      </c>
      <c r="V9" s="22" t="s">
        <v>113</v>
      </c>
      <c r="X9" s="22" t="s">
        <v>113</v>
      </c>
      <c r="Z9" s="22" t="s">
        <v>113</v>
      </c>
      <c r="AB9" s="22" t="s">
        <v>113</v>
      </c>
      <c r="AD9" s="22" t="s">
        <v>114</v>
      </c>
      <c r="AF9" s="22" t="s">
        <v>114</v>
      </c>
      <c r="AH9" s="22" t="s">
        <v>114</v>
      </c>
      <c r="AJ9" s="22" t="s">
        <v>114</v>
      </c>
      <c r="AL9" s="22" t="s">
        <v>115</v>
      </c>
      <c r="AN9" s="22" t="s">
        <v>115</v>
      </c>
      <c r="AP9" s="22" t="s">
        <v>115</v>
      </c>
      <c r="AR9" s="22" t="s">
        <v>115</v>
      </c>
      <c r="AT9" s="22" t="s">
        <v>116</v>
      </c>
      <c r="AV9" s="22" t="s">
        <v>116</v>
      </c>
      <c r="AX9" s="22" t="s">
        <v>116</v>
      </c>
      <c r="AZ9" s="22" t="s">
        <v>116</v>
      </c>
      <c r="BJ9" s="22" t="s">
        <v>20</v>
      </c>
      <c r="BL9" s="22" t="s">
        <v>20</v>
      </c>
      <c r="BN9" s="22" t="s">
        <v>20</v>
      </c>
      <c r="BP9" s="22" t="s">
        <v>20</v>
      </c>
    </row>
    <row r="10" spans="2:68" ht="12.75">
      <c r="B10" s="6" t="s">
        <v>78</v>
      </c>
      <c r="D10" s="6" t="s">
        <v>29</v>
      </c>
      <c r="F10" s="23">
        <v>795</v>
      </c>
      <c r="G10" s="66"/>
      <c r="H10" s="66">
        <v>614</v>
      </c>
      <c r="I10" s="23"/>
      <c r="J10" s="23">
        <v>796</v>
      </c>
      <c r="K10" s="23"/>
      <c r="L10" s="8">
        <f>AVERAGE(F10,H10,J10)</f>
        <v>735</v>
      </c>
      <c r="M10" s="23"/>
      <c r="N10" s="23">
        <v>17</v>
      </c>
      <c r="O10" s="23"/>
      <c r="P10" s="23">
        <v>19.3</v>
      </c>
      <c r="Q10" s="23"/>
      <c r="R10" s="23">
        <v>14.5</v>
      </c>
      <c r="S10" s="23"/>
      <c r="T10" s="8">
        <f>AVERAGE(N10,P10,R10)</f>
        <v>16.933333333333334</v>
      </c>
      <c r="U10" s="23"/>
      <c r="V10" s="23">
        <v>50</v>
      </c>
      <c r="W10" s="23"/>
      <c r="X10" s="23">
        <v>51.8</v>
      </c>
      <c r="Y10" s="23"/>
      <c r="Z10" s="23">
        <v>54.5</v>
      </c>
      <c r="AA10" s="7"/>
      <c r="AB10" s="56">
        <f>AVERAGE(V10,X10,Z10)</f>
        <v>52.1</v>
      </c>
      <c r="AC10" s="7"/>
      <c r="AD10" s="23">
        <v>29</v>
      </c>
      <c r="AE10" s="23"/>
      <c r="AF10" s="23">
        <v>32.3</v>
      </c>
      <c r="AG10" s="23"/>
      <c r="AH10" s="23">
        <v>31.2</v>
      </c>
      <c r="AI10" s="23"/>
      <c r="AJ10" s="56">
        <f>AVERAGE(AD10,AF10,AH10)</f>
        <v>30.833333333333332</v>
      </c>
      <c r="AK10" s="23"/>
      <c r="AL10" s="23">
        <v>19</v>
      </c>
      <c r="AM10" s="23"/>
      <c r="AN10" s="23">
        <v>18.7</v>
      </c>
      <c r="AO10" s="23"/>
      <c r="AP10" s="23">
        <v>18.7</v>
      </c>
      <c r="AQ10" s="23"/>
      <c r="AR10" s="56">
        <f>AVERAGE(AL10,AN10,AP10)</f>
        <v>18.8</v>
      </c>
      <c r="AS10" s="23"/>
      <c r="AT10" s="23">
        <v>86</v>
      </c>
      <c r="AU10" s="23"/>
      <c r="AV10" s="23">
        <v>85.9</v>
      </c>
      <c r="AW10" s="23"/>
      <c r="AX10" s="23">
        <v>86.1</v>
      </c>
      <c r="AY10" s="23"/>
      <c r="AZ10" s="56">
        <f>AVERAGE(AT10,AV10,AX10)</f>
        <v>86</v>
      </c>
      <c r="BA10" s="56"/>
      <c r="BB10" s="56"/>
      <c r="BC10" s="56"/>
      <c r="BD10" s="56"/>
      <c r="BE10" s="56"/>
      <c r="BF10" s="56"/>
      <c r="BG10" s="56"/>
      <c r="BH10" s="56"/>
      <c r="BI10" s="23"/>
      <c r="BJ10" s="56">
        <f>SUM(AT10,AL10,AD10,V10,N10,F10)</f>
        <v>996</v>
      </c>
      <c r="BK10" s="23"/>
      <c r="BL10" s="56">
        <f>SUM(AV10,AN10,AF10,X10,P10,H10)</f>
        <v>822</v>
      </c>
      <c r="BM10" s="23"/>
      <c r="BN10" s="56">
        <f>SUM(AX10,AP10,AH10,Z10,R10,J10)</f>
        <v>1001</v>
      </c>
      <c r="BO10" s="23"/>
      <c r="BP10" s="56">
        <f>SUM(AZ10,AR10,AJ10,AB10,T10,L10)</f>
        <v>939.6666666666666</v>
      </c>
    </row>
    <row r="11" spans="2:68" ht="12.75">
      <c r="B11" s="6" t="s">
        <v>22</v>
      </c>
      <c r="D11" s="6" t="s">
        <v>23</v>
      </c>
      <c r="F11" s="23">
        <v>2307</v>
      </c>
      <c r="G11" s="66"/>
      <c r="H11" s="23">
        <v>4124</v>
      </c>
      <c r="I11" s="23"/>
      <c r="J11" s="23">
        <v>5241</v>
      </c>
      <c r="K11" s="23"/>
      <c r="L11" s="8">
        <f>AVERAGE(F11,H11,J11)</f>
        <v>3890.6666666666665</v>
      </c>
      <c r="M11" s="23"/>
      <c r="N11" s="23"/>
      <c r="O11" s="23"/>
      <c r="P11" s="23"/>
      <c r="Q11" s="23"/>
      <c r="R11" s="23"/>
      <c r="S11" s="23"/>
      <c r="T11" s="8">
        <f>L11</f>
        <v>3890.6666666666665</v>
      </c>
      <c r="U11" s="23"/>
      <c r="V11" s="23"/>
      <c r="W11" s="23"/>
      <c r="X11" s="23"/>
      <c r="Y11" s="23"/>
      <c r="Z11" s="23"/>
      <c r="AA11" s="23"/>
      <c r="AB11" s="8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</row>
    <row r="12" spans="2:68" ht="12.75">
      <c r="B12" s="6" t="s">
        <v>30</v>
      </c>
      <c r="D12" s="6" t="s">
        <v>85</v>
      </c>
      <c r="F12" s="23">
        <v>0.96</v>
      </c>
      <c r="G12" s="66"/>
      <c r="H12" s="66">
        <v>0.96</v>
      </c>
      <c r="I12" s="23"/>
      <c r="J12" s="23">
        <v>0.94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8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</row>
    <row r="13" spans="2:68" ht="12.75">
      <c r="B13" s="6" t="s">
        <v>81</v>
      </c>
      <c r="D13" s="6" t="s">
        <v>82</v>
      </c>
      <c r="F13" s="23">
        <v>1.54</v>
      </c>
      <c r="G13" s="66"/>
      <c r="H13" s="66">
        <v>1.54</v>
      </c>
      <c r="I13" s="23"/>
      <c r="J13" s="23">
        <v>2.32</v>
      </c>
      <c r="K13" s="23"/>
      <c r="L13" s="23"/>
      <c r="M13" s="23"/>
      <c r="N13" s="54"/>
      <c r="O13" s="23"/>
      <c r="P13" s="23"/>
      <c r="Q13" s="23"/>
      <c r="R13" s="54"/>
      <c r="S13" s="23"/>
      <c r="T13" s="23"/>
      <c r="U13" s="23"/>
      <c r="V13" s="54"/>
      <c r="W13" s="23"/>
      <c r="X13" s="54"/>
      <c r="Y13" s="23"/>
      <c r="Z13" s="23"/>
      <c r="AA13" s="23"/>
      <c r="AB13" s="8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</row>
    <row r="14" spans="2:68" ht="12.75">
      <c r="B14" s="6" t="s">
        <v>24</v>
      </c>
      <c r="D14" s="6" t="s">
        <v>29</v>
      </c>
      <c r="F14" s="23">
        <v>3.7</v>
      </c>
      <c r="G14" s="66"/>
      <c r="H14" s="66">
        <v>3.7</v>
      </c>
      <c r="I14" s="7"/>
      <c r="J14" s="23">
        <v>2</v>
      </c>
      <c r="K14" s="23"/>
      <c r="L14" s="7">
        <f>AVERAGE(F14,H14,J14)</f>
        <v>3.1333333333333333</v>
      </c>
      <c r="M14" s="23"/>
      <c r="N14" s="23"/>
      <c r="O14" s="23"/>
      <c r="P14" s="23"/>
      <c r="Q14" s="23"/>
      <c r="R14" s="23"/>
      <c r="S14" s="23"/>
      <c r="T14" s="56"/>
      <c r="U14" s="23"/>
      <c r="V14" s="23">
        <v>20.3</v>
      </c>
      <c r="W14" s="23"/>
      <c r="X14" s="23">
        <v>21.07</v>
      </c>
      <c r="Y14" s="23"/>
      <c r="Z14" s="23">
        <v>22.18</v>
      </c>
      <c r="AA14" s="23"/>
      <c r="AB14" s="56">
        <f>AVERAGE(V14,X14,Z14)</f>
        <v>21.183333333333334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56">
        <f>SUM(AT14,AL14,AD14,V14,N14,F14)</f>
        <v>24</v>
      </c>
      <c r="BK14" s="23"/>
      <c r="BL14" s="56">
        <f>SUM(AV14,AN14,AF14,X14,P14,H14)</f>
        <v>24.77</v>
      </c>
      <c r="BM14" s="23"/>
      <c r="BN14" s="56">
        <f>SUM(AX14,AP14,AH14,Z14,R14,J14)</f>
        <v>24.18</v>
      </c>
      <c r="BO14" s="23"/>
      <c r="BP14" s="56">
        <f>SUM(AZ14,AR14,AJ14,AB14,T14,L14)</f>
        <v>24.316666666666666</v>
      </c>
    </row>
    <row r="15" spans="2:68" ht="12.75">
      <c r="B15" s="6" t="s">
        <v>25</v>
      </c>
      <c r="D15" s="6" t="s">
        <v>29</v>
      </c>
      <c r="F15" s="23">
        <v>3.4</v>
      </c>
      <c r="G15" s="66"/>
      <c r="H15" s="67">
        <v>14.1</v>
      </c>
      <c r="I15" s="23"/>
      <c r="J15" s="23">
        <v>13.5</v>
      </c>
      <c r="K15" s="23"/>
      <c r="L15" s="7">
        <f>AVERAGE(F15,H15,J15)</f>
        <v>10.333333333333334</v>
      </c>
      <c r="M15" s="23"/>
      <c r="N15" s="7"/>
      <c r="O15" s="7"/>
      <c r="P15" s="23"/>
      <c r="Q15" s="23"/>
      <c r="R15" s="23"/>
      <c r="S15" s="23"/>
      <c r="T15" s="56"/>
      <c r="U15" s="23"/>
      <c r="V15" s="23"/>
      <c r="W15" s="23"/>
      <c r="X15" s="23"/>
      <c r="Y15" s="23"/>
      <c r="Z15" s="23"/>
      <c r="AA15" s="26"/>
      <c r="AB15" s="23"/>
      <c r="AC15" s="26"/>
      <c r="AD15" s="23">
        <v>27</v>
      </c>
      <c r="AE15" s="23"/>
      <c r="AF15" s="23">
        <v>30</v>
      </c>
      <c r="AG15" s="23"/>
      <c r="AH15" s="23">
        <v>29</v>
      </c>
      <c r="AI15" s="23"/>
      <c r="AJ15" s="56">
        <f>AVERAGE(AD15,AF15,AH15)</f>
        <v>28.666666666666668</v>
      </c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56">
        <f>SUM(AT15,AL15,AD15,V15,N15,F15)</f>
        <v>30.4</v>
      </c>
      <c r="BK15" s="23"/>
      <c r="BL15" s="56">
        <f>SUM(AV15,AN15,AF15,X15,P15,H15)</f>
        <v>44.1</v>
      </c>
      <c r="BM15" s="23"/>
      <c r="BN15" s="56">
        <f>SUM(AX15,AP15,AH15,Z15,R15,J15)</f>
        <v>42.5</v>
      </c>
      <c r="BO15" s="23"/>
      <c r="BP15" s="56">
        <f>SUM(AZ15,AR15,AJ15,AB15,T15,L15)</f>
        <v>39</v>
      </c>
    </row>
    <row r="16" spans="2:68" ht="12.75">
      <c r="B16" s="6" t="s">
        <v>56</v>
      </c>
      <c r="D16" s="6" t="s">
        <v>29</v>
      </c>
      <c r="E16" s="6" t="s">
        <v>80</v>
      </c>
      <c r="F16" s="23">
        <v>0.0004</v>
      </c>
      <c r="G16" s="23" t="s">
        <v>80</v>
      </c>
      <c r="H16" s="66">
        <v>0.00037</v>
      </c>
      <c r="I16" s="23" t="s">
        <v>80</v>
      </c>
      <c r="J16" s="23">
        <v>0.0004</v>
      </c>
      <c r="K16" s="23"/>
      <c r="L16" s="68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56"/>
      <c r="BK16" s="23"/>
      <c r="BL16" s="56"/>
      <c r="BM16" s="23"/>
      <c r="BN16" s="56"/>
      <c r="BO16" s="23"/>
      <c r="BP16" s="56"/>
    </row>
    <row r="17" spans="2:68" ht="12.75">
      <c r="B17" s="6" t="s">
        <v>57</v>
      </c>
      <c r="D17" s="6" t="s">
        <v>29</v>
      </c>
      <c r="F17" s="23">
        <v>0.00048</v>
      </c>
      <c r="G17" s="23" t="s">
        <v>80</v>
      </c>
      <c r="H17" s="66">
        <v>0.00037</v>
      </c>
      <c r="I17" s="23" t="s">
        <v>80</v>
      </c>
      <c r="J17" s="23">
        <v>0.0004</v>
      </c>
      <c r="K17" s="23"/>
      <c r="L17" s="68"/>
      <c r="M17" s="23"/>
      <c r="N17" s="23">
        <v>0.024</v>
      </c>
      <c r="O17" s="23"/>
      <c r="P17" s="23">
        <v>0.027</v>
      </c>
      <c r="Q17" s="23"/>
      <c r="R17" s="23">
        <v>0.02</v>
      </c>
      <c r="S17" s="23"/>
      <c r="T17" s="56">
        <f>AVERAGE(N17,P17,R17)</f>
        <v>0.02366666666666667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56">
        <f>SUM(AT17,AL17,AD17,V17,N17,F17)</f>
        <v>0.024480000000000002</v>
      </c>
      <c r="BK17" s="23"/>
      <c r="BL17" s="56">
        <f>SUM(AV17,AN17,AF17,X17,P17,H17)</f>
        <v>0.02737</v>
      </c>
      <c r="BM17" s="23"/>
      <c r="BN17" s="56">
        <f>SUM(AX17,AP17,AH17,Z17,R17,J17)</f>
        <v>0.0204</v>
      </c>
      <c r="BO17" s="23"/>
      <c r="BP17" s="56">
        <f>SUM(AZ17,AR17,AJ17,AB17,T17,L17)</f>
        <v>0.02366666666666667</v>
      </c>
    </row>
    <row r="18" spans="2:68" ht="12.75">
      <c r="B18" s="6" t="s">
        <v>58</v>
      </c>
      <c r="D18" s="6" t="s">
        <v>29</v>
      </c>
      <c r="E18" s="6" t="s">
        <v>80</v>
      </c>
      <c r="F18" s="23">
        <v>0.0004</v>
      </c>
      <c r="G18" s="23" t="s">
        <v>80</v>
      </c>
      <c r="H18" s="66">
        <v>0.00037</v>
      </c>
      <c r="I18" s="23"/>
      <c r="J18" s="23">
        <v>0.00064</v>
      </c>
      <c r="K18" s="23"/>
      <c r="L18" s="68"/>
      <c r="M18" s="23"/>
      <c r="N18" s="54"/>
      <c r="O18" s="23"/>
      <c r="P18" s="54"/>
      <c r="Q18" s="23"/>
      <c r="R18" s="54"/>
      <c r="S18" s="54"/>
      <c r="T18" s="56"/>
      <c r="U18" s="54"/>
      <c r="V18" s="54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56"/>
      <c r="BK18" s="23"/>
      <c r="BL18" s="56"/>
      <c r="BM18" s="23"/>
      <c r="BN18" s="56"/>
      <c r="BO18" s="23"/>
      <c r="BP18" s="56"/>
    </row>
    <row r="19" spans="2:68" ht="12.75">
      <c r="B19" s="6" t="s">
        <v>59</v>
      </c>
      <c r="D19" s="6" t="s">
        <v>29</v>
      </c>
      <c r="E19" s="6" t="s">
        <v>80</v>
      </c>
      <c r="F19" s="23">
        <v>8E-06</v>
      </c>
      <c r="G19" s="23" t="s">
        <v>80</v>
      </c>
      <c r="H19" s="66">
        <v>6.1E-06</v>
      </c>
      <c r="I19" s="23" t="s">
        <v>80</v>
      </c>
      <c r="J19" s="23">
        <v>8E-06</v>
      </c>
      <c r="K19" s="23"/>
      <c r="L19" s="23"/>
      <c r="M19" s="23"/>
      <c r="N19" s="54"/>
      <c r="O19" s="23"/>
      <c r="P19" s="54"/>
      <c r="Q19" s="23"/>
      <c r="R19" s="54"/>
      <c r="S19" s="54"/>
      <c r="T19" s="56"/>
      <c r="U19" s="54"/>
      <c r="V19" s="54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</row>
    <row r="20" spans="2:68" ht="12.75">
      <c r="B20" s="6" t="s">
        <v>60</v>
      </c>
      <c r="D20" s="6" t="s">
        <v>29</v>
      </c>
      <c r="F20" s="23">
        <v>0.0045</v>
      </c>
      <c r="G20" s="23"/>
      <c r="H20" s="66">
        <v>0.0023</v>
      </c>
      <c r="I20" s="23"/>
      <c r="J20" s="23">
        <v>0.0015</v>
      </c>
      <c r="K20" s="23"/>
      <c r="L20" s="23"/>
      <c r="M20" s="23"/>
      <c r="N20" s="54"/>
      <c r="O20" s="23"/>
      <c r="P20" s="7"/>
      <c r="Q20" s="23"/>
      <c r="R20" s="54"/>
      <c r="S20" s="54"/>
      <c r="T20" s="56"/>
      <c r="U20" s="54"/>
      <c r="V20" s="54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>
        <v>0.14</v>
      </c>
      <c r="AM20" s="23"/>
      <c r="AN20" s="23">
        <v>0.138</v>
      </c>
      <c r="AO20" s="23"/>
      <c r="AP20" s="23">
        <v>0.139</v>
      </c>
      <c r="AQ20" s="23"/>
      <c r="AR20" s="56">
        <f>AVERAGE(AL20,AN20,AP20)</f>
        <v>0.139</v>
      </c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56">
        <f>SUM(AT20,AL20,AD20,V20,N20,F20)</f>
        <v>0.14450000000000002</v>
      </c>
      <c r="BK20" s="23"/>
      <c r="BL20" s="56">
        <f>SUM(AV20,AN20,AF20,X20,P20,H20)</f>
        <v>0.1403</v>
      </c>
      <c r="BM20" s="23"/>
      <c r="BN20" s="56">
        <f>SUM(AX20,AP20,AH20,Z20,R20,J20)</f>
        <v>0.1405</v>
      </c>
      <c r="BO20" s="23"/>
      <c r="BP20" s="56">
        <f>SUM(AZ20,AR20,AJ20,AB20,T20,L20)</f>
        <v>0.139</v>
      </c>
    </row>
    <row r="21" spans="2:68" ht="12.75">
      <c r="B21" s="6" t="s">
        <v>73</v>
      </c>
      <c r="D21" s="6" t="s">
        <v>29</v>
      </c>
      <c r="F21" s="23">
        <v>0.00095</v>
      </c>
      <c r="G21" s="23"/>
      <c r="H21" s="69">
        <v>0.00086</v>
      </c>
      <c r="I21" s="23" t="s">
        <v>80</v>
      </c>
      <c r="J21" s="23">
        <v>0.00088</v>
      </c>
      <c r="K21" s="23"/>
      <c r="L21" s="23"/>
      <c r="M21" s="23"/>
      <c r="N21" s="23"/>
      <c r="O21" s="23"/>
      <c r="P21" s="7"/>
      <c r="Q21" s="23"/>
      <c r="R21" s="54"/>
      <c r="S21" s="54"/>
      <c r="T21" s="56"/>
      <c r="U21" s="54"/>
      <c r="V21" s="54"/>
      <c r="W21" s="23"/>
      <c r="X21" s="23"/>
      <c r="Y21" s="23"/>
      <c r="Z21" s="23"/>
      <c r="AA21" s="26"/>
      <c r="AB21" s="23"/>
      <c r="AC21" s="26"/>
      <c r="AD21" s="23"/>
      <c r="AE21" s="23"/>
      <c r="AF21" s="23"/>
      <c r="AG21" s="23"/>
      <c r="AH21" s="23"/>
      <c r="AI21" s="23"/>
      <c r="AJ21" s="26"/>
      <c r="AK21" s="23"/>
      <c r="AL21" s="23"/>
      <c r="AM21" s="23"/>
      <c r="AN21" s="23"/>
      <c r="AO21" s="23"/>
      <c r="AP21" s="23"/>
      <c r="AQ21" s="23"/>
      <c r="AR21" s="23"/>
      <c r="AS21" s="23"/>
      <c r="AT21" s="23">
        <v>0.168</v>
      </c>
      <c r="AU21" s="23"/>
      <c r="AV21" s="23">
        <v>0.168</v>
      </c>
      <c r="AW21" s="23"/>
      <c r="AX21" s="23">
        <v>0.168</v>
      </c>
      <c r="AY21" s="23"/>
      <c r="AZ21" s="56">
        <f>AVERAGE(AT21,AV21,AX21)</f>
        <v>0.168</v>
      </c>
      <c r="BA21" s="56"/>
      <c r="BB21" s="56"/>
      <c r="BC21" s="56"/>
      <c r="BD21" s="56"/>
      <c r="BE21" s="56"/>
      <c r="BF21" s="56"/>
      <c r="BG21" s="56"/>
      <c r="BH21" s="56"/>
      <c r="BI21" s="23"/>
      <c r="BJ21" s="56">
        <f>SUM(AT21,AL21,AD21,V21,N21,F21)</f>
        <v>0.16895000000000002</v>
      </c>
      <c r="BK21" s="23"/>
      <c r="BL21" s="56">
        <f>SUM(AV21,AN21,AF21,X21,P21,H21)</f>
        <v>0.16886</v>
      </c>
      <c r="BM21" s="23"/>
      <c r="BN21" s="56">
        <f>SUM(AX21,AP21,AH21,Z21,R21,J21)</f>
        <v>0.16888</v>
      </c>
      <c r="BO21" s="23"/>
      <c r="BP21" s="56">
        <f>SUM(AZ21,AR21,AJ21,AB21,T21,L21)</f>
        <v>0.168</v>
      </c>
    </row>
    <row r="22" spans="2:68" ht="12.75">
      <c r="B22" s="6" t="s">
        <v>55</v>
      </c>
      <c r="D22" s="6" t="s">
        <v>29</v>
      </c>
      <c r="F22" s="23">
        <v>0.00032</v>
      </c>
      <c r="G22" s="23" t="s">
        <v>80</v>
      </c>
      <c r="H22" s="66">
        <v>0.00018</v>
      </c>
      <c r="I22" s="23"/>
      <c r="J22" s="23">
        <v>0.00048</v>
      </c>
      <c r="K22" s="23"/>
      <c r="L22" s="23"/>
      <c r="M22" s="23"/>
      <c r="N22" s="23"/>
      <c r="O22" s="23"/>
      <c r="P22" s="7"/>
      <c r="Q22" s="23"/>
      <c r="R22" s="54"/>
      <c r="S22" s="54"/>
      <c r="T22" s="23"/>
      <c r="U22" s="54"/>
      <c r="V22" s="54"/>
      <c r="W22" s="23"/>
      <c r="X22" s="23"/>
      <c r="Y22" s="23"/>
      <c r="Z22" s="23"/>
      <c r="AA22" s="26"/>
      <c r="AB22" s="23"/>
      <c r="AC22" s="26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</row>
    <row r="23" spans="2:68" ht="12.75">
      <c r="B23" s="6" t="s">
        <v>61</v>
      </c>
      <c r="D23" s="6" t="s">
        <v>29</v>
      </c>
      <c r="E23" s="6" t="s">
        <v>80</v>
      </c>
      <c r="F23" s="23">
        <v>8E-05</v>
      </c>
      <c r="G23" s="23"/>
      <c r="H23" s="70">
        <v>6.1E-05</v>
      </c>
      <c r="I23" s="23"/>
      <c r="J23" s="55">
        <v>8E-05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7"/>
      <c r="Y23" s="23"/>
      <c r="Z23" s="23"/>
      <c r="AA23" s="56"/>
      <c r="AB23" s="23"/>
      <c r="AC23" s="56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</row>
    <row r="24" spans="2:68" ht="12.75">
      <c r="B24" s="6" t="s">
        <v>62</v>
      </c>
      <c r="D24" s="6" t="s">
        <v>29</v>
      </c>
      <c r="E24" s="6" t="s">
        <v>80</v>
      </c>
      <c r="F24" s="23">
        <v>0.0008</v>
      </c>
      <c r="G24" s="23" t="s">
        <v>80</v>
      </c>
      <c r="H24" s="66">
        <v>0.00061</v>
      </c>
      <c r="I24" s="23" t="s">
        <v>80</v>
      </c>
      <c r="J24" s="23">
        <v>0.0008</v>
      </c>
      <c r="K24" s="23"/>
      <c r="L24" s="68"/>
      <c r="M24" s="23"/>
      <c r="N24" s="23"/>
      <c r="O24" s="23"/>
      <c r="P24" s="7"/>
      <c r="Q24" s="23"/>
      <c r="R24" s="54"/>
      <c r="S24" s="54"/>
      <c r="T24" s="23"/>
      <c r="U24" s="54"/>
      <c r="V24" s="54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</row>
    <row r="25" spans="2:68" ht="12.75">
      <c r="B25" s="6" t="s">
        <v>63</v>
      </c>
      <c r="D25" s="6" t="s">
        <v>29</v>
      </c>
      <c r="F25" s="23">
        <v>0.00024</v>
      </c>
      <c r="G25" s="23" t="s">
        <v>80</v>
      </c>
      <c r="H25" s="71">
        <v>0.00012</v>
      </c>
      <c r="I25" s="23" t="s">
        <v>80</v>
      </c>
      <c r="J25" s="23">
        <v>0.00016</v>
      </c>
      <c r="K25" s="23"/>
      <c r="L25" s="68"/>
      <c r="M25" s="23"/>
      <c r="N25" s="23"/>
      <c r="O25" s="23"/>
      <c r="P25" s="7"/>
      <c r="Q25" s="23"/>
      <c r="R25" s="54"/>
      <c r="S25" s="54"/>
      <c r="T25" s="23"/>
      <c r="U25" s="54"/>
      <c r="V25" s="54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</row>
    <row r="26" spans="2:68" ht="12.75">
      <c r="B26" s="6" t="s">
        <v>64</v>
      </c>
      <c r="D26" s="6" t="s">
        <v>29</v>
      </c>
      <c r="E26" s="6" t="s">
        <v>80</v>
      </c>
      <c r="F26" s="23">
        <v>0.0004</v>
      </c>
      <c r="G26" s="23"/>
      <c r="H26" s="71">
        <v>0.00037</v>
      </c>
      <c r="I26" s="23"/>
      <c r="J26" s="23">
        <v>0.0008</v>
      </c>
      <c r="K26" s="23"/>
      <c r="L26" s="68"/>
      <c r="M26" s="23"/>
      <c r="N26" s="23"/>
      <c r="O26" s="23"/>
      <c r="P26" s="7"/>
      <c r="Q26" s="23"/>
      <c r="R26" s="54"/>
      <c r="S26" s="54"/>
      <c r="T26" s="23"/>
      <c r="U26" s="54"/>
      <c r="V26" s="54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</row>
    <row r="27" spans="2:68" ht="12.75">
      <c r="B27" s="6" t="s">
        <v>65</v>
      </c>
      <c r="D27" s="6" t="s">
        <v>29</v>
      </c>
      <c r="E27" s="6" t="s">
        <v>80</v>
      </c>
      <c r="F27" s="23">
        <v>0.00016</v>
      </c>
      <c r="G27" s="23" t="s">
        <v>80</v>
      </c>
      <c r="H27" s="71">
        <v>0.00012</v>
      </c>
      <c r="I27" s="23" t="s">
        <v>80</v>
      </c>
      <c r="J27" s="23">
        <v>0.00016</v>
      </c>
      <c r="K27" s="23"/>
      <c r="L27" s="68"/>
      <c r="M27" s="23"/>
      <c r="N27" s="23"/>
      <c r="O27" s="23"/>
      <c r="P27" s="7"/>
      <c r="Q27" s="23"/>
      <c r="R27" s="54"/>
      <c r="S27" s="54"/>
      <c r="T27" s="23"/>
      <c r="U27" s="54"/>
      <c r="V27" s="54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</row>
    <row r="28" spans="7:13" ht="12.75">
      <c r="G28" s="9"/>
      <c r="H28" s="9"/>
      <c r="I28" s="23"/>
      <c r="J28" s="24"/>
      <c r="K28" s="24"/>
      <c r="L28" s="24"/>
      <c r="M28" s="24"/>
    </row>
    <row r="29" spans="2:68" ht="12.75">
      <c r="B29" s="6" t="s">
        <v>37</v>
      </c>
      <c r="D29" s="6" t="s">
        <v>17</v>
      </c>
      <c r="F29" s="9">
        <v>3310.6666666666665</v>
      </c>
      <c r="G29" s="9"/>
      <c r="H29" s="9"/>
      <c r="I29" s="23"/>
      <c r="J29" s="24"/>
      <c r="K29" s="24"/>
      <c r="L29" s="24"/>
      <c r="M29" s="24"/>
      <c r="BJ29" s="72">
        <f>'emiss 1'!G30</f>
        <v>3377</v>
      </c>
      <c r="BL29" s="72">
        <f>'emiss 1'!I30</f>
        <v>3279</v>
      </c>
      <c r="BN29" s="72">
        <f>'emiss 1'!K30</f>
        <v>3314</v>
      </c>
      <c r="BP29" s="72">
        <f>'emiss 1'!M30</f>
        <v>3323.3333333333335</v>
      </c>
    </row>
    <row r="30" spans="2:68" ht="12.75">
      <c r="B30" s="6" t="s">
        <v>38</v>
      </c>
      <c r="D30" s="6" t="s">
        <v>18</v>
      </c>
      <c r="F30" s="9">
        <v>12.633333333333335</v>
      </c>
      <c r="G30" s="9"/>
      <c r="H30" s="9"/>
      <c r="I30" s="23"/>
      <c r="J30" s="24"/>
      <c r="K30" s="24"/>
      <c r="L30" s="24"/>
      <c r="M30" s="24"/>
      <c r="BJ30" s="72">
        <f>'emiss 1'!G31</f>
        <v>12.5</v>
      </c>
      <c r="BL30" s="72">
        <f>'emiss 1'!I31</f>
        <v>13.4</v>
      </c>
      <c r="BN30" s="72">
        <f>'emiss 1'!K31</f>
        <v>12.7</v>
      </c>
      <c r="BP30" s="72">
        <f>'emiss 1'!M31</f>
        <v>12.866666666666667</v>
      </c>
    </row>
    <row r="31" spans="7:13" ht="12.75">
      <c r="G31" s="9"/>
      <c r="H31" s="9"/>
      <c r="I31" s="23"/>
      <c r="J31" s="24"/>
      <c r="K31" s="24"/>
      <c r="L31" s="24"/>
      <c r="M31" s="24"/>
    </row>
    <row r="32" spans="2:68" ht="12.75">
      <c r="B32" s="6" t="s">
        <v>77</v>
      </c>
      <c r="D32" s="6" t="s">
        <v>32</v>
      </c>
      <c r="F32" s="7">
        <f>F10*F11/1000000</f>
        <v>1.834065</v>
      </c>
      <c r="G32" s="9"/>
      <c r="H32" s="7">
        <f>H10*H11/1000000</f>
        <v>2.532136</v>
      </c>
      <c r="I32" s="7"/>
      <c r="J32" s="7">
        <f>J10*J11/1000000</f>
        <v>4.171836</v>
      </c>
      <c r="K32" s="24"/>
      <c r="L32" s="38">
        <f>L10*L11/1000000</f>
        <v>2.85964</v>
      </c>
      <c r="M32" s="24"/>
      <c r="N32" s="7">
        <f>N10*N11/1000000</f>
        <v>0</v>
      </c>
      <c r="R32" s="25"/>
      <c r="S32" s="25"/>
      <c r="T32" s="7">
        <f>T10*T11/1000000</f>
        <v>0.06588195555555555</v>
      </c>
      <c r="U32" s="25"/>
      <c r="V32" s="25"/>
      <c r="W32" s="25"/>
      <c r="BJ32" s="73"/>
      <c r="BL32" s="73"/>
      <c r="BN32" s="73"/>
      <c r="BP32" s="73"/>
    </row>
    <row r="33" spans="2:68" ht="12.75">
      <c r="B33" s="6" t="s">
        <v>217</v>
      </c>
      <c r="D33" s="6" t="s">
        <v>32</v>
      </c>
      <c r="F33" s="7"/>
      <c r="G33" s="9"/>
      <c r="H33" s="9"/>
      <c r="I33" s="7"/>
      <c r="J33" s="24"/>
      <c r="K33" s="24"/>
      <c r="L33" s="38">
        <f>F29/9000*(21-F30)/21*60</f>
        <v>8.793410934744266</v>
      </c>
      <c r="M33" s="24"/>
      <c r="R33" s="7"/>
      <c r="S33" s="7"/>
      <c r="T33" s="7"/>
      <c r="U33" s="7"/>
      <c r="V33" s="7"/>
      <c r="W33" s="7"/>
      <c r="BJ33" s="73"/>
      <c r="BL33" s="73"/>
      <c r="BN33" s="73"/>
      <c r="BP33" s="73">
        <f>SUM(AZ33,AR33,AJ33,AB33,T33,L33)</f>
        <v>8.793410934744266</v>
      </c>
    </row>
    <row r="34" spans="7:23" ht="12.75">
      <c r="G34" s="9"/>
      <c r="H34" s="9"/>
      <c r="I34" s="7"/>
      <c r="J34" s="24"/>
      <c r="K34" s="24"/>
      <c r="L34" s="24"/>
      <c r="M34" s="24"/>
      <c r="R34" s="7"/>
      <c r="S34" s="7"/>
      <c r="T34" s="7"/>
      <c r="U34" s="7"/>
      <c r="V34" s="7"/>
      <c r="W34" s="7"/>
    </row>
    <row r="35" spans="2:23" ht="12.75">
      <c r="B35" s="30" t="s">
        <v>49</v>
      </c>
      <c r="C35" s="30"/>
      <c r="G35" s="9"/>
      <c r="H35" s="9"/>
      <c r="I35" s="7"/>
      <c r="J35" s="24"/>
      <c r="K35" s="24"/>
      <c r="L35" s="24"/>
      <c r="M35" s="24"/>
      <c r="R35" s="7"/>
      <c r="S35" s="7"/>
      <c r="T35" s="7"/>
      <c r="U35" s="7"/>
      <c r="V35" s="7"/>
      <c r="W35" s="7"/>
    </row>
    <row r="36" spans="2:68" ht="12.75">
      <c r="B36" s="6" t="s">
        <v>24</v>
      </c>
      <c r="D36" s="6" t="s">
        <v>39</v>
      </c>
      <c r="F36" s="7">
        <f>F14*454/60/0.0283/$F$29*(21-7)/(21-$F$30)*1000</f>
        <v>500.0115124065332</v>
      </c>
      <c r="G36" s="67"/>
      <c r="H36" s="7">
        <f>H14*454/60/0.0283/$F$29*(21-7)/(21-$F$30)*1000</f>
        <v>500.0115124065332</v>
      </c>
      <c r="I36" s="7"/>
      <c r="J36" s="7">
        <f>J14*454/60/0.0283/$F$29*(21-7)/(21-$F$30)*1000</f>
        <v>270.27649319272064</v>
      </c>
      <c r="K36" s="23"/>
      <c r="L36" s="7">
        <f>AVERAGE(J36,H36,F36)</f>
        <v>423.4331726685957</v>
      </c>
      <c r="M36" s="23"/>
      <c r="N36" s="23"/>
      <c r="O36" s="23"/>
      <c r="P36" s="7"/>
      <c r="Q36" s="7"/>
      <c r="R36" s="23"/>
      <c r="S36" s="23"/>
      <c r="T36" s="23"/>
      <c r="U36" s="23"/>
      <c r="V36" s="7">
        <f>V14*454/60/0.0283/$F$29*(21-7)/(21-$F$30)*1000</f>
        <v>2743.3064059061144</v>
      </c>
      <c r="W36" s="23"/>
      <c r="X36" s="7">
        <f>X14*454/60/0.0283/$F$29*(21-7)/(21-$F$30)*1000</f>
        <v>2847.3628557853117</v>
      </c>
      <c r="Y36" s="23"/>
      <c r="Z36" s="7">
        <f>Z14*454/60/0.0283/$F$29*(21-7)/(21-$F$30)*1000</f>
        <v>2997.3663095072716</v>
      </c>
      <c r="AA36" s="23"/>
      <c r="AB36" s="7">
        <f>AVERAGE(Z36,X36,V36)</f>
        <v>2862.678523732899</v>
      </c>
      <c r="AC36" s="23"/>
      <c r="AD36" s="7"/>
      <c r="AE36" s="23"/>
      <c r="AF36" s="7"/>
      <c r="AG36" s="23"/>
      <c r="AH36" s="7"/>
      <c r="AI36" s="23"/>
      <c r="AJ36" s="7"/>
      <c r="AK36" s="23"/>
      <c r="AL36" s="7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7">
        <f>SUM(AT36,AL36,AD36,V36,N36)</f>
        <v>2743.3064059061144</v>
      </c>
      <c r="BC36" s="23"/>
      <c r="BD36" s="7">
        <f>SUM(AV36,AN36,AF36,X36,P36)</f>
        <v>2847.3628557853117</v>
      </c>
      <c r="BE36" s="23"/>
      <c r="BF36" s="7">
        <f>SUM(AX36,AP36,AH36,Z36,R36)</f>
        <v>2997.3663095072716</v>
      </c>
      <c r="BG36" s="23"/>
      <c r="BH36" s="7">
        <f>SUM(AZ36,AR36,AJ36,AB36,T36)</f>
        <v>2862.678523732899</v>
      </c>
      <c r="BI36" s="23"/>
      <c r="BJ36" s="7">
        <f>SUM(AT36,AL36,AD36,V36,N36,F36)</f>
        <v>3243.3179183126476</v>
      </c>
      <c r="BK36" s="23"/>
      <c r="BL36" s="7">
        <f>SUM(AV36,AN36,AF36,X36,P36,H36)</f>
        <v>3347.374368191845</v>
      </c>
      <c r="BM36" s="23"/>
      <c r="BN36" s="7">
        <f>SUM(AX36,AP36,AH36,Z36,R36,J36)</f>
        <v>3267.642802699992</v>
      </c>
      <c r="BO36" s="23"/>
      <c r="BP36" s="7">
        <f>SUM(AZ36,AR36,AJ36,AB36,T36,L36)</f>
        <v>3286.1116964014946</v>
      </c>
    </row>
    <row r="37" spans="2:68" ht="12.75">
      <c r="B37" s="6" t="s">
        <v>25</v>
      </c>
      <c r="D37" s="6" t="s">
        <v>34</v>
      </c>
      <c r="F37" s="7">
        <f aca="true" t="shared" si="0" ref="F37:F49">F15*454/60/0.0283/$F$29*(21-7)/(21-$F$30)*1000000</f>
        <v>459470.03842762497</v>
      </c>
      <c r="G37" s="67"/>
      <c r="H37" s="7">
        <f aca="true" t="shared" si="1" ref="H37:H49">H15*454/60/0.0283/$F$29*(21-7)/(21-$F$30)*1000000</f>
        <v>1905449.2770086802</v>
      </c>
      <c r="I37" s="7"/>
      <c r="J37" s="7">
        <f aca="true" t="shared" si="2" ref="J37:J49">J15*454/60/0.0283/$F$29*(21-7)/(21-$F$30)*1000000</f>
        <v>1824366.3290508643</v>
      </c>
      <c r="K37" s="8"/>
      <c r="L37" s="7">
        <f>AVERAGE(J37,H37,F37)</f>
        <v>1396428.5481623898</v>
      </c>
      <c r="M37" s="8"/>
      <c r="N37" s="74"/>
      <c r="O37" s="23"/>
      <c r="P37" s="74"/>
      <c r="Q37" s="23"/>
      <c r="R37" s="74"/>
      <c r="S37" s="23"/>
      <c r="T37" s="23"/>
      <c r="U37" s="23"/>
      <c r="V37" s="7"/>
      <c r="W37" s="23"/>
      <c r="X37" s="7"/>
      <c r="Y37" s="23"/>
      <c r="Z37" s="7"/>
      <c r="AA37" s="74"/>
      <c r="AB37" s="7"/>
      <c r="AC37" s="74"/>
      <c r="AD37" s="7">
        <f>AD15*454/60/0.0283/$F$29*(21-7)/(21-$F$30)*1000000</f>
        <v>3648732.6581017287</v>
      </c>
      <c r="AE37" s="23"/>
      <c r="AF37" s="7">
        <f>AF15*454/60/0.0283/$F$29*(21-7)/(21-$F$30)*1000000</f>
        <v>4054147.3978908085</v>
      </c>
      <c r="AG37" s="23"/>
      <c r="AH37" s="7">
        <f>AH15*454/60/0.0283/$F$29*(21-7)/(21-$F$30)*1000000</f>
        <v>3919009.1512944484</v>
      </c>
      <c r="AI37" s="23"/>
      <c r="AJ37" s="7">
        <f>AJ15*454/60/0.0283/$F$29*(21-7)/(21-$F$30)*1000000</f>
        <v>3873963.0690956623</v>
      </c>
      <c r="AK37" s="23"/>
      <c r="AL37" s="7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7">
        <f>SUM(AT37,AL37,AD37,V37,N37)</f>
        <v>3648732.6581017287</v>
      </c>
      <c r="BC37" s="23"/>
      <c r="BD37" s="7">
        <f>SUM(AV37,AN37,AF37,X37,P37)</f>
        <v>4054147.3978908085</v>
      </c>
      <c r="BE37" s="23"/>
      <c r="BF37" s="7">
        <f>SUM(AX37,AP37,AH37,Z37,R37)</f>
        <v>3919009.1512944484</v>
      </c>
      <c r="BG37" s="23"/>
      <c r="BH37" s="7">
        <f>SUM(AZ37,AR37,AJ37,AB37,T37)</f>
        <v>3873963.0690956623</v>
      </c>
      <c r="BI37" s="23"/>
      <c r="BJ37" s="7">
        <f>SUM(AT37,AL37,AD37,V37,N37,F37)</f>
        <v>4108202.6965293535</v>
      </c>
      <c r="BK37" s="23"/>
      <c r="BL37" s="7">
        <f>SUM(AV37,AN37,AF37,X37,P37,H37)</f>
        <v>5959596.674899489</v>
      </c>
      <c r="BM37" s="23"/>
      <c r="BN37" s="7">
        <f>SUM(AX37,AP37,AH37,Z37,R37,J37)</f>
        <v>5743375.4803453125</v>
      </c>
      <c r="BO37" s="23"/>
      <c r="BP37" s="7">
        <f>SUM(AZ37,AR37,AJ37,AB37,T37,L37)</f>
        <v>5270391.617258052</v>
      </c>
    </row>
    <row r="38" spans="2:68" ht="12.75">
      <c r="B38" s="6" t="s">
        <v>56</v>
      </c>
      <c r="D38" s="6" t="s">
        <v>34</v>
      </c>
      <c r="E38" s="6" t="s">
        <v>80</v>
      </c>
      <c r="F38" s="7">
        <f t="shared" si="0"/>
        <v>54.05529863854412</v>
      </c>
      <c r="G38" s="23" t="s">
        <v>80</v>
      </c>
      <c r="H38" s="7">
        <f t="shared" si="1"/>
        <v>50.001151240653314</v>
      </c>
      <c r="I38" s="23" t="s">
        <v>80</v>
      </c>
      <c r="J38" s="7">
        <f t="shared" si="2"/>
        <v>54.05529863854412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74"/>
      <c r="Y38" s="23"/>
      <c r="Z38" s="74"/>
      <c r="AA38" s="74"/>
      <c r="AB38" s="74"/>
      <c r="AC38" s="74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7"/>
      <c r="BC38" s="23"/>
      <c r="BD38" s="7"/>
      <c r="BE38" s="23"/>
      <c r="BF38" s="7"/>
      <c r="BG38" s="23"/>
      <c r="BH38" s="7"/>
      <c r="BI38" s="23"/>
      <c r="BJ38" s="7">
        <f aca="true" t="shared" si="3" ref="BJ38:BJ44">SUM(AT38,AL38,AD38,V38,N38,F38)</f>
        <v>54.05529863854412</v>
      </c>
      <c r="BK38" s="23"/>
      <c r="BL38" s="7">
        <f aca="true" t="shared" si="4" ref="BL38:BL44">SUM(AV38,AN38,AF38,X38,P38,H38)</f>
        <v>50.001151240653314</v>
      </c>
      <c r="BM38" s="23"/>
      <c r="BN38" s="7">
        <f aca="true" t="shared" si="5" ref="BN38:BN44">SUM(AX38,AP38,AH38,Z38,R38,J38)</f>
        <v>54.05529863854412</v>
      </c>
      <c r="BO38" s="23"/>
      <c r="BP38" s="7">
        <f>AVERAGE(BJ38,BL38,BN38)</f>
        <v>52.70391617258051</v>
      </c>
    </row>
    <row r="39" spans="2:68" ht="12.75">
      <c r="B39" s="6" t="s">
        <v>57</v>
      </c>
      <c r="D39" s="6" t="s">
        <v>34</v>
      </c>
      <c r="F39" s="7">
        <f t="shared" si="0"/>
        <v>64.86635836625295</v>
      </c>
      <c r="G39" s="23" t="s">
        <v>80</v>
      </c>
      <c r="H39" s="7">
        <f t="shared" si="1"/>
        <v>50.001151240653314</v>
      </c>
      <c r="I39" s="23" t="s">
        <v>80</v>
      </c>
      <c r="J39" s="7">
        <f t="shared" si="2"/>
        <v>54.05529863854412</v>
      </c>
      <c r="K39" s="23"/>
      <c r="L39" s="23"/>
      <c r="M39" s="23"/>
      <c r="N39" s="7">
        <f>N17*454/60/0.0283/$F$29*(21-7)/(21-$F$30)*1000000</f>
        <v>3243.317918312647</v>
      </c>
      <c r="O39" s="23"/>
      <c r="P39" s="7">
        <f>P17*454/60/0.0283/$F$29*(21-7)/(21-$F$30)*1000000</f>
        <v>3648.7326581017282</v>
      </c>
      <c r="Q39" s="23"/>
      <c r="R39" s="7">
        <f>R17*454/60/0.0283/$F$29*(21-7)/(21-$F$30)*1000000</f>
        <v>2702.7649319272064</v>
      </c>
      <c r="S39" s="23"/>
      <c r="T39" s="7">
        <f>T17*454/60/0.0283/$F$29*(21-7)/(21-$F$30)*1000000</f>
        <v>3198.2718361138604</v>
      </c>
      <c r="U39" s="23"/>
      <c r="V39" s="23"/>
      <c r="W39" s="23"/>
      <c r="X39" s="74"/>
      <c r="Y39" s="23"/>
      <c r="Z39" s="74"/>
      <c r="AA39" s="74"/>
      <c r="AB39" s="74"/>
      <c r="AC39" s="74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7">
        <f>SUM(AT39,AL39,AD39,V39,N39)</f>
        <v>3243.317918312647</v>
      </c>
      <c r="BC39" s="23"/>
      <c r="BD39" s="7">
        <f>SUM(AV39,AN39,AF39,X39,P39)</f>
        <v>3648.7326581017282</v>
      </c>
      <c r="BE39" s="23"/>
      <c r="BF39" s="7">
        <f>SUM(AX39,AP39,AH39,Z39,R39)</f>
        <v>2702.7649319272064</v>
      </c>
      <c r="BG39" s="23"/>
      <c r="BH39" s="7">
        <f>SUM(AZ39,AR39,AJ39,AB39,T39)</f>
        <v>3198.2718361138604</v>
      </c>
      <c r="BI39" s="23"/>
      <c r="BJ39" s="7">
        <f t="shared" si="3"/>
        <v>3308.1842766789</v>
      </c>
      <c r="BK39" s="23"/>
      <c r="BL39" s="7">
        <f t="shared" si="4"/>
        <v>3698.7338093423814</v>
      </c>
      <c r="BM39" s="23"/>
      <c r="BN39" s="7">
        <f t="shared" si="5"/>
        <v>2756.8202305657505</v>
      </c>
      <c r="BO39" s="23"/>
      <c r="BP39" s="7">
        <f>SUM(AZ39,AR39,AJ39,AB39,T39,L39)</f>
        <v>3198.2718361138604</v>
      </c>
    </row>
    <row r="40" spans="2:68" ht="12.75">
      <c r="B40" s="6" t="s">
        <v>58</v>
      </c>
      <c r="D40" s="6" t="s">
        <v>34</v>
      </c>
      <c r="E40" s="6" t="s">
        <v>80</v>
      </c>
      <c r="F40" s="7">
        <f t="shared" si="0"/>
        <v>54.05529863854412</v>
      </c>
      <c r="G40" s="23" t="s">
        <v>80</v>
      </c>
      <c r="H40" s="7">
        <f t="shared" si="1"/>
        <v>50.001151240653314</v>
      </c>
      <c r="I40" s="23"/>
      <c r="J40" s="7">
        <f t="shared" si="2"/>
        <v>86.4884778216706</v>
      </c>
      <c r="K40" s="23"/>
      <c r="L40" s="23"/>
      <c r="M40" s="23"/>
      <c r="N40" s="74"/>
      <c r="O40" s="23"/>
      <c r="P40" s="74"/>
      <c r="Q40" s="23"/>
      <c r="R40" s="74"/>
      <c r="S40" s="23"/>
      <c r="T40" s="23"/>
      <c r="U40" s="23"/>
      <c r="V40" s="23"/>
      <c r="W40" s="23"/>
      <c r="X40" s="74"/>
      <c r="Y40" s="23"/>
      <c r="Z40" s="74"/>
      <c r="AA40" s="74"/>
      <c r="AB40" s="74"/>
      <c r="AC40" s="74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7"/>
      <c r="BC40" s="23"/>
      <c r="BD40" s="7"/>
      <c r="BE40" s="23"/>
      <c r="BF40" s="7"/>
      <c r="BG40" s="23"/>
      <c r="BH40" s="7"/>
      <c r="BI40" s="23"/>
      <c r="BJ40" s="7">
        <f t="shared" si="3"/>
        <v>54.05529863854412</v>
      </c>
      <c r="BK40" s="23"/>
      <c r="BL40" s="7">
        <f t="shared" si="4"/>
        <v>50.001151240653314</v>
      </c>
      <c r="BM40" s="23"/>
      <c r="BN40" s="7">
        <f t="shared" si="5"/>
        <v>86.4884778216706</v>
      </c>
      <c r="BO40" s="23"/>
      <c r="BP40" s="7">
        <f>AVERAGE(BJ40,BL40,BN40)</f>
        <v>63.514975900289336</v>
      </c>
    </row>
    <row r="41" spans="2:68" ht="12.75">
      <c r="B41" s="6" t="s">
        <v>59</v>
      </c>
      <c r="D41" s="6" t="s">
        <v>34</v>
      </c>
      <c r="E41" s="6" t="s">
        <v>80</v>
      </c>
      <c r="F41" s="7">
        <f t="shared" si="0"/>
        <v>1.0811059727708823</v>
      </c>
      <c r="G41" s="23" t="s">
        <v>80</v>
      </c>
      <c r="H41" s="7">
        <f t="shared" si="1"/>
        <v>0.8243433042377978</v>
      </c>
      <c r="I41" s="23" t="s">
        <v>80</v>
      </c>
      <c r="J41" s="7">
        <f t="shared" si="2"/>
        <v>1.0811059727708823</v>
      </c>
      <c r="K41" s="23"/>
      <c r="L41" s="23"/>
      <c r="M41" s="23"/>
      <c r="N41" s="74"/>
      <c r="O41" s="23"/>
      <c r="P41" s="74"/>
      <c r="Q41" s="23"/>
      <c r="R41" s="74"/>
      <c r="S41" s="23"/>
      <c r="T41" s="23"/>
      <c r="U41" s="23"/>
      <c r="V41" s="23"/>
      <c r="W41" s="23"/>
      <c r="X41" s="74"/>
      <c r="Y41" s="23"/>
      <c r="Z41" s="74"/>
      <c r="AA41" s="74"/>
      <c r="AB41" s="74"/>
      <c r="AC41" s="74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7"/>
      <c r="BC41" s="23"/>
      <c r="BD41" s="7"/>
      <c r="BE41" s="23"/>
      <c r="BF41" s="7"/>
      <c r="BG41" s="23"/>
      <c r="BH41" s="7"/>
      <c r="BI41" s="23"/>
      <c r="BJ41" s="7">
        <f t="shared" si="3"/>
        <v>1.0811059727708823</v>
      </c>
      <c r="BK41" s="23"/>
      <c r="BL41" s="7">
        <f t="shared" si="4"/>
        <v>0.8243433042377978</v>
      </c>
      <c r="BM41" s="23"/>
      <c r="BN41" s="7">
        <f t="shared" si="5"/>
        <v>1.0811059727708823</v>
      </c>
      <c r="BO41" s="23"/>
      <c r="BP41" s="7">
        <f>AVERAGE(BJ41,BL41,BN41)</f>
        <v>0.9955184165931875</v>
      </c>
    </row>
    <row r="42" spans="2:68" ht="12.75">
      <c r="B42" s="6" t="s">
        <v>60</v>
      </c>
      <c r="D42" s="6" t="s">
        <v>34</v>
      </c>
      <c r="F42" s="7">
        <f t="shared" si="0"/>
        <v>608.1221096836214</v>
      </c>
      <c r="G42" s="23"/>
      <c r="H42" s="7">
        <f t="shared" si="1"/>
        <v>310.81796717162865</v>
      </c>
      <c r="I42" s="23"/>
      <c r="J42" s="7">
        <f t="shared" si="2"/>
        <v>202.70736989454045</v>
      </c>
      <c r="K42" s="23"/>
      <c r="L42" s="23"/>
      <c r="M42" s="23"/>
      <c r="N42" s="74"/>
      <c r="O42" s="23"/>
      <c r="P42" s="74"/>
      <c r="Q42" s="23"/>
      <c r="R42" s="74"/>
      <c r="S42" s="23"/>
      <c r="T42" s="23"/>
      <c r="U42" s="23"/>
      <c r="V42" s="23"/>
      <c r="W42" s="23"/>
      <c r="X42" s="74"/>
      <c r="Y42" s="23"/>
      <c r="Z42" s="74"/>
      <c r="AA42" s="74"/>
      <c r="AB42" s="74"/>
      <c r="AC42" s="74"/>
      <c r="AD42" s="23"/>
      <c r="AE42" s="23"/>
      <c r="AF42" s="23"/>
      <c r="AG42" s="23"/>
      <c r="AH42" s="23"/>
      <c r="AI42" s="23"/>
      <c r="AJ42" s="23"/>
      <c r="AK42" s="23"/>
      <c r="AL42" s="7">
        <f>AL20*454/60/0.0283/$F$29*(21-7)/(21-$F$30)*1000000</f>
        <v>18919.354523490445</v>
      </c>
      <c r="AM42" s="23"/>
      <c r="AN42" s="7">
        <f>AN20*454/60/0.0283/$F$29*(21-7)/(21-$F$30)*1000000</f>
        <v>18649.078030297725</v>
      </c>
      <c r="AO42" s="23"/>
      <c r="AP42" s="7">
        <f>AP20*454/60/0.0283/$F$29*(21-7)/(21-$F$30)*1000000</f>
        <v>18784.216276894083</v>
      </c>
      <c r="AQ42" s="23"/>
      <c r="AR42" s="7">
        <f>AR20*454/60/0.0283/$F$29*(21-7)/(21-$F$30)*1000000</f>
        <v>18784.216276894083</v>
      </c>
      <c r="AS42" s="23"/>
      <c r="AT42" s="23"/>
      <c r="AU42" s="23"/>
      <c r="AV42" s="23"/>
      <c r="AW42" s="23"/>
      <c r="AX42" s="23"/>
      <c r="AY42" s="23"/>
      <c r="AZ42" s="23"/>
      <c r="BA42" s="23"/>
      <c r="BB42" s="7">
        <f>SUM(AT42,AL42,AD42,V42,N42)</f>
        <v>18919.354523490445</v>
      </c>
      <c r="BC42" s="23"/>
      <c r="BD42" s="7">
        <f>SUM(AV42,AN42,AF42,X42,P42)</f>
        <v>18649.078030297725</v>
      </c>
      <c r="BE42" s="23"/>
      <c r="BF42" s="7">
        <f>SUM(AX42,AP42,AH42,Z42,R42)</f>
        <v>18784.216276894083</v>
      </c>
      <c r="BG42" s="23"/>
      <c r="BH42" s="7">
        <f>SUM(AZ42,AR42,AJ42,AB42,T42)</f>
        <v>18784.216276894083</v>
      </c>
      <c r="BI42" s="23"/>
      <c r="BJ42" s="7">
        <f t="shared" si="3"/>
        <v>19527.476633174065</v>
      </c>
      <c r="BK42" s="23"/>
      <c r="BL42" s="7">
        <f t="shared" si="4"/>
        <v>18959.895997469353</v>
      </c>
      <c r="BM42" s="23"/>
      <c r="BN42" s="7">
        <f t="shared" si="5"/>
        <v>18986.923646788622</v>
      </c>
      <c r="BO42" s="23"/>
      <c r="BP42" s="7">
        <f>SUM(AZ42,AR42,AJ42,AB42,T42,L42)</f>
        <v>18784.216276894083</v>
      </c>
    </row>
    <row r="43" spans="2:68" ht="12.75">
      <c r="B43" s="6" t="s">
        <v>73</v>
      </c>
      <c r="D43" s="6" t="s">
        <v>34</v>
      </c>
      <c r="F43" s="7">
        <f t="shared" si="0"/>
        <v>128.38133426654232</v>
      </c>
      <c r="G43" s="23"/>
      <c r="H43" s="7">
        <f t="shared" si="1"/>
        <v>116.21889207286985</v>
      </c>
      <c r="I43" s="23" t="s">
        <v>80</v>
      </c>
      <c r="J43" s="7">
        <f t="shared" si="2"/>
        <v>118.9216570047971</v>
      </c>
      <c r="K43" s="23"/>
      <c r="L43" s="7"/>
      <c r="M43" s="23"/>
      <c r="N43" s="7"/>
      <c r="O43" s="23"/>
      <c r="P43" s="7"/>
      <c r="Q43" s="23"/>
      <c r="R43" s="7"/>
      <c r="S43" s="23"/>
      <c r="T43" s="23"/>
      <c r="U43" s="23"/>
      <c r="V43" s="23"/>
      <c r="W43" s="23"/>
      <c r="X43" s="74"/>
      <c r="Y43" s="23"/>
      <c r="Z43" s="74"/>
      <c r="AA43" s="74"/>
      <c r="AB43" s="74"/>
      <c r="AC43" s="74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7">
        <f>AT21*454/60/0.0283/$F$29*(21-7)/(21-$F$30)*1000000</f>
        <v>22703.225428188533</v>
      </c>
      <c r="AU43" s="23"/>
      <c r="AV43" s="7">
        <f>AV21*454/60/0.0283/$F$29*(21-7)/(21-$F$30)*1000000</f>
        <v>22703.225428188533</v>
      </c>
      <c r="AW43" s="23"/>
      <c r="AX43" s="7">
        <f>AX21*454/60/0.0283/$F$29*(21-7)/(21-$F$30)*1000000</f>
        <v>22703.225428188533</v>
      </c>
      <c r="AY43" s="23"/>
      <c r="AZ43" s="7">
        <f>AZ21*454/60/0.0283/$F$29*(21-7)/(21-$F$30)*1000000</f>
        <v>22703.225428188533</v>
      </c>
      <c r="BA43" s="7"/>
      <c r="BB43" s="7">
        <f>SUM(AT43,AL43,AD43,V43,N43)</f>
        <v>22703.225428188533</v>
      </c>
      <c r="BC43" s="7"/>
      <c r="BD43" s="7">
        <f>SUM(AV43,AN43,AF43,X43,P43)</f>
        <v>22703.225428188533</v>
      </c>
      <c r="BE43" s="7"/>
      <c r="BF43" s="7">
        <f>SUM(AX43,AP43,AH43,Z43,R43)</f>
        <v>22703.225428188533</v>
      </c>
      <c r="BG43" s="7"/>
      <c r="BH43" s="7">
        <f>SUM(AZ43,AR43,AJ43,AB43,T43)</f>
        <v>22703.225428188533</v>
      </c>
      <c r="BI43" s="23"/>
      <c r="BJ43" s="7">
        <f t="shared" si="3"/>
        <v>22831.606762455074</v>
      </c>
      <c r="BK43" s="23"/>
      <c r="BL43" s="7">
        <f t="shared" si="4"/>
        <v>22819.444320261402</v>
      </c>
      <c r="BM43" s="23"/>
      <c r="BN43" s="7">
        <f t="shared" si="5"/>
        <v>22822.14708519333</v>
      </c>
      <c r="BO43" s="23"/>
      <c r="BP43" s="7">
        <f>SUM(AZ43,AR43,AJ43,AB43,T43,L43)</f>
        <v>22703.225428188533</v>
      </c>
    </row>
    <row r="44" spans="2:68" ht="12.75">
      <c r="B44" s="6" t="s">
        <v>55</v>
      </c>
      <c r="D44" s="6" t="s">
        <v>34</v>
      </c>
      <c r="F44" s="7">
        <f t="shared" si="0"/>
        <v>43.2442389108353</v>
      </c>
      <c r="G44" s="23" t="s">
        <v>80</v>
      </c>
      <c r="H44" s="7">
        <f t="shared" si="1"/>
        <v>24.324884387344856</v>
      </c>
      <c r="I44" s="23"/>
      <c r="J44" s="7">
        <f t="shared" si="2"/>
        <v>64.86635836625295</v>
      </c>
      <c r="K44" s="23"/>
      <c r="L44" s="23"/>
      <c r="M44" s="23"/>
      <c r="N44" s="74"/>
      <c r="O44" s="23"/>
      <c r="P44" s="74"/>
      <c r="Q44" s="23"/>
      <c r="R44" s="74"/>
      <c r="S44" s="23"/>
      <c r="T44" s="23"/>
      <c r="U44" s="23"/>
      <c r="V44" s="23"/>
      <c r="W44" s="23"/>
      <c r="X44" s="74"/>
      <c r="Y44" s="23"/>
      <c r="Z44" s="74"/>
      <c r="AA44" s="74"/>
      <c r="AB44" s="74"/>
      <c r="AC44" s="74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7"/>
      <c r="BC44" s="23"/>
      <c r="BD44" s="7"/>
      <c r="BE44" s="23"/>
      <c r="BF44" s="7"/>
      <c r="BG44" s="23"/>
      <c r="BH44" s="7"/>
      <c r="BI44" s="23"/>
      <c r="BJ44" s="7">
        <f t="shared" si="3"/>
        <v>43.2442389108353</v>
      </c>
      <c r="BK44" s="23"/>
      <c r="BL44" s="7">
        <f t="shared" si="4"/>
        <v>24.324884387344856</v>
      </c>
      <c r="BM44" s="23"/>
      <c r="BN44" s="7">
        <f t="shared" si="5"/>
        <v>64.86635836625295</v>
      </c>
      <c r="BO44" s="23"/>
      <c r="BP44" s="7">
        <f>AVERAGE(BJ44,BL44,BN44)</f>
        <v>44.145160554811035</v>
      </c>
    </row>
    <row r="45" spans="2:70" ht="12.75">
      <c r="B45" s="6" t="s">
        <v>61</v>
      </c>
      <c r="D45" s="6" t="s">
        <v>34</v>
      </c>
      <c r="E45" s="6" t="s">
        <v>80</v>
      </c>
      <c r="F45" s="7">
        <f t="shared" si="0"/>
        <v>10.811059727708825</v>
      </c>
      <c r="G45" s="23"/>
      <c r="H45" s="7">
        <f t="shared" si="1"/>
        <v>8.243433042377978</v>
      </c>
      <c r="I45" s="23"/>
      <c r="J45" s="7">
        <f t="shared" si="2"/>
        <v>10.811059727708825</v>
      </c>
      <c r="K45" s="23"/>
      <c r="L45" s="26">
        <f>AVERAGE(J45,H45,F45/2)</f>
        <v>8.153340877980405</v>
      </c>
      <c r="M45" s="23"/>
      <c r="N45" s="74"/>
      <c r="O45" s="23"/>
      <c r="P45" s="74"/>
      <c r="Q45" s="23"/>
      <c r="R45" s="74"/>
      <c r="S45" s="23"/>
      <c r="T45" s="23"/>
      <c r="U45" s="23"/>
      <c r="V45" s="23"/>
      <c r="W45" s="23"/>
      <c r="X45" s="74"/>
      <c r="Y45" s="23"/>
      <c r="Z45" s="74"/>
      <c r="AA45" s="74"/>
      <c r="AB45" s="74"/>
      <c r="AC45" s="74"/>
      <c r="AD45" s="23"/>
      <c r="AE45" s="23"/>
      <c r="AF45" s="23"/>
      <c r="AG45" s="23"/>
      <c r="AH45" s="23"/>
      <c r="AI45" s="23"/>
      <c r="AJ45" s="23"/>
      <c r="AK45" s="23"/>
      <c r="AL45" s="7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7"/>
      <c r="BC45" s="23"/>
      <c r="BD45" s="7"/>
      <c r="BE45" s="23"/>
      <c r="BF45" s="7"/>
      <c r="BG45" s="23"/>
      <c r="BH45" s="7"/>
      <c r="BI45" s="23"/>
      <c r="BJ45" s="56">
        <f>SUM(AT45,AL45,AD45,V45,N45,F45/2)</f>
        <v>5.4055298638544125</v>
      </c>
      <c r="BK45" s="23"/>
      <c r="BL45" s="56">
        <f>SUM(AV45,AN45,AF45,X45,P45,H45)</f>
        <v>8.243433042377978</v>
      </c>
      <c r="BM45" s="23"/>
      <c r="BN45" s="56">
        <f>SUM(AX45,AP45,AH45,Z45,R45,J45)</f>
        <v>10.811059727708825</v>
      </c>
      <c r="BO45" s="23"/>
      <c r="BP45" s="7">
        <f>SUM(AZ45,AR45,AJ45,AB45,T45,L45)</f>
        <v>8.153340877980405</v>
      </c>
      <c r="BR45" s="75"/>
    </row>
    <row r="46" spans="2:70" ht="12.75">
      <c r="B46" s="6" t="s">
        <v>62</v>
      </c>
      <c r="D46" s="6" t="s">
        <v>34</v>
      </c>
      <c r="E46" s="6" t="s">
        <v>80</v>
      </c>
      <c r="F46" s="7">
        <f t="shared" si="0"/>
        <v>108.11059727708825</v>
      </c>
      <c r="G46" s="23" t="s">
        <v>80</v>
      </c>
      <c r="H46" s="7">
        <f t="shared" si="1"/>
        <v>82.43433042377977</v>
      </c>
      <c r="I46" s="23" t="s">
        <v>80</v>
      </c>
      <c r="J46" s="7">
        <f t="shared" si="2"/>
        <v>108.11059727708825</v>
      </c>
      <c r="K46" s="23"/>
      <c r="L46" s="23"/>
      <c r="M46" s="23"/>
      <c r="N46" s="74"/>
      <c r="O46" s="23"/>
      <c r="P46" s="74"/>
      <c r="Q46" s="23"/>
      <c r="R46" s="74"/>
      <c r="S46" s="23"/>
      <c r="T46" s="23"/>
      <c r="U46" s="23"/>
      <c r="V46" s="23"/>
      <c r="W46" s="23"/>
      <c r="X46" s="74"/>
      <c r="Y46" s="23"/>
      <c r="Z46" s="74"/>
      <c r="AA46" s="74"/>
      <c r="AB46" s="74"/>
      <c r="AC46" s="74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7"/>
      <c r="BC46" s="23"/>
      <c r="BD46" s="7"/>
      <c r="BE46" s="23"/>
      <c r="BF46" s="7"/>
      <c r="BG46" s="23"/>
      <c r="BH46" s="7"/>
      <c r="BI46" s="23"/>
      <c r="BJ46" s="56">
        <f>SUM(AT46,AL46,AD46,V46,N46,F46/2)</f>
        <v>54.05529863854412</v>
      </c>
      <c r="BK46" s="23"/>
      <c r="BL46" s="56">
        <f>SUM(AV46,AN46,AF46,X46,P46,H46)</f>
        <v>82.43433042377977</v>
      </c>
      <c r="BM46" s="23"/>
      <c r="BN46" s="56">
        <f>SUM(AX46,AP46,AH46,Z46,R46,J46)</f>
        <v>108.11059727708825</v>
      </c>
      <c r="BO46" s="23"/>
      <c r="BP46" s="7">
        <f>AVERAGE(BJ46,BL46,BN46)</f>
        <v>81.53340877980405</v>
      </c>
      <c r="BR46" s="76"/>
    </row>
    <row r="47" spans="2:70" ht="12.75">
      <c r="B47" s="6" t="s">
        <v>63</v>
      </c>
      <c r="D47" s="6" t="s">
        <v>34</v>
      </c>
      <c r="F47" s="7">
        <f t="shared" si="0"/>
        <v>32.43317918312648</v>
      </c>
      <c r="G47" s="23" t="s">
        <v>80</v>
      </c>
      <c r="H47" s="7">
        <f t="shared" si="1"/>
        <v>16.21658959156324</v>
      </c>
      <c r="I47" s="23" t="s">
        <v>80</v>
      </c>
      <c r="J47" s="7">
        <f t="shared" si="2"/>
        <v>21.62211945541765</v>
      </c>
      <c r="K47" s="23"/>
      <c r="L47" s="23"/>
      <c r="M47" s="23"/>
      <c r="N47" s="74"/>
      <c r="O47" s="23"/>
      <c r="P47" s="74"/>
      <c r="Q47" s="23"/>
      <c r="R47" s="74"/>
      <c r="S47" s="23"/>
      <c r="T47" s="23"/>
      <c r="U47" s="23"/>
      <c r="V47" s="23"/>
      <c r="W47" s="23"/>
      <c r="X47" s="74"/>
      <c r="Y47" s="23"/>
      <c r="Z47" s="74"/>
      <c r="AA47" s="74"/>
      <c r="AB47" s="74"/>
      <c r="AC47" s="74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7"/>
      <c r="BC47" s="23"/>
      <c r="BD47" s="7"/>
      <c r="BE47" s="23"/>
      <c r="BF47" s="7"/>
      <c r="BG47" s="23"/>
      <c r="BH47" s="7"/>
      <c r="BI47" s="23"/>
      <c r="BJ47" s="56">
        <f>SUM(AT47,AL47,AD47,V47,N47,F47/2)</f>
        <v>16.21658959156324</v>
      </c>
      <c r="BK47" s="23"/>
      <c r="BL47" s="56">
        <f>SUM(AV47,AN47,AF47,X47,P47,H47)</f>
        <v>16.21658959156324</v>
      </c>
      <c r="BM47" s="23"/>
      <c r="BN47" s="56">
        <f>SUM(AX47,AP47,AH47,Z47,R47,J47)</f>
        <v>21.62211945541765</v>
      </c>
      <c r="BO47" s="23"/>
      <c r="BP47" s="7">
        <f>AVERAGE(BJ47,BL47,BN47)</f>
        <v>18.01843287951471</v>
      </c>
      <c r="BR47" s="76"/>
    </row>
    <row r="48" spans="2:70" ht="12.75">
      <c r="B48" s="6" t="s">
        <v>64</v>
      </c>
      <c r="D48" s="6" t="s">
        <v>34</v>
      </c>
      <c r="E48" s="6" t="s">
        <v>80</v>
      </c>
      <c r="F48" s="7">
        <f t="shared" si="0"/>
        <v>54.05529863854412</v>
      </c>
      <c r="G48" s="23"/>
      <c r="H48" s="7">
        <f t="shared" si="1"/>
        <v>50.001151240653314</v>
      </c>
      <c r="I48" s="23"/>
      <c r="J48" s="7">
        <f t="shared" si="2"/>
        <v>108.11059727708825</v>
      </c>
      <c r="K48" s="23"/>
      <c r="L48" s="23"/>
      <c r="M48" s="23"/>
      <c r="N48" s="74"/>
      <c r="O48" s="23"/>
      <c r="P48" s="74"/>
      <c r="Q48" s="23"/>
      <c r="R48" s="74"/>
      <c r="S48" s="23"/>
      <c r="T48" s="23"/>
      <c r="U48" s="23"/>
      <c r="V48" s="23"/>
      <c r="W48" s="23"/>
      <c r="X48" s="74"/>
      <c r="Y48" s="23"/>
      <c r="Z48" s="74"/>
      <c r="AA48" s="74"/>
      <c r="AB48" s="74"/>
      <c r="AC48" s="74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7"/>
      <c r="BC48" s="23"/>
      <c r="BD48" s="7"/>
      <c r="BE48" s="23"/>
      <c r="BF48" s="7"/>
      <c r="BG48" s="23"/>
      <c r="BH48" s="7"/>
      <c r="BI48" s="23"/>
      <c r="BJ48" s="56">
        <f>SUM(AT48,AL48,AD48,V48,N48,F48/2)</f>
        <v>27.02764931927206</v>
      </c>
      <c r="BK48" s="23"/>
      <c r="BL48" s="56">
        <f>SUM(AV48,AN48,AF48,X48,P48,H48)</f>
        <v>50.001151240653314</v>
      </c>
      <c r="BM48" s="23"/>
      <c r="BN48" s="56">
        <f>SUM(AX48,AP48,AH48,Z48,R48,J48)</f>
        <v>108.11059727708825</v>
      </c>
      <c r="BO48" s="23"/>
      <c r="BP48" s="7">
        <f>AVERAGE(BJ48,BL48,BN48)</f>
        <v>61.71313261233788</v>
      </c>
      <c r="BR48" s="76"/>
    </row>
    <row r="49" spans="2:70" ht="12.75">
      <c r="B49" s="6" t="s">
        <v>65</v>
      </c>
      <c r="D49" s="6" t="s">
        <v>34</v>
      </c>
      <c r="E49" s="6" t="s">
        <v>80</v>
      </c>
      <c r="F49" s="7">
        <f t="shared" si="0"/>
        <v>21.62211945541765</v>
      </c>
      <c r="G49" s="23" t="s">
        <v>80</v>
      </c>
      <c r="H49" s="7">
        <f t="shared" si="1"/>
        <v>16.21658959156324</v>
      </c>
      <c r="I49" s="23" t="s">
        <v>80</v>
      </c>
      <c r="J49" s="7">
        <f t="shared" si="2"/>
        <v>21.62211945541765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7"/>
      <c r="BC49" s="23"/>
      <c r="BD49" s="7"/>
      <c r="BE49" s="23"/>
      <c r="BF49" s="7"/>
      <c r="BG49" s="23"/>
      <c r="BH49" s="7"/>
      <c r="BI49" s="23"/>
      <c r="BJ49" s="56">
        <f>SUM(AT49,AL49,AD49,V49,N49,F49/2)</f>
        <v>10.811059727708825</v>
      </c>
      <c r="BK49" s="23"/>
      <c r="BL49" s="56">
        <f>SUM(AV49,AN49,AF49,X49,P49,H49)</f>
        <v>16.21658959156324</v>
      </c>
      <c r="BM49" s="23"/>
      <c r="BN49" s="56">
        <f>SUM(AX49,AP49,AH49,Z49,R49,J49)</f>
        <v>21.62211945541765</v>
      </c>
      <c r="BO49" s="23"/>
      <c r="BP49" s="7">
        <f>AVERAGE(BJ49,BL49,BN49)</f>
        <v>16.21658959156324</v>
      </c>
      <c r="BR49" s="76"/>
    </row>
    <row r="50" spans="6:70" ht="12.75">
      <c r="F50" s="23"/>
      <c r="G50" s="23"/>
      <c r="H50" s="26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7"/>
      <c r="BC50" s="23"/>
      <c r="BD50" s="7"/>
      <c r="BE50" s="23"/>
      <c r="BF50" s="7"/>
      <c r="BG50" s="23"/>
      <c r="BH50" s="7"/>
      <c r="BI50" s="23"/>
      <c r="BJ50" s="56"/>
      <c r="BK50" s="23"/>
      <c r="BL50" s="56"/>
      <c r="BM50" s="23"/>
      <c r="BN50" s="56"/>
      <c r="BO50" s="23"/>
      <c r="BP50" s="56"/>
      <c r="BR50" s="76"/>
    </row>
    <row r="51" spans="2:70" ht="12.75">
      <c r="B51" s="6" t="s">
        <v>35</v>
      </c>
      <c r="D51" s="6" t="s">
        <v>34</v>
      </c>
      <c r="F51" s="7">
        <f>F42+F44</f>
        <v>651.3663485944567</v>
      </c>
      <c r="G51" s="23"/>
      <c r="H51" s="7">
        <f>H42+H44/2</f>
        <v>322.98040936530106</v>
      </c>
      <c r="I51" s="7"/>
      <c r="J51" s="7">
        <f>J42+J44</f>
        <v>267.5737282607934</v>
      </c>
      <c r="K51" s="23"/>
      <c r="L51" s="7">
        <f>AVERAGE(J51,H51,F51)</f>
        <v>413.97349540685036</v>
      </c>
      <c r="M51" s="23"/>
      <c r="N51" s="26"/>
      <c r="O51" s="23"/>
      <c r="P51" s="26"/>
      <c r="Q51" s="23"/>
      <c r="R51" s="26"/>
      <c r="S51" s="23"/>
      <c r="T51" s="23"/>
      <c r="U51" s="23"/>
      <c r="V51" s="23"/>
      <c r="W51" s="23"/>
      <c r="X51" s="26"/>
      <c r="Y51" s="23"/>
      <c r="Z51" s="26"/>
      <c r="AA51" s="8"/>
      <c r="AB51" s="8"/>
      <c r="AC51" s="8"/>
      <c r="AD51" s="7"/>
      <c r="AE51" s="23"/>
      <c r="AF51" s="23"/>
      <c r="AG51" s="23"/>
      <c r="AH51" s="23"/>
      <c r="AI51" s="23"/>
      <c r="AJ51" s="23"/>
      <c r="AK51" s="23"/>
      <c r="AL51" s="7">
        <f>AL42</f>
        <v>18919.354523490445</v>
      </c>
      <c r="AM51" s="23"/>
      <c r="AN51" s="7">
        <f>AN42</f>
        <v>18649.078030297725</v>
      </c>
      <c r="AO51" s="23"/>
      <c r="AP51" s="7">
        <f>AP42</f>
        <v>18784.216276894083</v>
      </c>
      <c r="AQ51" s="23"/>
      <c r="AR51" s="7">
        <f>AR42</f>
        <v>18784.216276894083</v>
      </c>
      <c r="AS51" s="23"/>
      <c r="AT51" s="23"/>
      <c r="AU51" s="23"/>
      <c r="AV51" s="23"/>
      <c r="AW51" s="23"/>
      <c r="AX51" s="23"/>
      <c r="AY51" s="23"/>
      <c r="AZ51" s="23"/>
      <c r="BA51" s="23"/>
      <c r="BB51" s="7">
        <f>SUM(AT51,AL51,AD51,V51,N51)</f>
        <v>18919.354523490445</v>
      </c>
      <c r="BC51" s="23"/>
      <c r="BD51" s="7">
        <f>SUM(AV51,AN51,AF51,X51,P51)</f>
        <v>18649.078030297725</v>
      </c>
      <c r="BE51" s="23"/>
      <c r="BF51" s="7">
        <f>SUM(AX51,AP51,AH51,Z51,R51)</f>
        <v>18784.216276894083</v>
      </c>
      <c r="BG51" s="23"/>
      <c r="BH51" s="7">
        <f>SUM(AZ51,AR51,AJ51,AB51,T51)</f>
        <v>18784.216276894083</v>
      </c>
      <c r="BI51" s="23"/>
      <c r="BJ51" s="7">
        <f>SUM(AT51,AL51,AD51,V51,N51,F51)</f>
        <v>19570.7208720849</v>
      </c>
      <c r="BK51" s="23"/>
      <c r="BL51" s="7">
        <f>SUM(AV51,AN51,AF51,X51,P51,H51)</f>
        <v>18972.058439663026</v>
      </c>
      <c r="BM51" s="23"/>
      <c r="BN51" s="7">
        <f>SUM(AX51,AP51,AH51,Z51,R51,J51)</f>
        <v>19051.79000515488</v>
      </c>
      <c r="BO51" s="23"/>
      <c r="BP51" s="7">
        <f>SUM(AZ51,AR51,AJ51,AB51,T51,L51)</f>
        <v>19198.189772300935</v>
      </c>
      <c r="BR51" s="77"/>
    </row>
    <row r="52" spans="2:70" ht="12.75">
      <c r="B52" s="6" t="s">
        <v>36</v>
      </c>
      <c r="D52" s="6" t="s">
        <v>34</v>
      </c>
      <c r="F52" s="23">
        <f>F39+F41/2+F43</f>
        <v>193.7882456191807</v>
      </c>
      <c r="G52" s="23"/>
      <c r="H52" s="7">
        <f>H39/2+H41/2+H43</f>
        <v>141.63163934531542</v>
      </c>
      <c r="I52" s="7"/>
      <c r="J52" s="7">
        <f>J39/2+J41/2+J43/2</f>
        <v>87.02903080805605</v>
      </c>
      <c r="K52" s="23"/>
      <c r="L52" s="7">
        <f>AVERAGE(J52,H52,F52)</f>
        <v>140.8163052575174</v>
      </c>
      <c r="M52" s="23"/>
      <c r="N52" s="7">
        <f>N39</f>
        <v>3243.317918312647</v>
      </c>
      <c r="O52" s="23"/>
      <c r="P52" s="7">
        <f>P39</f>
        <v>3648.7326581017282</v>
      </c>
      <c r="Q52" s="23"/>
      <c r="R52" s="7">
        <f>R39</f>
        <v>2702.7649319272064</v>
      </c>
      <c r="S52" s="23"/>
      <c r="T52" s="7">
        <f>AVERAGE(R52,P52,N52)</f>
        <v>3198.271836113861</v>
      </c>
      <c r="U52" s="23"/>
      <c r="V52" s="23"/>
      <c r="W52" s="23"/>
      <c r="X52" s="7"/>
      <c r="Y52" s="23"/>
      <c r="Z52" s="7"/>
      <c r="AA52" s="8"/>
      <c r="AB52" s="8"/>
      <c r="AC52" s="8"/>
      <c r="AD52" s="7"/>
      <c r="AE52" s="23"/>
      <c r="AF52" s="23"/>
      <c r="AG52" s="23"/>
      <c r="AH52" s="23"/>
      <c r="AI52" s="23"/>
      <c r="AJ52" s="23"/>
      <c r="AK52" s="23"/>
      <c r="AL52" s="7"/>
      <c r="AM52" s="23"/>
      <c r="AN52" s="23"/>
      <c r="AO52" s="23"/>
      <c r="AP52" s="23"/>
      <c r="AQ52" s="23"/>
      <c r="AR52" s="23"/>
      <c r="AS52" s="23"/>
      <c r="AT52" s="7">
        <f>AT43</f>
        <v>22703.225428188533</v>
      </c>
      <c r="AU52" s="23"/>
      <c r="AV52" s="7">
        <f>AV43</f>
        <v>22703.225428188533</v>
      </c>
      <c r="AW52" s="23"/>
      <c r="AX52" s="7">
        <f>AX43</f>
        <v>22703.225428188533</v>
      </c>
      <c r="AY52" s="23"/>
      <c r="AZ52" s="7">
        <f>AZ43</f>
        <v>22703.225428188533</v>
      </c>
      <c r="BA52" s="7"/>
      <c r="BB52" s="7">
        <f>SUM(AT52,AL52,AD52,V52,N52)</f>
        <v>25946.54334650118</v>
      </c>
      <c r="BC52" s="7"/>
      <c r="BD52" s="7">
        <f>SUM(AV52,AN52,AF52,X52,P52)</f>
        <v>26351.958086290262</v>
      </c>
      <c r="BE52" s="7"/>
      <c r="BF52" s="7">
        <f>SUM(AX52,AP52,AH52,Z52,R52)</f>
        <v>25405.99036011574</v>
      </c>
      <c r="BG52" s="7"/>
      <c r="BH52" s="7">
        <f>SUM(AZ52,AR52,AJ52,AB52,T52)</f>
        <v>25901.497264302394</v>
      </c>
      <c r="BI52" s="23"/>
      <c r="BJ52" s="7">
        <f>SUM(AT52,AL52,AD52,V52,N52,F52)</f>
        <v>26140.33159212036</v>
      </c>
      <c r="BK52" s="23"/>
      <c r="BL52" s="7">
        <f>SUM(AV52,AN52,AF52,X52,P52,H52)</f>
        <v>26493.58972563558</v>
      </c>
      <c r="BM52" s="23"/>
      <c r="BN52" s="7">
        <f>SUM(AX52,AP52,AH52,Z52,R52,J52)</f>
        <v>25493.019390923793</v>
      </c>
      <c r="BO52" s="23"/>
      <c r="BP52" s="7">
        <f>SUM(AZ52,AR52,AJ52,AB52,T52,L52)</f>
        <v>26042.313569559912</v>
      </c>
      <c r="BR52" s="77"/>
    </row>
    <row r="53" spans="6:68" ht="12.75">
      <c r="F53" s="23"/>
      <c r="G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</row>
    <row r="54" spans="6:68" ht="12.75">
      <c r="F54" s="23"/>
      <c r="G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</row>
    <row r="55" spans="6:68" ht="12.75">
      <c r="F55" s="23"/>
      <c r="G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</row>
    <row r="56" spans="1:68" ht="12.75">
      <c r="A56" s="22" t="s">
        <v>76</v>
      </c>
      <c r="B56" s="21" t="s">
        <v>144</v>
      </c>
      <c r="C56" s="21" t="s">
        <v>75</v>
      </c>
      <c r="F56" s="24" t="s">
        <v>152</v>
      </c>
      <c r="G56" s="24"/>
      <c r="H56" s="24" t="s">
        <v>153</v>
      </c>
      <c r="I56" s="24"/>
      <c r="J56" s="24" t="s">
        <v>154</v>
      </c>
      <c r="K56" s="24"/>
      <c r="L56" s="24" t="s">
        <v>155</v>
      </c>
      <c r="N56" s="24" t="s">
        <v>152</v>
      </c>
      <c r="O56" s="24"/>
      <c r="P56" s="24" t="s">
        <v>153</v>
      </c>
      <c r="Q56" s="24"/>
      <c r="R56" s="24" t="s">
        <v>154</v>
      </c>
      <c r="S56" s="24"/>
      <c r="T56" s="24" t="s">
        <v>155</v>
      </c>
      <c r="V56" s="24" t="s">
        <v>152</v>
      </c>
      <c r="W56" s="24"/>
      <c r="X56" s="24" t="s">
        <v>153</v>
      </c>
      <c r="Y56" s="24"/>
      <c r="Z56" s="24" t="s">
        <v>154</v>
      </c>
      <c r="AA56" s="24"/>
      <c r="AB56" s="24" t="s">
        <v>155</v>
      </c>
      <c r="AD56" s="24" t="s">
        <v>152</v>
      </c>
      <c r="AE56" s="24"/>
      <c r="AF56" s="24" t="s">
        <v>153</v>
      </c>
      <c r="AG56" s="24"/>
      <c r="AH56" s="24" t="s">
        <v>154</v>
      </c>
      <c r="AI56" s="24"/>
      <c r="AJ56" s="24" t="s">
        <v>155</v>
      </c>
      <c r="AL56" s="24" t="s">
        <v>152</v>
      </c>
      <c r="AM56" s="24"/>
      <c r="AN56" s="24" t="s">
        <v>153</v>
      </c>
      <c r="AO56" s="24"/>
      <c r="AP56" s="24" t="s">
        <v>154</v>
      </c>
      <c r="AQ56" s="24"/>
      <c r="AR56" s="24" t="s">
        <v>155</v>
      </c>
      <c r="AT56" s="24" t="s">
        <v>152</v>
      </c>
      <c r="AU56" s="24"/>
      <c r="AV56" s="24" t="s">
        <v>153</v>
      </c>
      <c r="AW56" s="24"/>
      <c r="AX56" s="24" t="s">
        <v>154</v>
      </c>
      <c r="AY56" s="24"/>
      <c r="AZ56" s="24" t="s">
        <v>155</v>
      </c>
      <c r="BA56" s="24"/>
      <c r="BB56" s="24"/>
      <c r="BC56" s="24"/>
      <c r="BD56" s="24"/>
      <c r="BE56" s="24"/>
      <c r="BF56" s="24"/>
      <c r="BG56" s="24"/>
      <c r="BH56" s="24"/>
      <c r="BJ56" s="24" t="s">
        <v>152</v>
      </c>
      <c r="BK56" s="24"/>
      <c r="BL56" s="24" t="s">
        <v>153</v>
      </c>
      <c r="BM56" s="24"/>
      <c r="BN56" s="24" t="s">
        <v>154</v>
      </c>
      <c r="BO56" s="24"/>
      <c r="BP56" s="24" t="s">
        <v>155</v>
      </c>
    </row>
    <row r="57" spans="8:10" ht="12.75">
      <c r="H57" s="6"/>
      <c r="J57" s="6"/>
    </row>
    <row r="58" spans="2:12" ht="12.75">
      <c r="B58" s="6" t="s">
        <v>203</v>
      </c>
      <c r="F58" s="6" t="s">
        <v>205</v>
      </c>
      <c r="H58" s="6" t="s">
        <v>205</v>
      </c>
      <c r="J58" s="6" t="s">
        <v>205</v>
      </c>
      <c r="L58" s="6" t="s">
        <v>205</v>
      </c>
    </row>
    <row r="59" spans="2:12" ht="12.75">
      <c r="B59" s="6" t="s">
        <v>204</v>
      </c>
      <c r="F59" s="6" t="s">
        <v>206</v>
      </c>
      <c r="H59" s="6" t="s">
        <v>206</v>
      </c>
      <c r="J59" s="6" t="s">
        <v>206</v>
      </c>
      <c r="L59" s="6" t="s">
        <v>206</v>
      </c>
    </row>
    <row r="60" spans="2:20" ht="12.75">
      <c r="B60" s="6" t="s">
        <v>21</v>
      </c>
      <c r="F60" s="6" t="s">
        <v>86</v>
      </c>
      <c r="G60" s="9"/>
      <c r="H60" s="6" t="s">
        <v>86</v>
      </c>
      <c r="I60" s="23"/>
      <c r="J60" s="6" t="s">
        <v>86</v>
      </c>
      <c r="K60" s="23"/>
      <c r="L60" s="6" t="s">
        <v>86</v>
      </c>
      <c r="M60" s="23"/>
      <c r="N60" s="23"/>
      <c r="O60" s="23"/>
      <c r="P60" s="23"/>
      <c r="Q60" s="23"/>
      <c r="R60" s="23"/>
      <c r="S60" s="23"/>
      <c r="T60" s="23"/>
    </row>
    <row r="61" spans="2:92" ht="12.75">
      <c r="B61" s="6" t="s">
        <v>78</v>
      </c>
      <c r="D61" s="6" t="s">
        <v>29</v>
      </c>
      <c r="F61" s="23">
        <v>744</v>
      </c>
      <c r="G61" s="66"/>
      <c r="H61" s="66">
        <v>722</v>
      </c>
      <c r="I61" s="23"/>
      <c r="J61" s="23">
        <v>721</v>
      </c>
      <c r="K61" s="23"/>
      <c r="L61" s="8">
        <f>AVERAGE(F61,H61,J61)</f>
        <v>729</v>
      </c>
      <c r="M61" s="23"/>
      <c r="N61" s="23"/>
      <c r="O61" s="23"/>
      <c r="P61" s="23"/>
      <c r="Q61" s="23"/>
      <c r="R61" s="23"/>
      <c r="S61" s="23"/>
      <c r="T61" s="8"/>
      <c r="U61" s="23"/>
      <c r="V61" s="23"/>
      <c r="W61" s="23"/>
      <c r="X61" s="23"/>
      <c r="Y61" s="23"/>
      <c r="Z61" s="23"/>
      <c r="AA61" s="7"/>
      <c r="AB61" s="56"/>
      <c r="AC61" s="7"/>
      <c r="AD61" s="23"/>
      <c r="AE61" s="23"/>
      <c r="AF61" s="23"/>
      <c r="AG61" s="23"/>
      <c r="AH61" s="23"/>
      <c r="AI61" s="23"/>
      <c r="AJ61" s="56"/>
      <c r="AK61" s="23"/>
      <c r="AL61" s="23"/>
      <c r="AM61" s="23"/>
      <c r="AN61" s="23"/>
      <c r="AO61" s="23"/>
      <c r="AP61" s="23"/>
      <c r="AQ61" s="23"/>
      <c r="AR61" s="56"/>
      <c r="AS61" s="23"/>
      <c r="AT61" s="23"/>
      <c r="AU61" s="23"/>
      <c r="AV61" s="23"/>
      <c r="AW61" s="23"/>
      <c r="AX61" s="23"/>
      <c r="AY61" s="23"/>
      <c r="AZ61" s="56"/>
      <c r="BA61" s="56"/>
      <c r="BB61" s="56"/>
      <c r="BC61" s="56"/>
      <c r="BD61" s="56"/>
      <c r="BE61" s="56"/>
      <c r="BF61" s="56"/>
      <c r="BG61" s="56"/>
      <c r="BH61" s="56"/>
      <c r="BI61" s="23"/>
      <c r="BJ61" s="23"/>
      <c r="BK61" s="23"/>
      <c r="BL61" s="23"/>
      <c r="BM61" s="23"/>
      <c r="BN61" s="23"/>
      <c r="BO61" s="23"/>
      <c r="BP61" s="56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</row>
    <row r="62" spans="2:92" ht="12.75">
      <c r="B62" s="6" t="s">
        <v>22</v>
      </c>
      <c r="D62" s="6" t="s">
        <v>23</v>
      </c>
      <c r="F62" s="23">
        <v>2445</v>
      </c>
      <c r="G62" s="66"/>
      <c r="H62" s="23">
        <v>2413</v>
      </c>
      <c r="I62" s="23"/>
      <c r="J62" s="23">
        <v>2371</v>
      </c>
      <c r="K62" s="23"/>
      <c r="L62" s="8">
        <f>AVERAGE(F62,H62,J62)</f>
        <v>2409.6666666666665</v>
      </c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8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</row>
    <row r="63" spans="2:92" ht="12.75">
      <c r="B63" s="6" t="s">
        <v>30</v>
      </c>
      <c r="D63" s="6" t="s">
        <v>85</v>
      </c>
      <c r="F63" s="23">
        <v>0.97</v>
      </c>
      <c r="G63" s="66"/>
      <c r="H63" s="66">
        <v>0.98</v>
      </c>
      <c r="I63" s="23"/>
      <c r="J63" s="23">
        <v>0.97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8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</row>
    <row r="64" spans="2:92" ht="12.75">
      <c r="B64" s="6" t="s">
        <v>81</v>
      </c>
      <c r="D64" s="6" t="s">
        <v>82</v>
      </c>
      <c r="F64" s="23">
        <v>1.44</v>
      </c>
      <c r="G64" s="66"/>
      <c r="H64" s="66">
        <v>1.57</v>
      </c>
      <c r="I64" s="23"/>
      <c r="J64" s="23">
        <v>1.58</v>
      </c>
      <c r="K64" s="23"/>
      <c r="L64" s="23"/>
      <c r="M64" s="23"/>
      <c r="N64" s="54"/>
      <c r="O64" s="23"/>
      <c r="P64" s="23"/>
      <c r="Q64" s="23"/>
      <c r="R64" s="54"/>
      <c r="S64" s="23"/>
      <c r="T64" s="23"/>
      <c r="U64" s="23"/>
      <c r="V64" s="54"/>
      <c r="W64" s="23"/>
      <c r="X64" s="54"/>
      <c r="Y64" s="23"/>
      <c r="Z64" s="23"/>
      <c r="AA64" s="23"/>
      <c r="AB64" s="8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</row>
    <row r="65" spans="6:92" ht="12.75">
      <c r="F65" s="23"/>
      <c r="G65" s="66"/>
      <c r="H65" s="66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</row>
    <row r="66" spans="2:92" ht="12.75">
      <c r="B66" s="6" t="s">
        <v>37</v>
      </c>
      <c r="D66" s="6" t="s">
        <v>17</v>
      </c>
      <c r="F66" s="67">
        <v>3022.3333333333335</v>
      </c>
      <c r="G66" s="66"/>
      <c r="H66" s="66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</row>
    <row r="67" spans="2:92" ht="12.75">
      <c r="B67" s="6" t="s">
        <v>38</v>
      </c>
      <c r="D67" s="6" t="s">
        <v>18</v>
      </c>
      <c r="F67" s="67">
        <v>14.033333333333333</v>
      </c>
      <c r="G67" s="66"/>
      <c r="H67" s="66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</row>
    <row r="68" spans="6:92" ht="12.75">
      <c r="F68" s="23"/>
      <c r="G68" s="66"/>
      <c r="H68" s="66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</row>
    <row r="69" spans="2:92" ht="12.75">
      <c r="B69" s="6" t="s">
        <v>77</v>
      </c>
      <c r="D69" s="6" t="s">
        <v>32</v>
      </c>
      <c r="F69" s="23"/>
      <c r="G69" s="66"/>
      <c r="H69" s="66"/>
      <c r="I69" s="7"/>
      <c r="J69" s="23"/>
      <c r="K69" s="23"/>
      <c r="L69" s="26">
        <f>L61*L62/1000000</f>
        <v>1.756647</v>
      </c>
      <c r="M69" s="23"/>
      <c r="N69" s="23"/>
      <c r="O69" s="23"/>
      <c r="P69" s="23"/>
      <c r="Q69" s="23"/>
      <c r="R69" s="7"/>
      <c r="S69" s="7"/>
      <c r="T69" s="7"/>
      <c r="U69" s="7"/>
      <c r="V69" s="7"/>
      <c r="W69" s="7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56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</row>
    <row r="70" spans="2:68" ht="12.75">
      <c r="B70" s="6" t="s">
        <v>217</v>
      </c>
      <c r="D70" s="6" t="s">
        <v>32</v>
      </c>
      <c r="G70" s="9"/>
      <c r="H70" s="9"/>
      <c r="I70" s="7"/>
      <c r="J70" s="24"/>
      <c r="K70" s="24"/>
      <c r="L70" s="38">
        <f>F66/9000*(21-F67)/21*60</f>
        <v>6.684313932980601</v>
      </c>
      <c r="M70" s="24"/>
      <c r="R70" s="7"/>
      <c r="S70" s="7"/>
      <c r="T70" s="7"/>
      <c r="U70" s="7"/>
      <c r="V70" s="7"/>
      <c r="W70" s="7"/>
      <c r="BP70" s="73"/>
    </row>
    <row r="72" spans="1:92" ht="12.75">
      <c r="A72" s="22" t="s">
        <v>76</v>
      </c>
      <c r="B72" s="21" t="s">
        <v>145</v>
      </c>
      <c r="C72" s="21" t="s">
        <v>75</v>
      </c>
      <c r="F72" s="24" t="s">
        <v>152</v>
      </c>
      <c r="G72" s="24"/>
      <c r="H72" s="24" t="s">
        <v>153</v>
      </c>
      <c r="I72" s="24"/>
      <c r="J72" s="24" t="s">
        <v>154</v>
      </c>
      <c r="K72" s="24"/>
      <c r="L72" s="24" t="s">
        <v>155</v>
      </c>
      <c r="N72" s="24" t="s">
        <v>152</v>
      </c>
      <c r="O72" s="24"/>
      <c r="P72" s="24" t="s">
        <v>153</v>
      </c>
      <c r="Q72" s="24"/>
      <c r="R72" s="24" t="s">
        <v>154</v>
      </c>
      <c r="S72" s="24"/>
      <c r="T72" s="24" t="s">
        <v>155</v>
      </c>
      <c r="V72" s="24" t="s">
        <v>152</v>
      </c>
      <c r="W72" s="24"/>
      <c r="X72" s="24" t="s">
        <v>153</v>
      </c>
      <c r="Y72" s="24"/>
      <c r="Z72" s="24" t="s">
        <v>154</v>
      </c>
      <c r="AA72" s="24"/>
      <c r="AB72" s="24" t="s">
        <v>155</v>
      </c>
      <c r="AD72" s="24" t="s">
        <v>152</v>
      </c>
      <c r="AE72" s="24"/>
      <c r="AF72" s="24" t="s">
        <v>153</v>
      </c>
      <c r="AG72" s="24"/>
      <c r="AH72" s="24" t="s">
        <v>154</v>
      </c>
      <c r="AI72" s="24"/>
      <c r="AJ72" s="24" t="s">
        <v>155</v>
      </c>
      <c r="AL72" s="24" t="s">
        <v>152</v>
      </c>
      <c r="AM72" s="24"/>
      <c r="AN72" s="24" t="s">
        <v>153</v>
      </c>
      <c r="AO72" s="24"/>
      <c r="AP72" s="24" t="s">
        <v>154</v>
      </c>
      <c r="AQ72" s="24"/>
      <c r="AR72" s="24" t="s">
        <v>155</v>
      </c>
      <c r="AT72" s="24" t="s">
        <v>152</v>
      </c>
      <c r="AU72" s="24"/>
      <c r="AV72" s="24" t="s">
        <v>153</v>
      </c>
      <c r="AW72" s="24"/>
      <c r="AX72" s="24" t="s">
        <v>154</v>
      </c>
      <c r="AY72" s="24"/>
      <c r="AZ72" s="24" t="s">
        <v>155</v>
      </c>
      <c r="BA72" s="24"/>
      <c r="BB72" s="24" t="s">
        <v>152</v>
      </c>
      <c r="BC72" s="24"/>
      <c r="BD72" s="24" t="s">
        <v>153</v>
      </c>
      <c r="BE72" s="24"/>
      <c r="BF72" s="24" t="s">
        <v>154</v>
      </c>
      <c r="BG72" s="24"/>
      <c r="BH72" s="24" t="s">
        <v>155</v>
      </c>
      <c r="BJ72" s="24" t="s">
        <v>152</v>
      </c>
      <c r="BK72" s="24"/>
      <c r="BL72" s="24" t="s">
        <v>153</v>
      </c>
      <c r="BM72" s="24"/>
      <c r="BN72" s="24" t="s">
        <v>154</v>
      </c>
      <c r="BO72" s="24"/>
      <c r="BP72" s="24" t="s">
        <v>155</v>
      </c>
      <c r="BR72" s="24" t="s">
        <v>152</v>
      </c>
      <c r="BS72" s="24"/>
      <c r="BT72" s="24" t="s">
        <v>153</v>
      </c>
      <c r="BU72" s="24"/>
      <c r="BV72" s="24" t="s">
        <v>154</v>
      </c>
      <c r="BW72" s="24"/>
      <c r="BX72" s="24" t="s">
        <v>155</v>
      </c>
      <c r="BZ72" s="24" t="s">
        <v>152</v>
      </c>
      <c r="CA72" s="24"/>
      <c r="CB72" s="24" t="s">
        <v>153</v>
      </c>
      <c r="CC72" s="24"/>
      <c r="CD72" s="24" t="s">
        <v>154</v>
      </c>
      <c r="CE72" s="24"/>
      <c r="CF72" s="24" t="s">
        <v>155</v>
      </c>
      <c r="CH72" s="24" t="s">
        <v>152</v>
      </c>
      <c r="CI72" s="24"/>
      <c r="CJ72" s="24" t="s">
        <v>153</v>
      </c>
      <c r="CK72" s="24"/>
      <c r="CL72" s="24" t="s">
        <v>154</v>
      </c>
      <c r="CM72" s="24"/>
      <c r="CN72" s="24" t="s">
        <v>155</v>
      </c>
    </row>
    <row r="73" spans="8:10" ht="12.75">
      <c r="H73" s="6"/>
      <c r="J73" s="6"/>
    </row>
    <row r="74" spans="2:92" ht="12.75">
      <c r="B74" s="6" t="s">
        <v>203</v>
      </c>
      <c r="F74" s="6" t="s">
        <v>205</v>
      </c>
      <c r="H74" s="6" t="s">
        <v>205</v>
      </c>
      <c r="J74" s="6" t="s">
        <v>205</v>
      </c>
      <c r="L74" s="6" t="s">
        <v>205</v>
      </c>
      <c r="N74" s="22" t="s">
        <v>207</v>
      </c>
      <c r="P74" s="22" t="s">
        <v>207</v>
      </c>
      <c r="R74" s="22" t="s">
        <v>207</v>
      </c>
      <c r="T74" s="22" t="s">
        <v>207</v>
      </c>
      <c r="V74" s="22" t="s">
        <v>208</v>
      </c>
      <c r="X74" s="22" t="s">
        <v>208</v>
      </c>
      <c r="Z74" s="22" t="s">
        <v>208</v>
      </c>
      <c r="AB74" s="22" t="s">
        <v>208</v>
      </c>
      <c r="AD74" s="22" t="s">
        <v>209</v>
      </c>
      <c r="AF74" s="22" t="s">
        <v>209</v>
      </c>
      <c r="AH74" s="22" t="s">
        <v>209</v>
      </c>
      <c r="AJ74" s="22" t="s">
        <v>209</v>
      </c>
      <c r="AL74" s="22" t="s">
        <v>210</v>
      </c>
      <c r="AN74" s="22" t="s">
        <v>210</v>
      </c>
      <c r="AP74" s="22" t="s">
        <v>210</v>
      </c>
      <c r="AR74" s="22" t="s">
        <v>210</v>
      </c>
      <c r="AT74" s="22" t="s">
        <v>211</v>
      </c>
      <c r="AV74" s="22" t="s">
        <v>211</v>
      </c>
      <c r="AX74" s="22" t="s">
        <v>211</v>
      </c>
      <c r="AZ74" s="22" t="s">
        <v>211</v>
      </c>
      <c r="BR74" s="22" t="s">
        <v>212</v>
      </c>
      <c r="BT74" s="22" t="s">
        <v>212</v>
      </c>
      <c r="BV74" s="22" t="s">
        <v>212</v>
      </c>
      <c r="BX74" s="22" t="s">
        <v>212</v>
      </c>
      <c r="BZ74" s="22" t="s">
        <v>214</v>
      </c>
      <c r="CB74" s="22" t="s">
        <v>214</v>
      </c>
      <c r="CD74" s="22" t="s">
        <v>214</v>
      </c>
      <c r="CF74" s="22" t="s">
        <v>214</v>
      </c>
      <c r="CH74" s="22" t="s">
        <v>215</v>
      </c>
      <c r="CJ74" s="22" t="s">
        <v>215</v>
      </c>
      <c r="CL74" s="22" t="s">
        <v>215</v>
      </c>
      <c r="CN74" s="22" t="s">
        <v>215</v>
      </c>
    </row>
    <row r="75" spans="2:92" ht="12.75">
      <c r="B75" s="6" t="s">
        <v>204</v>
      </c>
      <c r="F75" s="6" t="s">
        <v>206</v>
      </c>
      <c r="H75" s="6" t="s">
        <v>206</v>
      </c>
      <c r="J75" s="6" t="s">
        <v>206</v>
      </c>
      <c r="L75" s="6" t="s">
        <v>206</v>
      </c>
      <c r="N75" s="22" t="s">
        <v>213</v>
      </c>
      <c r="P75" s="22" t="s">
        <v>213</v>
      </c>
      <c r="R75" s="22" t="s">
        <v>213</v>
      </c>
      <c r="T75" s="22" t="s">
        <v>213</v>
      </c>
      <c r="V75" s="22" t="s">
        <v>33</v>
      </c>
      <c r="X75" s="22" t="s">
        <v>33</v>
      </c>
      <c r="Z75" s="22" t="s">
        <v>33</v>
      </c>
      <c r="AB75" s="22" t="s">
        <v>33</v>
      </c>
      <c r="AD75" s="22" t="s">
        <v>33</v>
      </c>
      <c r="AF75" s="22" t="s">
        <v>33</v>
      </c>
      <c r="AH75" s="22" t="s">
        <v>33</v>
      </c>
      <c r="AJ75" s="22" t="s">
        <v>33</v>
      </c>
      <c r="AL75" s="22" t="s">
        <v>33</v>
      </c>
      <c r="AN75" s="22" t="s">
        <v>33</v>
      </c>
      <c r="AP75" s="22" t="s">
        <v>33</v>
      </c>
      <c r="AR75" s="22" t="s">
        <v>33</v>
      </c>
      <c r="AT75" s="22" t="s">
        <v>33</v>
      </c>
      <c r="AV75" s="22" t="s">
        <v>33</v>
      </c>
      <c r="AX75" s="22" t="s">
        <v>33</v>
      </c>
      <c r="AZ75" s="22" t="s">
        <v>33</v>
      </c>
      <c r="BR75" s="22" t="s">
        <v>33</v>
      </c>
      <c r="BT75" s="22" t="s">
        <v>33</v>
      </c>
      <c r="BV75" s="22" t="s">
        <v>33</v>
      </c>
      <c r="BX75" s="22" t="s">
        <v>33</v>
      </c>
      <c r="BZ75" s="22" t="s">
        <v>33</v>
      </c>
      <c r="CB75" s="22" t="s">
        <v>33</v>
      </c>
      <c r="CD75" s="22" t="s">
        <v>33</v>
      </c>
      <c r="CF75" s="22" t="s">
        <v>33</v>
      </c>
      <c r="CH75" s="22" t="s">
        <v>20</v>
      </c>
      <c r="CJ75" s="22" t="s">
        <v>20</v>
      </c>
      <c r="CL75" s="22" t="s">
        <v>20</v>
      </c>
      <c r="CN75" s="22" t="s">
        <v>20</v>
      </c>
    </row>
    <row r="76" spans="2:92" ht="12.75">
      <c r="B76" s="6" t="s">
        <v>216</v>
      </c>
      <c r="H76" s="6"/>
      <c r="J76" s="6"/>
      <c r="L76" s="6"/>
      <c r="BB76" s="22" t="s">
        <v>40</v>
      </c>
      <c r="BD76" s="22" t="s">
        <v>40</v>
      </c>
      <c r="BF76" s="22" t="s">
        <v>40</v>
      </c>
      <c r="BH76" s="22" t="s">
        <v>40</v>
      </c>
      <c r="BJ76" s="22" t="s">
        <v>33</v>
      </c>
      <c r="BL76" s="22" t="s">
        <v>33</v>
      </c>
      <c r="BN76" s="22" t="s">
        <v>33</v>
      </c>
      <c r="BP76" s="22" t="s">
        <v>33</v>
      </c>
      <c r="CH76" s="22" t="s">
        <v>20</v>
      </c>
      <c r="CJ76" s="22" t="s">
        <v>20</v>
      </c>
      <c r="CL76" s="22" t="s">
        <v>20</v>
      </c>
      <c r="CN76" s="22" t="s">
        <v>20</v>
      </c>
    </row>
    <row r="77" spans="2:92" ht="12.75">
      <c r="B77" s="6" t="s">
        <v>21</v>
      </c>
      <c r="F77" s="6" t="s">
        <v>120</v>
      </c>
      <c r="G77" s="9"/>
      <c r="H77" s="6" t="s">
        <v>120</v>
      </c>
      <c r="I77" s="23"/>
      <c r="J77" s="6" t="s">
        <v>120</v>
      </c>
      <c r="K77" s="23"/>
      <c r="L77" s="6" t="s">
        <v>120</v>
      </c>
      <c r="M77" s="23"/>
      <c r="N77" s="22" t="s">
        <v>122</v>
      </c>
      <c r="P77" s="22" t="s">
        <v>122</v>
      </c>
      <c r="R77" s="22" t="s">
        <v>122</v>
      </c>
      <c r="T77" s="22" t="s">
        <v>122</v>
      </c>
      <c r="V77" s="23" t="s">
        <v>112</v>
      </c>
      <c r="W77" s="23"/>
      <c r="X77" s="23" t="s">
        <v>112</v>
      </c>
      <c r="Y77" s="23"/>
      <c r="Z77" s="23" t="s">
        <v>112</v>
      </c>
      <c r="AA77" s="23"/>
      <c r="AB77" s="23" t="s">
        <v>112</v>
      </c>
      <c r="AD77" s="22" t="s">
        <v>115</v>
      </c>
      <c r="AF77" s="22" t="s">
        <v>115</v>
      </c>
      <c r="AH77" s="22" t="s">
        <v>115</v>
      </c>
      <c r="AJ77" s="22" t="s">
        <v>115</v>
      </c>
      <c r="AL77" s="22" t="s">
        <v>113</v>
      </c>
      <c r="AN77" s="22" t="s">
        <v>113</v>
      </c>
      <c r="AP77" s="22" t="s">
        <v>113</v>
      </c>
      <c r="AR77" s="22" t="s">
        <v>113</v>
      </c>
      <c r="AT77" s="22" t="s">
        <v>114</v>
      </c>
      <c r="AV77" s="22" t="s">
        <v>114</v>
      </c>
      <c r="AX77" s="22" t="s">
        <v>114</v>
      </c>
      <c r="AZ77" s="22" t="s">
        <v>114</v>
      </c>
      <c r="BR77" s="22" t="s">
        <v>121</v>
      </c>
      <c r="BT77" s="22" t="s">
        <v>121</v>
      </c>
      <c r="BV77" s="22" t="s">
        <v>121</v>
      </c>
      <c r="BX77" s="22" t="s">
        <v>121</v>
      </c>
      <c r="BZ77" s="22" t="s">
        <v>116</v>
      </c>
      <c r="CB77" s="22" t="s">
        <v>116</v>
      </c>
      <c r="CD77" s="22" t="s">
        <v>116</v>
      </c>
      <c r="CF77" s="22" t="s">
        <v>116</v>
      </c>
      <c r="CH77" s="22" t="s">
        <v>20</v>
      </c>
      <c r="CJ77" s="22" t="s">
        <v>20</v>
      </c>
      <c r="CL77" s="22" t="s">
        <v>20</v>
      </c>
      <c r="CN77" s="22" t="s">
        <v>20</v>
      </c>
    </row>
    <row r="78" spans="2:92" ht="12.75">
      <c r="B78" s="6" t="s">
        <v>78</v>
      </c>
      <c r="D78" s="6" t="s">
        <v>29</v>
      </c>
      <c r="F78" s="23">
        <v>151</v>
      </c>
      <c r="G78" s="9"/>
      <c r="H78" s="9">
        <v>167</v>
      </c>
      <c r="J78" s="22">
        <v>157</v>
      </c>
      <c r="L78" s="72">
        <f>AVERAGE(F78,H78,J78)</f>
        <v>158.33333333333334</v>
      </c>
      <c r="N78" s="22">
        <v>174</v>
      </c>
      <c r="P78" s="22">
        <v>133</v>
      </c>
      <c r="R78" s="22">
        <v>130</v>
      </c>
      <c r="T78" s="72">
        <f>AVERAGE(N78,P78,R78)</f>
        <v>145.66666666666666</v>
      </c>
      <c r="V78" s="22">
        <v>0.265</v>
      </c>
      <c r="X78" s="22">
        <v>0.265</v>
      </c>
      <c r="Z78" s="22">
        <v>0.227</v>
      </c>
      <c r="AA78" s="25"/>
      <c r="AB78" s="73">
        <f>AVERAGE(V78,X78,Z78)</f>
        <v>0.25233333333333335</v>
      </c>
      <c r="AC78" s="25"/>
      <c r="AD78" s="22">
        <v>19.6</v>
      </c>
      <c r="AF78" s="22">
        <v>19.6</v>
      </c>
      <c r="AH78" s="22">
        <v>16.8</v>
      </c>
      <c r="AJ78" s="73">
        <f>AVERAGE(AD78,AF78,AH78)</f>
        <v>18.666666666666668</v>
      </c>
      <c r="AL78" s="22">
        <v>196</v>
      </c>
      <c r="AN78" s="22">
        <v>196</v>
      </c>
      <c r="AP78" s="22">
        <v>168</v>
      </c>
      <c r="AR78" s="25">
        <f>AVERAGE(AL78,AN78,AP78)</f>
        <v>186.66666666666666</v>
      </c>
      <c r="AT78" s="22">
        <v>49.1</v>
      </c>
      <c r="AV78" s="22">
        <v>49.1</v>
      </c>
      <c r="AX78" s="22">
        <v>42.1</v>
      </c>
      <c r="AZ78" s="25">
        <f>AVERAGE(AT78,AV78,AX78)</f>
        <v>46.76666666666667</v>
      </c>
      <c r="BA78" s="25"/>
      <c r="BB78" s="25"/>
      <c r="BC78" s="25"/>
      <c r="BD78" s="25"/>
      <c r="BE78" s="25"/>
      <c r="BF78" s="25"/>
      <c r="BG78" s="25"/>
      <c r="BH78" s="25"/>
      <c r="BR78" s="73">
        <v>24.2</v>
      </c>
      <c r="BT78" s="22">
        <v>24.2</v>
      </c>
      <c r="BV78" s="22">
        <v>20.7</v>
      </c>
      <c r="BX78" s="25">
        <f>AVERAGE(BR78,BT78,BV78)</f>
        <v>23.03333333333333</v>
      </c>
      <c r="BZ78" s="22">
        <v>20.5</v>
      </c>
      <c r="CB78" s="22">
        <v>20.5</v>
      </c>
      <c r="CD78" s="22">
        <v>17.6</v>
      </c>
      <c r="CF78" s="25">
        <f>AVERAGE(BZ78,CB78,CD78)</f>
        <v>19.533333333333335</v>
      </c>
      <c r="CH78" s="25">
        <f>SUM(BZ78,BR78,AT78,AD78,AL78,V78,L78,F78)</f>
        <v>618.9983333333333</v>
      </c>
      <c r="CJ78" s="25">
        <f>SUM(CB78,BT78,AV78,AF78,AN78,X78,N78,H78)</f>
        <v>650.665</v>
      </c>
      <c r="CL78" s="25">
        <f>SUM(CD78,BV78,AX78,AH78,AP78,Z78,P78,J78)</f>
        <v>555.4269999999999</v>
      </c>
      <c r="CN78" s="25">
        <f>SUM(CF78,BX78,AZ78,AJ78,AR78,AB78,R78,L78)</f>
        <v>583.2523333333334</v>
      </c>
    </row>
    <row r="79" spans="2:92" ht="12.75">
      <c r="B79" s="6" t="s">
        <v>22</v>
      </c>
      <c r="D79" s="6" t="s">
        <v>23</v>
      </c>
      <c r="F79" s="23"/>
      <c r="G79" s="66"/>
      <c r="I79" s="23"/>
      <c r="J79" s="23"/>
      <c r="K79" s="23"/>
      <c r="L79" s="8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8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</row>
    <row r="80" spans="2:92" ht="12.75">
      <c r="B80" s="6" t="s">
        <v>30</v>
      </c>
      <c r="D80" s="6" t="s">
        <v>85</v>
      </c>
      <c r="F80" s="23"/>
      <c r="G80" s="66"/>
      <c r="H80" s="66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8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</row>
    <row r="81" spans="2:92" ht="12.75">
      <c r="B81" s="6" t="s">
        <v>81</v>
      </c>
      <c r="D81" s="6" t="s">
        <v>82</v>
      </c>
      <c r="F81" s="23"/>
      <c r="G81" s="66"/>
      <c r="H81" s="66"/>
      <c r="I81" s="23"/>
      <c r="J81" s="23"/>
      <c r="K81" s="23"/>
      <c r="L81" s="23"/>
      <c r="M81" s="23"/>
      <c r="N81" s="54"/>
      <c r="O81" s="23"/>
      <c r="P81" s="23"/>
      <c r="Q81" s="23"/>
      <c r="R81" s="54"/>
      <c r="S81" s="23"/>
      <c r="T81" s="23"/>
      <c r="U81" s="23"/>
      <c r="V81" s="54"/>
      <c r="W81" s="23"/>
      <c r="X81" s="54"/>
      <c r="Y81" s="23"/>
      <c r="Z81" s="23"/>
      <c r="AA81" s="23"/>
      <c r="AB81" s="8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</row>
    <row r="82" spans="2:92" ht="12.75">
      <c r="B82" s="6" t="s">
        <v>24</v>
      </c>
      <c r="D82" s="6" t="s">
        <v>29</v>
      </c>
      <c r="F82" s="23">
        <v>2.8</v>
      </c>
      <c r="G82" s="66"/>
      <c r="H82" s="66">
        <v>3.1</v>
      </c>
      <c r="I82" s="7"/>
      <c r="J82" s="23">
        <v>2.9</v>
      </c>
      <c r="K82" s="23"/>
      <c r="L82" s="7">
        <f>AVERAGE(F82,H82,J82)</f>
        <v>2.9333333333333336</v>
      </c>
      <c r="M82" s="23"/>
      <c r="N82" s="23">
        <v>98</v>
      </c>
      <c r="O82" s="23"/>
      <c r="P82" s="23">
        <v>75</v>
      </c>
      <c r="Q82" s="23"/>
      <c r="R82" s="23">
        <v>73</v>
      </c>
      <c r="S82" s="23"/>
      <c r="T82" s="8">
        <f>AVERAGE(N82,P82,R82)</f>
        <v>82</v>
      </c>
      <c r="U82" s="23"/>
      <c r="V82" s="23"/>
      <c r="W82" s="23"/>
      <c r="X82" s="23"/>
      <c r="Y82" s="23"/>
      <c r="Z82" s="23"/>
      <c r="AA82" s="23"/>
      <c r="AB82" s="56"/>
      <c r="AC82" s="23"/>
      <c r="AD82" s="23"/>
      <c r="AE82" s="23"/>
      <c r="AF82" s="23"/>
      <c r="AG82" s="23"/>
      <c r="AH82" s="23"/>
      <c r="AI82" s="23"/>
      <c r="AJ82" s="23"/>
      <c r="AK82" s="23"/>
      <c r="AL82" s="23">
        <v>80</v>
      </c>
      <c r="AM82" s="23"/>
      <c r="AN82" s="23">
        <v>80</v>
      </c>
      <c r="AO82" s="23"/>
      <c r="AP82" s="23">
        <v>68</v>
      </c>
      <c r="AQ82" s="23"/>
      <c r="AR82" s="7">
        <f>AVERAGE(AL82,AN82,AP82)</f>
        <v>76</v>
      </c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R82" s="56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7">
        <f>SUM(BZ82,BR82,AT82,AD82,AL82,V82,N82,F82)</f>
        <v>180.8</v>
      </c>
      <c r="CI82" s="23"/>
      <c r="CJ82" s="7">
        <f>SUM(CB82,BT82,AV82,AF82,AN82,X82,P82,H82)</f>
        <v>158.1</v>
      </c>
      <c r="CK82" s="23"/>
      <c r="CL82" s="7">
        <f>SUM(CD82,BV82,AX82,AH82,AP82,Z82,R82,J82)</f>
        <v>143.9</v>
      </c>
      <c r="CM82" s="23"/>
      <c r="CN82" s="7">
        <f>SUM(CF82,BX82,AZ82,AJ82,AR82,AB82,T82,L82)</f>
        <v>160.93333333333334</v>
      </c>
    </row>
    <row r="83" spans="2:92" ht="12.75">
      <c r="B83" s="6" t="s">
        <v>25</v>
      </c>
      <c r="D83" s="6" t="s">
        <v>29</v>
      </c>
      <c r="F83" s="23">
        <v>0.36</v>
      </c>
      <c r="G83" s="66"/>
      <c r="H83" s="67">
        <v>0.4</v>
      </c>
      <c r="I83" s="23"/>
      <c r="J83" s="23">
        <v>0.38</v>
      </c>
      <c r="K83" s="23"/>
      <c r="L83" s="7">
        <f>AVERAGE(F83,H83,J83)</f>
        <v>0.38000000000000006</v>
      </c>
      <c r="M83" s="23"/>
      <c r="N83" s="56">
        <v>0.035</v>
      </c>
      <c r="O83" s="7"/>
      <c r="P83" s="23">
        <v>0.027</v>
      </c>
      <c r="Q83" s="23"/>
      <c r="R83" s="23">
        <v>0.026</v>
      </c>
      <c r="S83" s="23"/>
      <c r="T83" s="56">
        <f>AVERAGE(N83,P83,R83)</f>
        <v>0.029333333333333333</v>
      </c>
      <c r="U83" s="23"/>
      <c r="V83" s="23"/>
      <c r="W83" s="23"/>
      <c r="X83" s="23"/>
      <c r="Y83" s="23"/>
      <c r="Z83" s="23"/>
      <c r="AA83" s="26"/>
      <c r="AB83" s="23"/>
      <c r="AC83" s="26"/>
      <c r="AD83" s="23"/>
      <c r="AE83" s="23"/>
      <c r="AF83" s="23"/>
      <c r="AG83" s="23"/>
      <c r="AH83" s="23"/>
      <c r="AI83" s="23"/>
      <c r="AJ83" s="56"/>
      <c r="AK83" s="23"/>
      <c r="AL83" s="23"/>
      <c r="AM83" s="23"/>
      <c r="AN83" s="23"/>
      <c r="AO83" s="23"/>
      <c r="AP83" s="23"/>
      <c r="AQ83" s="23"/>
      <c r="AR83" s="23"/>
      <c r="AS83" s="23"/>
      <c r="AT83" s="23">
        <v>41.02</v>
      </c>
      <c r="AU83" s="23"/>
      <c r="AV83" s="23">
        <v>41.02</v>
      </c>
      <c r="AW83" s="23"/>
      <c r="AX83" s="23">
        <v>35.15</v>
      </c>
      <c r="AY83" s="23"/>
      <c r="AZ83" s="56">
        <f>AVERAGE(AT83,AV83,AX83)</f>
        <v>39.06333333333333</v>
      </c>
      <c r="BA83" s="56"/>
      <c r="BB83" s="56"/>
      <c r="BC83" s="56"/>
      <c r="BD83" s="56"/>
      <c r="BE83" s="56"/>
      <c r="BF83" s="56"/>
      <c r="BG83" s="56"/>
      <c r="BH83" s="56"/>
      <c r="BI83" s="23"/>
      <c r="BJ83" s="23"/>
      <c r="BK83" s="23"/>
      <c r="BL83" s="23"/>
      <c r="BM83" s="23"/>
      <c r="BN83" s="23"/>
      <c r="BO83" s="23"/>
      <c r="BR83" s="56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7">
        <f>SUM(BZ83,BR83,AT83,AD83,AL83,V83,N83,F83)</f>
        <v>41.415</v>
      </c>
      <c r="CI83" s="23"/>
      <c r="CJ83" s="7">
        <f>SUM(CB83,BT83,AV83,AF83,AN83,X83,P83,H83)</f>
        <v>41.447</v>
      </c>
      <c r="CK83" s="23"/>
      <c r="CL83" s="7">
        <f>SUM(CD83,BV83,AX83,AH83,AP83,Z83,R83,J83)</f>
        <v>35.556000000000004</v>
      </c>
      <c r="CM83" s="23"/>
      <c r="CN83" s="7">
        <f>SUM(CF83,BX83,AZ83,AJ83,AR83,AB83,T83,L83)</f>
        <v>39.47266666666667</v>
      </c>
    </row>
    <row r="84" spans="2:92" ht="12.75">
      <c r="B84" s="6" t="s">
        <v>56</v>
      </c>
      <c r="D84" s="6" t="s">
        <v>29</v>
      </c>
      <c r="F84" s="39">
        <v>8.29E-05</v>
      </c>
      <c r="G84" s="23"/>
      <c r="H84" s="78">
        <v>9.19E-05</v>
      </c>
      <c r="I84" s="23"/>
      <c r="J84" s="39">
        <v>8.65E-05</v>
      </c>
      <c r="K84" s="23"/>
      <c r="L84" s="68"/>
      <c r="M84" s="23"/>
      <c r="N84" s="39">
        <v>8E-05</v>
      </c>
      <c r="O84" s="23"/>
      <c r="P84" s="39">
        <v>6.11E-05</v>
      </c>
      <c r="Q84" s="23"/>
      <c r="R84" s="39">
        <v>5.97E-05</v>
      </c>
      <c r="S84" s="23"/>
      <c r="T84" s="56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R84" s="56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</row>
    <row r="85" spans="2:92" ht="12.75">
      <c r="B85" s="6" t="s">
        <v>57</v>
      </c>
      <c r="D85" s="6" t="s">
        <v>29</v>
      </c>
      <c r="F85" s="39">
        <v>0.000274</v>
      </c>
      <c r="G85" s="23"/>
      <c r="H85" s="78">
        <v>0.000304</v>
      </c>
      <c r="I85" s="23"/>
      <c r="J85" s="39">
        <v>0.000286</v>
      </c>
      <c r="K85" s="23"/>
      <c r="L85" s="68"/>
      <c r="M85" s="23"/>
      <c r="N85" s="39">
        <v>0.000197</v>
      </c>
      <c r="O85" s="23"/>
      <c r="P85" s="39">
        <v>0.00015</v>
      </c>
      <c r="Q85" s="23"/>
      <c r="R85" s="39">
        <v>0.000147</v>
      </c>
      <c r="S85" s="23"/>
      <c r="T85" s="56"/>
      <c r="U85" s="23"/>
      <c r="V85" s="23">
        <v>0.029</v>
      </c>
      <c r="W85" s="23"/>
      <c r="X85" s="23">
        <v>0.029</v>
      </c>
      <c r="Y85" s="23"/>
      <c r="Z85" s="23">
        <v>0.025</v>
      </c>
      <c r="AA85" s="23"/>
      <c r="AB85" s="56">
        <f>AVERAGE(V85,X85,Z85)</f>
        <v>0.02766666666666667</v>
      </c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R85" s="56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</row>
    <row r="86" spans="2:92" ht="12.75">
      <c r="B86" s="6" t="s">
        <v>58</v>
      </c>
      <c r="D86" s="6" t="s">
        <v>29</v>
      </c>
      <c r="F86" s="39">
        <v>0.000435</v>
      </c>
      <c r="G86" s="23"/>
      <c r="H86" s="78">
        <v>0.000483</v>
      </c>
      <c r="I86" s="23"/>
      <c r="J86" s="39">
        <v>0.000454</v>
      </c>
      <c r="K86" s="23"/>
      <c r="L86" s="68"/>
      <c r="M86" s="23"/>
      <c r="N86" s="39">
        <v>0.0031</v>
      </c>
      <c r="O86" s="23"/>
      <c r="P86" s="57">
        <v>0.00237</v>
      </c>
      <c r="Q86" s="23"/>
      <c r="R86" s="57">
        <v>0.00231</v>
      </c>
      <c r="S86" s="54"/>
      <c r="T86" s="56"/>
      <c r="U86" s="54"/>
      <c r="V86" s="54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</row>
    <row r="87" spans="2:92" ht="12.75">
      <c r="B87" s="6" t="s">
        <v>59</v>
      </c>
      <c r="D87" s="6" t="s">
        <v>29</v>
      </c>
      <c r="F87" s="39">
        <v>6.78E-05</v>
      </c>
      <c r="G87" s="23"/>
      <c r="H87" s="78">
        <v>7.52E-05</v>
      </c>
      <c r="I87" s="23"/>
      <c r="J87" s="39">
        <v>7.07E-05</v>
      </c>
      <c r="K87" s="23"/>
      <c r="L87" s="23"/>
      <c r="M87" s="23"/>
      <c r="N87" s="57">
        <v>7.31E-05</v>
      </c>
      <c r="O87" s="23"/>
      <c r="P87" s="57">
        <v>5.58E-05</v>
      </c>
      <c r="Q87" s="23"/>
      <c r="R87" s="57">
        <v>5.46E-05</v>
      </c>
      <c r="S87" s="54"/>
      <c r="T87" s="56"/>
      <c r="U87" s="54"/>
      <c r="V87" s="54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</row>
    <row r="88" spans="2:92" ht="12.75">
      <c r="B88" s="6" t="s">
        <v>60</v>
      </c>
      <c r="D88" s="6" t="s">
        <v>29</v>
      </c>
      <c r="F88" s="39">
        <v>4.97E-05</v>
      </c>
      <c r="G88" s="23"/>
      <c r="H88" s="78">
        <v>5.51E-05</v>
      </c>
      <c r="I88" s="23"/>
      <c r="J88" s="39">
        <v>5.19E-05</v>
      </c>
      <c r="K88" s="23"/>
      <c r="L88" s="23"/>
      <c r="M88" s="23"/>
      <c r="N88" s="57">
        <v>0.000327</v>
      </c>
      <c r="O88" s="23"/>
      <c r="P88" s="39">
        <v>0.00025</v>
      </c>
      <c r="Q88" s="23"/>
      <c r="R88" s="57">
        <v>0.000244</v>
      </c>
      <c r="S88" s="54"/>
      <c r="T88" s="56"/>
      <c r="U88" s="54"/>
      <c r="V88" s="54"/>
      <c r="W88" s="23"/>
      <c r="X88" s="23"/>
      <c r="Y88" s="23"/>
      <c r="Z88" s="23"/>
      <c r="AA88" s="23"/>
      <c r="AB88" s="23"/>
      <c r="AC88" s="23"/>
      <c r="AD88" s="23">
        <v>0.14</v>
      </c>
      <c r="AE88" s="23"/>
      <c r="AF88" s="23">
        <v>0.14</v>
      </c>
      <c r="AG88" s="23"/>
      <c r="AH88" s="23">
        <v>0.12</v>
      </c>
      <c r="AI88" s="23"/>
      <c r="AJ88" s="56">
        <f>AVERAGE(AD88,AF88,AH88)</f>
        <v>0.13333333333333333</v>
      </c>
      <c r="AK88" s="23"/>
      <c r="AL88" s="23"/>
      <c r="AM88" s="23"/>
      <c r="AN88" s="23"/>
      <c r="AO88" s="23"/>
      <c r="AP88" s="23"/>
      <c r="AQ88" s="23"/>
      <c r="AR88" s="56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R88" s="56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</row>
    <row r="89" spans="2:92" ht="12.75">
      <c r="B89" s="6" t="s">
        <v>73</v>
      </c>
      <c r="D89" s="6" t="s">
        <v>29</v>
      </c>
      <c r="F89" s="39">
        <v>6.63E-05</v>
      </c>
      <c r="G89" s="23"/>
      <c r="H89" s="69">
        <v>7.35E-05</v>
      </c>
      <c r="I89" s="23"/>
      <c r="J89" s="39">
        <v>6.92E-05</v>
      </c>
      <c r="K89" s="23"/>
      <c r="L89" s="23"/>
      <c r="M89" s="23"/>
      <c r="N89" s="57">
        <v>0.000134</v>
      </c>
      <c r="O89" s="23"/>
      <c r="P89" s="39">
        <v>0.000102</v>
      </c>
      <c r="Q89" s="23"/>
      <c r="R89" s="57">
        <v>0.0001</v>
      </c>
      <c r="S89" s="54"/>
      <c r="T89" s="56"/>
      <c r="U89" s="54"/>
      <c r="V89" s="54"/>
      <c r="W89" s="23"/>
      <c r="X89" s="23"/>
      <c r="Y89" s="23"/>
      <c r="Z89" s="23"/>
      <c r="AA89" s="26"/>
      <c r="AB89" s="23"/>
      <c r="AC89" s="26"/>
      <c r="AD89" s="23"/>
      <c r="AE89" s="23"/>
      <c r="AF89" s="23"/>
      <c r="AG89" s="23"/>
      <c r="AH89" s="23"/>
      <c r="AI89" s="23"/>
      <c r="AJ89" s="26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56"/>
      <c r="BA89" s="56"/>
      <c r="BB89" s="56"/>
      <c r="BC89" s="56"/>
      <c r="BD89" s="56"/>
      <c r="BE89" s="56"/>
      <c r="BF89" s="56"/>
      <c r="BG89" s="56"/>
      <c r="BH89" s="56"/>
      <c r="BI89" s="23"/>
      <c r="BJ89" s="23"/>
      <c r="BK89" s="23"/>
      <c r="BL89" s="23"/>
      <c r="BM89" s="23"/>
      <c r="BN89" s="23"/>
      <c r="BO89" s="23"/>
      <c r="BR89" s="56"/>
      <c r="BS89" s="23"/>
      <c r="BT89" s="23"/>
      <c r="BU89" s="23"/>
      <c r="BV89" s="23"/>
      <c r="BW89" s="23"/>
      <c r="BX89" s="23"/>
      <c r="BY89" s="23"/>
      <c r="BZ89" s="23">
        <v>0.162</v>
      </c>
      <c r="CA89" s="23"/>
      <c r="CB89" s="23">
        <v>0.162</v>
      </c>
      <c r="CC89" s="23"/>
      <c r="CD89" s="23">
        <v>0.164</v>
      </c>
      <c r="CE89" s="23"/>
      <c r="CF89" s="56">
        <f>AVERAGE(BZ89,CB89,CD89)</f>
        <v>0.16266666666666665</v>
      </c>
      <c r="CG89" s="23"/>
      <c r="CH89" s="23"/>
      <c r="CI89" s="23"/>
      <c r="CJ89" s="23"/>
      <c r="CK89" s="23"/>
      <c r="CL89" s="23"/>
      <c r="CM89" s="23"/>
      <c r="CN89" s="23"/>
    </row>
    <row r="90" spans="2:92" ht="12.75">
      <c r="B90" s="6" t="s">
        <v>55</v>
      </c>
      <c r="D90" s="6" t="s">
        <v>29</v>
      </c>
      <c r="F90" s="39">
        <v>0.000248</v>
      </c>
      <c r="G90" s="23"/>
      <c r="H90" s="78">
        <v>0.000274</v>
      </c>
      <c r="I90" s="23"/>
      <c r="J90" s="39">
        <v>0.000257</v>
      </c>
      <c r="K90" s="23"/>
      <c r="L90" s="23"/>
      <c r="M90" s="23"/>
      <c r="N90" s="39">
        <v>0.00285</v>
      </c>
      <c r="O90" s="23"/>
      <c r="P90" s="39">
        <v>0.00218</v>
      </c>
      <c r="Q90" s="23"/>
      <c r="R90" s="57">
        <v>0.00213</v>
      </c>
      <c r="S90" s="54"/>
      <c r="T90" s="23"/>
      <c r="U90" s="54"/>
      <c r="V90" s="54"/>
      <c r="W90" s="23"/>
      <c r="X90" s="23"/>
      <c r="Y90" s="23"/>
      <c r="Z90" s="23"/>
      <c r="AA90" s="26"/>
      <c r="AB90" s="23"/>
      <c r="AC90" s="26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</row>
    <row r="91" spans="2:92" ht="12.75">
      <c r="B91" s="6" t="s">
        <v>61</v>
      </c>
      <c r="D91" s="6" t="s">
        <v>29</v>
      </c>
      <c r="F91" s="39">
        <v>1.66E-05</v>
      </c>
      <c r="G91" s="23"/>
      <c r="H91" s="70">
        <v>1.84E-05</v>
      </c>
      <c r="I91" s="23"/>
      <c r="J91" s="39">
        <v>1.73E-05</v>
      </c>
      <c r="K91" s="23"/>
      <c r="L91" s="23"/>
      <c r="M91" s="23"/>
      <c r="N91" s="39">
        <v>2.78E-05</v>
      </c>
      <c r="O91" s="23"/>
      <c r="P91" s="39">
        <v>2.13E-05</v>
      </c>
      <c r="Q91" s="23"/>
      <c r="R91" s="39">
        <v>2.08E-05</v>
      </c>
      <c r="S91" s="23"/>
      <c r="T91" s="23"/>
      <c r="U91" s="23"/>
      <c r="V91" s="23"/>
      <c r="W91" s="23"/>
      <c r="X91" s="7"/>
      <c r="Y91" s="23"/>
      <c r="Z91" s="23"/>
      <c r="AA91" s="56"/>
      <c r="AB91" s="23"/>
      <c r="AC91" s="56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</row>
    <row r="92" spans="2:92" ht="12.75">
      <c r="B92" s="6" t="s">
        <v>64</v>
      </c>
      <c r="D92" s="6" t="s">
        <v>29</v>
      </c>
      <c r="F92" s="39">
        <v>4.67E-05</v>
      </c>
      <c r="G92" s="23"/>
      <c r="H92" s="71">
        <v>5.18E-05</v>
      </c>
      <c r="I92" s="23"/>
      <c r="J92" s="55">
        <v>4.87E-05</v>
      </c>
      <c r="K92" s="23"/>
      <c r="L92" s="68"/>
      <c r="M92" s="23"/>
      <c r="N92" s="39">
        <v>4E-05</v>
      </c>
      <c r="O92" s="23"/>
      <c r="P92" s="39">
        <v>3.06E-05</v>
      </c>
      <c r="Q92" s="23"/>
      <c r="R92" s="57">
        <v>2.99E-05</v>
      </c>
      <c r="S92" s="54"/>
      <c r="T92" s="23"/>
      <c r="U92" s="54"/>
      <c r="V92" s="54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</row>
    <row r="93" spans="2:92" ht="12.75">
      <c r="B93" s="6" t="s">
        <v>65</v>
      </c>
      <c r="D93" s="6" t="s">
        <v>29</v>
      </c>
      <c r="F93" s="39">
        <v>0.000331</v>
      </c>
      <c r="G93" s="23"/>
      <c r="H93" s="71">
        <v>0.000368</v>
      </c>
      <c r="I93" s="23"/>
      <c r="J93" s="39">
        <v>0.000346</v>
      </c>
      <c r="K93" s="23"/>
      <c r="L93" s="68"/>
      <c r="M93" s="23"/>
      <c r="N93" s="39">
        <v>0.000268</v>
      </c>
      <c r="O93" s="23"/>
      <c r="P93" s="39">
        <v>0.000205</v>
      </c>
      <c r="Q93" s="23"/>
      <c r="R93" s="57">
        <v>0.0002</v>
      </c>
      <c r="S93" s="54"/>
      <c r="T93" s="23"/>
      <c r="U93" s="54"/>
      <c r="V93" s="54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</row>
    <row r="94" spans="7:13" ht="12.75">
      <c r="G94" s="9"/>
      <c r="H94" s="9"/>
      <c r="I94" s="23"/>
      <c r="J94" s="24"/>
      <c r="K94" s="24"/>
      <c r="L94" s="24"/>
      <c r="M94" s="24"/>
    </row>
    <row r="95" spans="2:92" ht="12.75">
      <c r="B95" s="6" t="s">
        <v>37</v>
      </c>
      <c r="D95" s="6" t="s">
        <v>17</v>
      </c>
      <c r="F95" s="79">
        <v>3073.6666666666665</v>
      </c>
      <c r="G95" s="9"/>
      <c r="H95" s="9"/>
      <c r="I95" s="23"/>
      <c r="J95" s="24"/>
      <c r="K95" s="24"/>
      <c r="L95" s="24"/>
      <c r="M95" s="24"/>
      <c r="CH95" s="72">
        <f>'emiss 1'!G113</f>
        <v>3020</v>
      </c>
      <c r="CJ95" s="72">
        <f>'emiss 1'!I113</f>
        <v>3021</v>
      </c>
      <c r="CL95" s="72">
        <f>'emiss 1'!K113</f>
        <v>2608</v>
      </c>
      <c r="CN95" s="72">
        <f>'emiss 1'!M113</f>
        <v>2883</v>
      </c>
    </row>
    <row r="96" spans="2:92" ht="12.75">
      <c r="B96" s="6" t="s">
        <v>38</v>
      </c>
      <c r="D96" s="6" t="s">
        <v>18</v>
      </c>
      <c r="F96" s="79">
        <v>13.466666666666669</v>
      </c>
      <c r="G96" s="9"/>
      <c r="H96" s="9"/>
      <c r="I96" s="23"/>
      <c r="J96" s="24"/>
      <c r="K96" s="24"/>
      <c r="L96" s="24"/>
      <c r="M96" s="24"/>
      <c r="CH96" s="72">
        <f>'emiss 1'!G114</f>
        <v>13.4</v>
      </c>
      <c r="CJ96" s="72">
        <f>'emiss 1'!I114</f>
        <v>13.6</v>
      </c>
      <c r="CL96" s="72">
        <f>'emiss 1'!K114</f>
        <v>14.2</v>
      </c>
      <c r="CN96" s="72">
        <f>'emiss 1'!M114</f>
        <v>13.733333333333333</v>
      </c>
    </row>
    <row r="97" spans="7:13" ht="12.75">
      <c r="G97" s="9"/>
      <c r="H97" s="9"/>
      <c r="I97" s="23"/>
      <c r="J97" s="24"/>
      <c r="K97" s="24"/>
      <c r="L97" s="24"/>
      <c r="M97" s="24"/>
    </row>
    <row r="98" spans="2:70" ht="12.75">
      <c r="B98" s="6" t="s">
        <v>77</v>
      </c>
      <c r="D98" s="6" t="s">
        <v>32</v>
      </c>
      <c r="G98" s="9"/>
      <c r="H98" s="9"/>
      <c r="I98" s="7"/>
      <c r="J98" s="24"/>
      <c r="K98" s="24"/>
      <c r="L98" s="38">
        <f>L78*L79/1000000</f>
        <v>0</v>
      </c>
      <c r="M98" s="24"/>
      <c r="R98" s="25"/>
      <c r="S98" s="25"/>
      <c r="T98" s="25"/>
      <c r="U98" s="25"/>
      <c r="V98" s="25"/>
      <c r="W98" s="25"/>
      <c r="BR98" s="73"/>
    </row>
    <row r="99" spans="2:92" ht="12.75">
      <c r="B99" s="6" t="s">
        <v>217</v>
      </c>
      <c r="D99" s="6" t="s">
        <v>32</v>
      </c>
      <c r="G99" s="9"/>
      <c r="H99" s="9"/>
      <c r="I99" s="7"/>
      <c r="J99" s="24"/>
      <c r="K99" s="24"/>
      <c r="L99" s="38">
        <f>F95/9000*(21-F96)/21*60</f>
        <v>7.350779541446206</v>
      </c>
      <c r="M99" s="24"/>
      <c r="R99" s="7"/>
      <c r="S99" s="7"/>
      <c r="T99" s="7"/>
      <c r="U99" s="7"/>
      <c r="V99" s="7"/>
      <c r="W99" s="7"/>
      <c r="BR99" s="73"/>
      <c r="CN99" s="25">
        <f>SUM(CF99,BX99,AZ99,AJ99,AR99,AB99,R99,L99)</f>
        <v>7.350779541446206</v>
      </c>
    </row>
    <row r="100" spans="7:23" ht="12.75">
      <c r="G100" s="9"/>
      <c r="H100" s="9"/>
      <c r="I100" s="7"/>
      <c r="J100" s="24"/>
      <c r="K100" s="24"/>
      <c r="L100" s="24"/>
      <c r="M100" s="24"/>
      <c r="R100" s="7"/>
      <c r="S100" s="7"/>
      <c r="T100" s="7"/>
      <c r="U100" s="7"/>
      <c r="V100" s="7"/>
      <c r="W100" s="7"/>
    </row>
    <row r="101" spans="2:92" ht="12.75">
      <c r="B101" s="30" t="s">
        <v>49</v>
      </c>
      <c r="C101" s="30"/>
      <c r="G101" s="9"/>
      <c r="H101" s="9"/>
      <c r="I101" s="7"/>
      <c r="J101" s="24"/>
      <c r="K101" s="24"/>
      <c r="L101" s="24"/>
      <c r="M101" s="24"/>
      <c r="R101" s="7"/>
      <c r="S101" s="7"/>
      <c r="T101" s="7"/>
      <c r="U101" s="7"/>
      <c r="V101" s="7"/>
      <c r="W101" s="7"/>
      <c r="CN101" s="25"/>
    </row>
    <row r="102" spans="2:92" ht="12.75">
      <c r="B102" s="6" t="s">
        <v>24</v>
      </c>
      <c r="D102" s="6" t="s">
        <v>39</v>
      </c>
      <c r="F102" s="7">
        <f>F82*454/60/0.0283/$F$95*(21-7)/(21-$F$96)*1000</f>
        <v>452.6476627604945</v>
      </c>
      <c r="G102" s="67"/>
      <c r="H102" s="7">
        <f>H82*454/60/0.0283/$F$95*(21-7)/(21-$F$96)*1000</f>
        <v>501.1456266276905</v>
      </c>
      <c r="I102" s="7"/>
      <c r="J102" s="7">
        <f>J82*454/60/0.0283/$F$95*(21-7)/(21-$F$96)*1000</f>
        <v>468.81365071622645</v>
      </c>
      <c r="K102" s="23"/>
      <c r="L102" s="7">
        <f>AVERAGE(J102,H102,F102)</f>
        <v>474.20231336813714</v>
      </c>
      <c r="M102" s="23"/>
      <c r="N102" s="7">
        <f>N82*454/60/0.0283/$F$95*(21-7)/(21-$F$96)*1000</f>
        <v>15842.66819661731</v>
      </c>
      <c r="O102" s="23"/>
      <c r="P102" s="7">
        <f>P82*454/60/0.0283/$F$95*(21-7)/(21-$F$96)*1000</f>
        <v>12124.490966798961</v>
      </c>
      <c r="Q102" s="7"/>
      <c r="R102" s="7">
        <f>R82*454/60/0.0283/$F$95*(21-7)/(21-$F$96)*1000</f>
        <v>11801.171207684323</v>
      </c>
      <c r="S102" s="7"/>
      <c r="T102" s="7">
        <f>AVERAGE(R102,P102,N102)</f>
        <v>13256.110123700199</v>
      </c>
      <c r="U102" s="23"/>
      <c r="V102" s="7"/>
      <c r="W102" s="23"/>
      <c r="X102" s="7"/>
      <c r="Y102" s="23"/>
      <c r="Z102" s="7"/>
      <c r="AA102" s="23"/>
      <c r="AB102" s="7"/>
      <c r="AC102" s="23"/>
      <c r="AD102" s="7"/>
      <c r="AE102" s="23"/>
      <c r="AF102" s="7"/>
      <c r="AG102" s="23"/>
      <c r="AH102" s="7"/>
      <c r="AI102" s="23"/>
      <c r="AJ102" s="7"/>
      <c r="AK102" s="23"/>
      <c r="AL102" s="7">
        <f>AL82*454/60/0.0283/$F$95*(21-7)/(21-$F$96)*1000</f>
        <v>12932.79036458556</v>
      </c>
      <c r="AM102" s="23"/>
      <c r="AN102" s="7">
        <f>AN82*454/60/0.0283/$F$95*(21-7)/(21-$F$96)*1000</f>
        <v>12932.79036458556</v>
      </c>
      <c r="AO102" s="23"/>
      <c r="AP102" s="7">
        <f>AP82*454/60/0.0283/$F$95*(21-7)/(21-$F$96)*1000</f>
        <v>10992.871809897724</v>
      </c>
      <c r="AQ102" s="23"/>
      <c r="AR102" s="7">
        <f>AR82*454/60/0.0283/$F$95*(21-7)/(21-$F$96)*1000</f>
        <v>12286.150846356282</v>
      </c>
      <c r="AS102" s="23"/>
      <c r="AT102" s="23"/>
      <c r="AU102" s="23"/>
      <c r="AV102" s="23"/>
      <c r="AW102" s="23"/>
      <c r="AX102" s="23"/>
      <c r="AY102" s="23"/>
      <c r="AZ102" s="23"/>
      <c r="BA102" s="23"/>
      <c r="BB102" s="7">
        <f>SUM(F102,N102)</f>
        <v>16295.315859377804</v>
      </c>
      <c r="BC102" s="23"/>
      <c r="BD102" s="7">
        <f>SUM(H102,P102)</f>
        <v>12625.636593426652</v>
      </c>
      <c r="BE102" s="23"/>
      <c r="BF102" s="7">
        <f>SUM(J102,R102)</f>
        <v>12269.98485840055</v>
      </c>
      <c r="BG102" s="23"/>
      <c r="BH102" s="7">
        <f>SUM(L102,T102)</f>
        <v>13730.312437068336</v>
      </c>
      <c r="BI102" s="23"/>
      <c r="BJ102" s="7">
        <f>SUM(AT102,AL102,AD102,V102,BR102,BZ102)</f>
        <v>12932.79036458556</v>
      </c>
      <c r="BK102" s="23"/>
      <c r="BL102" s="7">
        <f>SUM(AV102,AN102,AF102,X102,BT102,CB102)</f>
        <v>12932.79036458556</v>
      </c>
      <c r="BM102" s="23"/>
      <c r="BN102" s="7">
        <f>SUM(AX102,AP102,AH102,Z102,BV102,CD102)</f>
        <v>10992.871809897724</v>
      </c>
      <c r="BO102" s="23"/>
      <c r="BP102" s="7">
        <f>SUM(AZ102,AR102,AJ102,AB102,BX102,CF102)</f>
        <v>12286.150846356282</v>
      </c>
      <c r="BR102" s="7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7">
        <f aca="true" t="shared" si="6" ref="CH102:CN116">SUM(BZ102,BR102,AT102,AD102,AL102,V102,N102,F102)</f>
        <v>29228.10622396336</v>
      </c>
      <c r="CI102" s="23"/>
      <c r="CJ102" s="7">
        <f t="shared" si="6"/>
        <v>25558.426958012213</v>
      </c>
      <c r="CK102" s="23"/>
      <c r="CL102" s="7">
        <f t="shared" si="6"/>
        <v>23262.856668298275</v>
      </c>
      <c r="CM102" s="23"/>
      <c r="CN102" s="7">
        <f t="shared" si="6"/>
        <v>26016.463283424615</v>
      </c>
    </row>
    <row r="103" spans="2:92" ht="12.75">
      <c r="B103" s="6" t="s">
        <v>25</v>
      </c>
      <c r="D103" s="6" t="s">
        <v>34</v>
      </c>
      <c r="F103" s="7">
        <f>F83*454/60/0.0283/$F$95*(21-7)/(21-$F$96)*1000000</f>
        <v>58197.556640635004</v>
      </c>
      <c r="G103" s="67"/>
      <c r="H103" s="7">
        <f>H83*454/60/0.0283/$F$95*(21-7)/(21-$F$96)*1000000</f>
        <v>64663.95182292779</v>
      </c>
      <c r="I103" s="7"/>
      <c r="J103" s="7">
        <f aca="true" t="shared" si="7" ref="J103:J113">J83*454/60/0.0283/$F$95*(21-7)/(21-$F$96)*1000000</f>
        <v>61430.75423178139</v>
      </c>
      <c r="K103" s="8"/>
      <c r="L103" s="7">
        <f>AVERAGE(J103,H103,F103)</f>
        <v>61430.7542317814</v>
      </c>
      <c r="M103" s="8"/>
      <c r="N103" s="7">
        <f>N83*454/60/0.0283/$F$95*(21-7)/(21-$F$96)*1000000</f>
        <v>5658.095784506182</v>
      </c>
      <c r="O103" s="23"/>
      <c r="P103" s="7">
        <f>P83*454/60/0.0283/$F$95*(21-7)/(21-$F$96)*1000000</f>
        <v>4364.816748047626</v>
      </c>
      <c r="Q103" s="23"/>
      <c r="R103" s="7">
        <f>R83*454/60/0.0283/$F$95*(21-7)/(21-$F$96)*1000000</f>
        <v>4203.156868490307</v>
      </c>
      <c r="S103" s="7"/>
      <c r="T103" s="7">
        <f>AVERAGE(R103,P103,N103)</f>
        <v>4742.023133681371</v>
      </c>
      <c r="U103" s="23"/>
      <c r="V103" s="7"/>
      <c r="W103" s="23"/>
      <c r="X103" s="7"/>
      <c r="Y103" s="23"/>
      <c r="Z103" s="7"/>
      <c r="AA103" s="74"/>
      <c r="AB103" s="7"/>
      <c r="AC103" s="74"/>
      <c r="AD103" s="7"/>
      <c r="AE103" s="23"/>
      <c r="AF103" s="7"/>
      <c r="AG103" s="23"/>
      <c r="AH103" s="7"/>
      <c r="AI103" s="23"/>
      <c r="AJ103" s="7"/>
      <c r="AK103" s="23"/>
      <c r="AL103" s="7"/>
      <c r="AM103" s="23"/>
      <c r="AN103" s="23"/>
      <c r="AO103" s="23"/>
      <c r="AP103" s="23"/>
      <c r="AQ103" s="23"/>
      <c r="AR103" s="23"/>
      <c r="AS103" s="23"/>
      <c r="AT103" s="7">
        <f>AT83*454/60/0.0283/$F$95*(21-7)/(21-$F$96)*1000000</f>
        <v>6631288.259441246</v>
      </c>
      <c r="AU103" s="23"/>
      <c r="AV103" s="7">
        <f>AV83*454/60/0.0283/$F$95*(21-7)/(21-$F$96)*1000000</f>
        <v>6631288.259441246</v>
      </c>
      <c r="AW103" s="23"/>
      <c r="AX103" s="7">
        <f>AX83*454/60/0.0283/$F$95*(21-7)/(21-$F$96)*1000000</f>
        <v>5682344.766439779</v>
      </c>
      <c r="AY103" s="23"/>
      <c r="AZ103" s="7">
        <f>AZ83*454/60/0.0283/$F$95*(21-7)/(21-$F$96)*1000000</f>
        <v>6314973.761774091</v>
      </c>
      <c r="BA103" s="7"/>
      <c r="BB103" s="7">
        <f aca="true" t="shared" si="8" ref="BB103:BH115">SUM(F103,N103)</f>
        <v>63855.65242514119</v>
      </c>
      <c r="BC103" s="7"/>
      <c r="BD103" s="7">
        <f t="shared" si="8"/>
        <v>69028.76857097542</v>
      </c>
      <c r="BE103" s="7"/>
      <c r="BF103" s="7">
        <f t="shared" si="8"/>
        <v>65633.9111002717</v>
      </c>
      <c r="BG103" s="7"/>
      <c r="BH103" s="7">
        <f t="shared" si="8"/>
        <v>66172.77736546277</v>
      </c>
      <c r="BI103" s="23"/>
      <c r="BJ103" s="7">
        <f aca="true" t="shared" si="9" ref="BJ103:BP116">SUM(AT103,AL103,AD103,V103,BR103,BZ103)</f>
        <v>6631288.259441246</v>
      </c>
      <c r="BK103" s="23"/>
      <c r="BL103" s="7">
        <f t="shared" si="9"/>
        <v>6631288.259441246</v>
      </c>
      <c r="BM103" s="23"/>
      <c r="BN103" s="7">
        <f t="shared" si="9"/>
        <v>5682344.766439779</v>
      </c>
      <c r="BO103" s="23"/>
      <c r="BP103" s="7">
        <f t="shared" si="9"/>
        <v>6314973.761774091</v>
      </c>
      <c r="BR103" s="7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7">
        <f t="shared" si="6"/>
        <v>6695143.911866387</v>
      </c>
      <c r="CI103" s="23"/>
      <c r="CJ103" s="7">
        <f t="shared" si="6"/>
        <v>6700317.028012222</v>
      </c>
      <c r="CK103" s="23"/>
      <c r="CL103" s="7">
        <f t="shared" si="6"/>
        <v>5747978.677540051</v>
      </c>
      <c r="CM103" s="23"/>
      <c r="CN103" s="7">
        <f t="shared" si="6"/>
        <v>6381146.539139554</v>
      </c>
    </row>
    <row r="104" spans="2:92" ht="12.75">
      <c r="B104" s="6" t="s">
        <v>56</v>
      </c>
      <c r="D104" s="6" t="s">
        <v>34</v>
      </c>
      <c r="F104" s="7">
        <f aca="true" t="shared" si="10" ref="F104:H113">F84*454/60/0.0283/$F$95*(21-7)/(21-$F$96)*1000000</f>
        <v>13.401604015301784</v>
      </c>
      <c r="G104" s="23"/>
      <c r="H104" s="7">
        <f t="shared" si="10"/>
        <v>14.85654293131766</v>
      </c>
      <c r="I104" s="23"/>
      <c r="J104" s="7">
        <f t="shared" si="7"/>
        <v>13.983579581708137</v>
      </c>
      <c r="K104" s="23"/>
      <c r="L104" s="7">
        <f aca="true" t="shared" si="11" ref="L104:L116">AVERAGE(J104,H104,F104)</f>
        <v>14.080575509442527</v>
      </c>
      <c r="M104" s="23"/>
      <c r="N104" s="7">
        <f aca="true" t="shared" si="12" ref="N104:N113">N84*454/60/0.0283/$F$95*(21-7)/(21-$F$96)*1000000</f>
        <v>12.932790364585559</v>
      </c>
      <c r="O104" s="23"/>
      <c r="P104" s="7">
        <f aca="true" t="shared" si="13" ref="P104:P113">P84*454/60/0.0283/$F$95*(21-7)/(21-$F$96)*1000000</f>
        <v>9.877418640952218</v>
      </c>
      <c r="Q104" s="23"/>
      <c r="R104" s="7">
        <f aca="true" t="shared" si="14" ref="R104:R113">R84*454/60/0.0283/$F$95*(21-7)/(21-$F$96)*1000000</f>
        <v>9.651094809571974</v>
      </c>
      <c r="S104" s="23"/>
      <c r="T104" s="7">
        <f aca="true" t="shared" si="15" ref="T104:T116">AVERAGE(R104,P104,N104)</f>
        <v>10.820434605036583</v>
      </c>
      <c r="U104" s="23"/>
      <c r="V104" s="23"/>
      <c r="W104" s="23"/>
      <c r="X104" s="74"/>
      <c r="Y104" s="23"/>
      <c r="Z104" s="74"/>
      <c r="AA104" s="74"/>
      <c r="AB104" s="74"/>
      <c r="AC104" s="74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7">
        <f t="shared" si="8"/>
        <v>26.334394379887343</v>
      </c>
      <c r="BC104" s="23"/>
      <c r="BD104" s="7">
        <f t="shared" si="8"/>
        <v>24.733961572269877</v>
      </c>
      <c r="BE104" s="23"/>
      <c r="BF104" s="7">
        <f t="shared" si="8"/>
        <v>23.63467439128011</v>
      </c>
      <c r="BG104" s="23"/>
      <c r="BH104" s="7">
        <f t="shared" si="8"/>
        <v>24.90101011447911</v>
      </c>
      <c r="BI104" s="23"/>
      <c r="BJ104" s="7">
        <f t="shared" si="9"/>
        <v>0</v>
      </c>
      <c r="BK104" s="23"/>
      <c r="BL104" s="7">
        <f t="shared" si="9"/>
        <v>0</v>
      </c>
      <c r="BM104" s="23"/>
      <c r="BN104" s="7">
        <f t="shared" si="9"/>
        <v>0</v>
      </c>
      <c r="BO104" s="23"/>
      <c r="BP104" s="7">
        <f t="shared" si="9"/>
        <v>0</v>
      </c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7">
        <f t="shared" si="6"/>
        <v>26.334394379887343</v>
      </c>
      <c r="CI104" s="23"/>
      <c r="CJ104" s="7">
        <f t="shared" si="6"/>
        <v>24.733961572269877</v>
      </c>
      <c r="CK104" s="23"/>
      <c r="CL104" s="7">
        <f t="shared" si="6"/>
        <v>23.63467439128011</v>
      </c>
      <c r="CM104" s="23"/>
      <c r="CN104" s="7">
        <f t="shared" si="6"/>
        <v>24.90101011447911</v>
      </c>
    </row>
    <row r="105" spans="2:92" ht="12.75">
      <c r="B105" s="6" t="s">
        <v>57</v>
      </c>
      <c r="D105" s="6" t="s">
        <v>34</v>
      </c>
      <c r="F105" s="7">
        <f t="shared" si="10"/>
        <v>44.29480699870554</v>
      </c>
      <c r="G105" s="23"/>
      <c r="H105" s="7">
        <f t="shared" si="10"/>
        <v>49.14460338542512</v>
      </c>
      <c r="I105" s="23"/>
      <c r="J105" s="7">
        <f t="shared" si="7"/>
        <v>46.234725553393375</v>
      </c>
      <c r="K105" s="23"/>
      <c r="L105" s="7">
        <f t="shared" si="11"/>
        <v>46.55804531250802</v>
      </c>
      <c r="M105" s="23"/>
      <c r="N105" s="7">
        <f t="shared" si="12"/>
        <v>31.846996272791937</v>
      </c>
      <c r="O105" s="23"/>
      <c r="P105" s="7">
        <f t="shared" si="13"/>
        <v>24.24898193359792</v>
      </c>
      <c r="Q105" s="23"/>
      <c r="R105" s="7">
        <f t="shared" si="14"/>
        <v>23.764002294925962</v>
      </c>
      <c r="S105" s="23"/>
      <c r="T105" s="7">
        <f t="shared" si="15"/>
        <v>26.619993500438607</v>
      </c>
      <c r="U105" s="23"/>
      <c r="V105" s="7">
        <f>V85*454/60/0.0283/$F$95*(21-7)/(21-$F$96)*1000000</f>
        <v>4688.136507162265</v>
      </c>
      <c r="W105" s="23"/>
      <c r="X105" s="7">
        <f>X85*454/60/0.0283/$F$95*(21-7)/(21-$F$96)*1000000</f>
        <v>4688.136507162265</v>
      </c>
      <c r="Y105" s="23"/>
      <c r="Z105" s="7">
        <f>Z85*454/60/0.0283/$F$95*(21-7)/(21-$F$96)*1000000</f>
        <v>4041.496988932987</v>
      </c>
      <c r="AA105" s="74"/>
      <c r="AB105" s="7">
        <f>AB85*454/60/0.0283/$F$95*(21-7)/(21-$F$96)*1000000</f>
        <v>4472.59000108584</v>
      </c>
      <c r="AC105" s="74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7">
        <f t="shared" si="8"/>
        <v>76.14180327149748</v>
      </c>
      <c r="BC105" s="23"/>
      <c r="BD105" s="7">
        <f t="shared" si="8"/>
        <v>73.39358531902305</v>
      </c>
      <c r="BE105" s="23"/>
      <c r="BF105" s="7">
        <f t="shared" si="8"/>
        <v>69.99872784831933</v>
      </c>
      <c r="BG105" s="23"/>
      <c r="BH105" s="7">
        <f t="shared" si="8"/>
        <v>73.17803881294662</v>
      </c>
      <c r="BI105" s="23"/>
      <c r="BJ105" s="7">
        <f t="shared" si="9"/>
        <v>4688.136507162265</v>
      </c>
      <c r="BK105" s="23"/>
      <c r="BL105" s="7">
        <f t="shared" si="9"/>
        <v>4688.136507162265</v>
      </c>
      <c r="BM105" s="23"/>
      <c r="BN105" s="7">
        <f t="shared" si="9"/>
        <v>4041.496988932987</v>
      </c>
      <c r="BO105" s="23"/>
      <c r="BP105" s="7">
        <f t="shared" si="9"/>
        <v>4472.59000108584</v>
      </c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7">
        <f t="shared" si="6"/>
        <v>4764.278310433762</v>
      </c>
      <c r="CI105" s="23"/>
      <c r="CJ105" s="7">
        <f t="shared" si="6"/>
        <v>4761.530092481288</v>
      </c>
      <c r="CK105" s="23"/>
      <c r="CL105" s="7">
        <f t="shared" si="6"/>
        <v>4111.495716781306</v>
      </c>
      <c r="CM105" s="23"/>
      <c r="CN105" s="7">
        <f t="shared" si="6"/>
        <v>4545.768039898787</v>
      </c>
    </row>
    <row r="106" spans="2:92" ht="12.75">
      <c r="B106" s="6" t="s">
        <v>58</v>
      </c>
      <c r="D106" s="6" t="s">
        <v>34</v>
      </c>
      <c r="F106" s="7">
        <f t="shared" si="10"/>
        <v>70.32204760743397</v>
      </c>
      <c r="G106" s="23"/>
      <c r="H106" s="7">
        <f t="shared" si="10"/>
        <v>78.08172182618529</v>
      </c>
      <c r="I106" s="23"/>
      <c r="J106" s="7">
        <f t="shared" si="7"/>
        <v>73.39358531902303</v>
      </c>
      <c r="K106" s="23"/>
      <c r="L106" s="7">
        <f t="shared" si="11"/>
        <v>73.93245158421409</v>
      </c>
      <c r="M106" s="23"/>
      <c r="N106" s="7">
        <f t="shared" si="12"/>
        <v>501.1456266276903</v>
      </c>
      <c r="O106" s="23"/>
      <c r="P106" s="7">
        <f t="shared" si="13"/>
        <v>383.1339145508472</v>
      </c>
      <c r="Q106" s="23"/>
      <c r="R106" s="7">
        <f t="shared" si="14"/>
        <v>373.434321777408</v>
      </c>
      <c r="S106" s="23"/>
      <c r="T106" s="7">
        <f t="shared" si="15"/>
        <v>419.23795431864846</v>
      </c>
      <c r="U106" s="23"/>
      <c r="V106" s="23"/>
      <c r="W106" s="23"/>
      <c r="X106" s="74"/>
      <c r="Y106" s="23"/>
      <c r="Z106" s="74"/>
      <c r="AA106" s="74"/>
      <c r="AB106" s="74"/>
      <c r="AC106" s="74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7">
        <f t="shared" si="8"/>
        <v>571.4676742351243</v>
      </c>
      <c r="BC106" s="23"/>
      <c r="BD106" s="7">
        <f t="shared" si="8"/>
        <v>461.21563637703247</v>
      </c>
      <c r="BE106" s="23"/>
      <c r="BF106" s="7">
        <f t="shared" si="8"/>
        <v>446.82790709643103</v>
      </c>
      <c r="BG106" s="23"/>
      <c r="BH106" s="7">
        <f t="shared" si="8"/>
        <v>493.17040590286257</v>
      </c>
      <c r="BI106" s="23"/>
      <c r="BJ106" s="7">
        <f t="shared" si="9"/>
        <v>0</v>
      </c>
      <c r="BK106" s="23"/>
      <c r="BL106" s="7">
        <f t="shared" si="9"/>
        <v>0</v>
      </c>
      <c r="BM106" s="23"/>
      <c r="BN106" s="7">
        <f t="shared" si="9"/>
        <v>0</v>
      </c>
      <c r="BO106" s="23"/>
      <c r="BP106" s="7">
        <f t="shared" si="9"/>
        <v>0</v>
      </c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7">
        <f t="shared" si="6"/>
        <v>571.4676742351243</v>
      </c>
      <c r="CI106" s="23"/>
      <c r="CJ106" s="7">
        <f t="shared" si="6"/>
        <v>461.21563637703247</v>
      </c>
      <c r="CK106" s="23"/>
      <c r="CL106" s="7">
        <f t="shared" si="6"/>
        <v>446.82790709643103</v>
      </c>
      <c r="CM106" s="23"/>
      <c r="CN106" s="7">
        <f t="shared" si="6"/>
        <v>493.17040590286257</v>
      </c>
    </row>
    <row r="107" spans="2:92" ht="12.75">
      <c r="B107" s="6" t="s">
        <v>59</v>
      </c>
      <c r="D107" s="6" t="s">
        <v>34</v>
      </c>
      <c r="F107" s="7">
        <f t="shared" si="10"/>
        <v>10.96053983398626</v>
      </c>
      <c r="G107" s="23"/>
      <c r="H107" s="7">
        <f t="shared" si="10"/>
        <v>12.156822942710425</v>
      </c>
      <c r="I107" s="23"/>
      <c r="J107" s="7">
        <f t="shared" si="7"/>
        <v>11.429353484702483</v>
      </c>
      <c r="K107" s="23"/>
      <c r="L107" s="7">
        <f t="shared" si="11"/>
        <v>11.515572087133057</v>
      </c>
      <c r="M107" s="23"/>
      <c r="N107" s="7">
        <f t="shared" si="12"/>
        <v>11.817337195640054</v>
      </c>
      <c r="O107" s="23"/>
      <c r="P107" s="7">
        <f t="shared" si="13"/>
        <v>9.020621279298426</v>
      </c>
      <c r="Q107" s="23"/>
      <c r="R107" s="7">
        <f t="shared" si="14"/>
        <v>8.826629423829644</v>
      </c>
      <c r="S107" s="23"/>
      <c r="T107" s="7">
        <f t="shared" si="15"/>
        <v>9.88819596625604</v>
      </c>
      <c r="U107" s="23"/>
      <c r="V107" s="23"/>
      <c r="W107" s="23"/>
      <c r="X107" s="74"/>
      <c r="Y107" s="23"/>
      <c r="Z107" s="74"/>
      <c r="AA107" s="74"/>
      <c r="AB107" s="74"/>
      <c r="AC107" s="74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7">
        <f t="shared" si="8"/>
        <v>22.777877029626314</v>
      </c>
      <c r="BC107" s="23"/>
      <c r="BD107" s="7">
        <f t="shared" si="8"/>
        <v>21.17744422200885</v>
      </c>
      <c r="BE107" s="23"/>
      <c r="BF107" s="7">
        <f t="shared" si="8"/>
        <v>20.255982908532125</v>
      </c>
      <c r="BG107" s="23"/>
      <c r="BH107" s="7">
        <f t="shared" si="8"/>
        <v>21.403768053389097</v>
      </c>
      <c r="BI107" s="23"/>
      <c r="BJ107" s="7">
        <f t="shared" si="9"/>
        <v>0</v>
      </c>
      <c r="BK107" s="23"/>
      <c r="BL107" s="7">
        <f t="shared" si="9"/>
        <v>0</v>
      </c>
      <c r="BM107" s="23"/>
      <c r="BN107" s="7">
        <f t="shared" si="9"/>
        <v>0</v>
      </c>
      <c r="BO107" s="23"/>
      <c r="BP107" s="7">
        <f t="shared" si="9"/>
        <v>0</v>
      </c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7">
        <f t="shared" si="6"/>
        <v>22.777877029626314</v>
      </c>
      <c r="CI107" s="23"/>
      <c r="CJ107" s="7">
        <f t="shared" si="6"/>
        <v>21.17744422200885</v>
      </c>
      <c r="CK107" s="23"/>
      <c r="CL107" s="7">
        <f t="shared" si="6"/>
        <v>20.255982908532125</v>
      </c>
      <c r="CM107" s="23"/>
      <c r="CN107" s="7">
        <f t="shared" si="6"/>
        <v>21.403768053389097</v>
      </c>
    </row>
    <row r="108" spans="2:92" ht="12.75">
      <c r="B108" s="6" t="s">
        <v>60</v>
      </c>
      <c r="D108" s="6" t="s">
        <v>34</v>
      </c>
      <c r="F108" s="7">
        <f t="shared" si="10"/>
        <v>8.03449601399878</v>
      </c>
      <c r="G108" s="23"/>
      <c r="H108" s="7">
        <f t="shared" si="10"/>
        <v>8.907459363608304</v>
      </c>
      <c r="I108" s="23"/>
      <c r="J108" s="7">
        <f t="shared" si="7"/>
        <v>8.39014774902488</v>
      </c>
      <c r="K108" s="23"/>
      <c r="L108" s="7">
        <f t="shared" si="11"/>
        <v>8.444034375543987</v>
      </c>
      <c r="M108" s="23"/>
      <c r="N108" s="7">
        <f t="shared" si="12"/>
        <v>52.862780615243466</v>
      </c>
      <c r="O108" s="23"/>
      <c r="P108" s="7">
        <f t="shared" si="13"/>
        <v>40.41496988932987</v>
      </c>
      <c r="Q108" s="23"/>
      <c r="R108" s="7">
        <f t="shared" si="14"/>
        <v>39.44501061198594</v>
      </c>
      <c r="S108" s="23"/>
      <c r="T108" s="7">
        <f t="shared" si="15"/>
        <v>44.24092037218643</v>
      </c>
      <c r="U108" s="23"/>
      <c r="V108" s="23"/>
      <c r="W108" s="23"/>
      <c r="X108" s="74"/>
      <c r="Y108" s="23"/>
      <c r="Z108" s="74"/>
      <c r="AA108" s="74"/>
      <c r="AB108" s="74"/>
      <c r="AC108" s="74"/>
      <c r="AD108" s="7">
        <f>AD88*454/60/0.0283/$F$95*(21-7)/(21-$F$96)*1000000</f>
        <v>22632.38313802473</v>
      </c>
      <c r="AE108" s="23"/>
      <c r="AF108" s="7">
        <f>AF88*454/60/0.0283/$F$95*(21-7)/(21-$F$96)*1000000</f>
        <v>22632.38313802473</v>
      </c>
      <c r="AG108" s="23"/>
      <c r="AH108" s="7">
        <f>AH88*454/60/0.0283/$F$95*(21-7)/(21-$F$96)*1000000</f>
        <v>19399.18554687834</v>
      </c>
      <c r="AI108" s="23"/>
      <c r="AJ108" s="7">
        <f>AJ88*454/60/0.0283/$F$95*(21-7)/(21-$F$96)*1000000</f>
        <v>21554.650607642598</v>
      </c>
      <c r="AK108" s="23"/>
      <c r="AL108" s="7"/>
      <c r="AM108" s="23"/>
      <c r="AN108" s="7"/>
      <c r="AO108" s="23"/>
      <c r="AP108" s="7"/>
      <c r="AQ108" s="23"/>
      <c r="AR108" s="7"/>
      <c r="AS108" s="23"/>
      <c r="AT108" s="23"/>
      <c r="AU108" s="23"/>
      <c r="AV108" s="23"/>
      <c r="AW108" s="23"/>
      <c r="AX108" s="23"/>
      <c r="AY108" s="23"/>
      <c r="AZ108" s="23"/>
      <c r="BA108" s="23"/>
      <c r="BB108" s="7">
        <f t="shared" si="8"/>
        <v>60.89727662924224</v>
      </c>
      <c r="BC108" s="23"/>
      <c r="BD108" s="7">
        <f t="shared" si="8"/>
        <v>49.32242925293817</v>
      </c>
      <c r="BE108" s="23"/>
      <c r="BF108" s="7">
        <f t="shared" si="8"/>
        <v>47.835158361010826</v>
      </c>
      <c r="BG108" s="23"/>
      <c r="BH108" s="7">
        <f t="shared" si="8"/>
        <v>52.684954747730416</v>
      </c>
      <c r="BI108" s="23"/>
      <c r="BJ108" s="7">
        <f t="shared" si="9"/>
        <v>22632.38313802473</v>
      </c>
      <c r="BK108" s="23"/>
      <c r="BL108" s="7">
        <f t="shared" si="9"/>
        <v>22632.38313802473</v>
      </c>
      <c r="BM108" s="23"/>
      <c r="BN108" s="7">
        <f t="shared" si="9"/>
        <v>19399.18554687834</v>
      </c>
      <c r="BO108" s="23"/>
      <c r="BP108" s="7">
        <f t="shared" si="9"/>
        <v>21554.650607642598</v>
      </c>
      <c r="BR108" s="56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7">
        <f t="shared" si="6"/>
        <v>22693.28041465397</v>
      </c>
      <c r="CI108" s="23"/>
      <c r="CJ108" s="7">
        <f t="shared" si="6"/>
        <v>22681.705567277666</v>
      </c>
      <c r="CK108" s="23"/>
      <c r="CL108" s="7">
        <f t="shared" si="6"/>
        <v>19447.020705239353</v>
      </c>
      <c r="CM108" s="23"/>
      <c r="CN108" s="7">
        <f t="shared" si="6"/>
        <v>21607.33556239033</v>
      </c>
    </row>
    <row r="109" spans="2:92" ht="12.75">
      <c r="B109" s="6" t="s">
        <v>73</v>
      </c>
      <c r="D109" s="6" t="s">
        <v>34</v>
      </c>
      <c r="F109" s="7">
        <f t="shared" si="10"/>
        <v>10.71805001465028</v>
      </c>
      <c r="G109" s="23"/>
      <c r="H109" s="7">
        <f t="shared" si="10"/>
        <v>11.882001147462981</v>
      </c>
      <c r="I109" s="23"/>
      <c r="J109" s="7">
        <f t="shared" si="7"/>
        <v>11.186863665366507</v>
      </c>
      <c r="K109" s="23"/>
      <c r="L109" s="7">
        <f t="shared" si="11"/>
        <v>11.262304942493257</v>
      </c>
      <c r="M109" s="23"/>
      <c r="N109" s="7">
        <f t="shared" si="12"/>
        <v>21.662423860680814</v>
      </c>
      <c r="O109" s="23"/>
      <c r="P109" s="7">
        <f t="shared" si="13"/>
        <v>16.48930771484659</v>
      </c>
      <c r="Q109" s="23"/>
      <c r="R109" s="7">
        <f t="shared" si="14"/>
        <v>16.16598795573195</v>
      </c>
      <c r="S109" s="7"/>
      <c r="T109" s="7">
        <f t="shared" si="15"/>
        <v>18.105906510419786</v>
      </c>
      <c r="U109" s="23"/>
      <c r="V109" s="23"/>
      <c r="W109" s="23"/>
      <c r="X109" s="74"/>
      <c r="Y109" s="23"/>
      <c r="Z109" s="74"/>
      <c r="AA109" s="74"/>
      <c r="AB109" s="74"/>
      <c r="AC109" s="74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7"/>
      <c r="AU109" s="23"/>
      <c r="AV109" s="7"/>
      <c r="AW109" s="23"/>
      <c r="AX109" s="7"/>
      <c r="AY109" s="23"/>
      <c r="AZ109" s="7"/>
      <c r="BA109" s="7"/>
      <c r="BB109" s="7">
        <f t="shared" si="8"/>
        <v>32.38047387533109</v>
      </c>
      <c r="BC109" s="7"/>
      <c r="BD109" s="7">
        <f t="shared" si="8"/>
        <v>28.37130886230957</v>
      </c>
      <c r="BE109" s="7"/>
      <c r="BF109" s="7">
        <f t="shared" si="8"/>
        <v>27.35285162109846</v>
      </c>
      <c r="BG109" s="7"/>
      <c r="BH109" s="7">
        <f t="shared" si="8"/>
        <v>29.368211452913044</v>
      </c>
      <c r="BI109" s="23"/>
      <c r="BJ109" s="7">
        <f t="shared" si="9"/>
        <v>26188.90048828575</v>
      </c>
      <c r="BK109" s="23"/>
      <c r="BL109" s="7">
        <f t="shared" si="9"/>
        <v>26188.90048828575</v>
      </c>
      <c r="BM109" s="23"/>
      <c r="BN109" s="7">
        <f t="shared" si="9"/>
        <v>26512.220247400393</v>
      </c>
      <c r="BO109" s="23"/>
      <c r="BP109" s="7">
        <f t="shared" si="9"/>
        <v>26296.673741323964</v>
      </c>
      <c r="BR109" s="7"/>
      <c r="BS109" s="23"/>
      <c r="BT109" s="23"/>
      <c r="BU109" s="23"/>
      <c r="BV109" s="23"/>
      <c r="BW109" s="23"/>
      <c r="BX109" s="23"/>
      <c r="BY109" s="23"/>
      <c r="BZ109" s="7">
        <f>BZ89*454/60/0.0283/$F$95*(21-7)/(21-$F$96)*1000000</f>
        <v>26188.90048828575</v>
      </c>
      <c r="CA109" s="23"/>
      <c r="CB109" s="7">
        <f>CB89*454/60/0.0283/$F$95*(21-7)/(21-$F$96)*1000000</f>
        <v>26188.90048828575</v>
      </c>
      <c r="CC109" s="23"/>
      <c r="CD109" s="7">
        <f>CD89*454/60/0.0283/$F$95*(21-7)/(21-$F$96)*1000000</f>
        <v>26512.220247400393</v>
      </c>
      <c r="CE109" s="23"/>
      <c r="CF109" s="7">
        <f>CF89*454/60/0.0283/$F$95*(21-7)/(21-$F$96)*1000000</f>
        <v>26296.673741323964</v>
      </c>
      <c r="CG109" s="23"/>
      <c r="CH109" s="7">
        <f t="shared" si="6"/>
        <v>26221.280962161083</v>
      </c>
      <c r="CI109" s="23"/>
      <c r="CJ109" s="7">
        <f t="shared" si="6"/>
        <v>26217.271797148063</v>
      </c>
      <c r="CK109" s="23"/>
      <c r="CL109" s="7">
        <f t="shared" si="6"/>
        <v>26539.573099021494</v>
      </c>
      <c r="CM109" s="23"/>
      <c r="CN109" s="7">
        <f t="shared" si="6"/>
        <v>26326.04195277688</v>
      </c>
    </row>
    <row r="110" spans="2:92" ht="12.75">
      <c r="B110" s="6" t="s">
        <v>55</v>
      </c>
      <c r="D110" s="6" t="s">
        <v>34</v>
      </c>
      <c r="F110" s="7">
        <f t="shared" si="10"/>
        <v>40.091650130215235</v>
      </c>
      <c r="G110" s="23"/>
      <c r="H110" s="7">
        <f t="shared" si="10"/>
        <v>44.29480699870554</v>
      </c>
      <c r="I110" s="23"/>
      <c r="J110" s="7">
        <f t="shared" si="7"/>
        <v>41.546589046231105</v>
      </c>
      <c r="K110" s="23"/>
      <c r="L110" s="7">
        <f t="shared" si="11"/>
        <v>41.977682058383955</v>
      </c>
      <c r="M110" s="23"/>
      <c r="N110" s="7">
        <f t="shared" si="12"/>
        <v>460.73065673836066</v>
      </c>
      <c r="O110" s="23"/>
      <c r="P110" s="7">
        <f t="shared" si="13"/>
        <v>352.4185374349565</v>
      </c>
      <c r="Q110" s="23"/>
      <c r="R110" s="7">
        <f t="shared" si="14"/>
        <v>344.3355434570905</v>
      </c>
      <c r="S110" s="23"/>
      <c r="T110" s="7">
        <f t="shared" si="15"/>
        <v>385.82824587680255</v>
      </c>
      <c r="U110" s="23"/>
      <c r="V110" s="23"/>
      <c r="W110" s="23"/>
      <c r="X110" s="74"/>
      <c r="Y110" s="23"/>
      <c r="Z110" s="74"/>
      <c r="AA110" s="74"/>
      <c r="AB110" s="74"/>
      <c r="AC110" s="74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7">
        <f t="shared" si="8"/>
        <v>500.8223068685759</v>
      </c>
      <c r="BC110" s="23"/>
      <c r="BD110" s="7">
        <f t="shared" si="8"/>
        <v>396.71334443366203</v>
      </c>
      <c r="BE110" s="23"/>
      <c r="BF110" s="7">
        <f t="shared" si="8"/>
        <v>385.8821325033216</v>
      </c>
      <c r="BG110" s="23"/>
      <c r="BH110" s="7">
        <f t="shared" si="8"/>
        <v>427.8059279351865</v>
      </c>
      <c r="BI110" s="23"/>
      <c r="BJ110" s="7">
        <f t="shared" si="9"/>
        <v>0</v>
      </c>
      <c r="BK110" s="23"/>
      <c r="BL110" s="7">
        <f t="shared" si="9"/>
        <v>0</v>
      </c>
      <c r="BM110" s="23"/>
      <c r="BN110" s="7">
        <f t="shared" si="9"/>
        <v>0</v>
      </c>
      <c r="BO110" s="23"/>
      <c r="BP110" s="7">
        <f t="shared" si="9"/>
        <v>0</v>
      </c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7">
        <f t="shared" si="6"/>
        <v>500.8223068685759</v>
      </c>
      <c r="CI110" s="23"/>
      <c r="CJ110" s="7">
        <f t="shared" si="6"/>
        <v>396.71334443366203</v>
      </c>
      <c r="CK110" s="23"/>
      <c r="CL110" s="7">
        <f t="shared" si="6"/>
        <v>385.8821325033216</v>
      </c>
      <c r="CM110" s="23"/>
      <c r="CN110" s="7">
        <f t="shared" si="6"/>
        <v>427.8059279351865</v>
      </c>
    </row>
    <row r="111" spans="2:92" ht="12.75">
      <c r="B111" s="6" t="s">
        <v>61</v>
      </c>
      <c r="D111" s="6" t="s">
        <v>34</v>
      </c>
      <c r="F111" s="7">
        <f t="shared" si="10"/>
        <v>2.6835540006515033</v>
      </c>
      <c r="G111" s="23"/>
      <c r="H111" s="7">
        <f t="shared" si="10"/>
        <v>2.9745417838546784</v>
      </c>
      <c r="I111" s="23"/>
      <c r="J111" s="7">
        <f t="shared" si="7"/>
        <v>2.796715916341627</v>
      </c>
      <c r="K111" s="23"/>
      <c r="L111" s="7">
        <f t="shared" si="11"/>
        <v>2.8182705669492694</v>
      </c>
      <c r="M111" s="23"/>
      <c r="N111" s="7">
        <f t="shared" si="12"/>
        <v>4.494144651693482</v>
      </c>
      <c r="O111" s="23"/>
      <c r="P111" s="7">
        <f t="shared" si="13"/>
        <v>3.4433554345709054</v>
      </c>
      <c r="Q111" s="23"/>
      <c r="R111" s="7">
        <f t="shared" si="14"/>
        <v>3.362525494792245</v>
      </c>
      <c r="S111" s="26"/>
      <c r="T111" s="7">
        <f t="shared" si="15"/>
        <v>3.766675193685544</v>
      </c>
      <c r="U111" s="23"/>
      <c r="V111" s="23"/>
      <c r="W111" s="23"/>
      <c r="X111" s="74"/>
      <c r="Y111" s="23"/>
      <c r="Z111" s="74"/>
      <c r="AA111" s="74"/>
      <c r="AB111" s="74"/>
      <c r="AC111" s="74"/>
      <c r="AD111" s="23"/>
      <c r="AE111" s="23"/>
      <c r="AF111" s="23"/>
      <c r="AG111" s="23"/>
      <c r="AH111" s="23"/>
      <c r="AI111" s="23"/>
      <c r="AJ111" s="23"/>
      <c r="AK111" s="23"/>
      <c r="AL111" s="7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7">
        <f t="shared" si="8"/>
        <v>7.177698652344985</v>
      </c>
      <c r="BC111" s="23"/>
      <c r="BD111" s="7">
        <f t="shared" si="8"/>
        <v>6.417897218425583</v>
      </c>
      <c r="BE111" s="23"/>
      <c r="BF111" s="7">
        <f t="shared" si="8"/>
        <v>6.159241411133872</v>
      </c>
      <c r="BG111" s="23"/>
      <c r="BH111" s="7">
        <f t="shared" si="8"/>
        <v>6.584945760634813</v>
      </c>
      <c r="BI111" s="23"/>
      <c r="BJ111" s="7">
        <f t="shared" si="9"/>
        <v>0</v>
      </c>
      <c r="BK111" s="23"/>
      <c r="BL111" s="7">
        <f t="shared" si="9"/>
        <v>0</v>
      </c>
      <c r="BM111" s="23"/>
      <c r="BN111" s="7">
        <f t="shared" si="9"/>
        <v>0</v>
      </c>
      <c r="BO111" s="23"/>
      <c r="BP111" s="7">
        <f t="shared" si="9"/>
        <v>0</v>
      </c>
      <c r="BR111" s="56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7">
        <f t="shared" si="6"/>
        <v>7.177698652344985</v>
      </c>
      <c r="CI111" s="23"/>
      <c r="CJ111" s="7">
        <f t="shared" si="6"/>
        <v>6.417897218425583</v>
      </c>
      <c r="CK111" s="23"/>
      <c r="CL111" s="7">
        <f t="shared" si="6"/>
        <v>6.159241411133872</v>
      </c>
      <c r="CM111" s="23"/>
      <c r="CN111" s="7">
        <f t="shared" si="6"/>
        <v>6.584945760634813</v>
      </c>
    </row>
    <row r="112" spans="2:92" ht="12.75">
      <c r="B112" s="6" t="s">
        <v>64</v>
      </c>
      <c r="D112" s="6" t="s">
        <v>34</v>
      </c>
      <c r="F112" s="7">
        <f t="shared" si="10"/>
        <v>7.54951637532682</v>
      </c>
      <c r="G112" s="23"/>
      <c r="H112" s="7">
        <f t="shared" si="10"/>
        <v>8.37398176106915</v>
      </c>
      <c r="I112" s="23"/>
      <c r="J112" s="7">
        <f t="shared" si="7"/>
        <v>7.8728361344414575</v>
      </c>
      <c r="K112" s="23"/>
      <c r="L112" s="7">
        <f t="shared" si="11"/>
        <v>7.932111423612476</v>
      </c>
      <c r="M112" s="23"/>
      <c r="N112" s="7">
        <f t="shared" si="12"/>
        <v>6.466395182292779</v>
      </c>
      <c r="O112" s="23"/>
      <c r="P112" s="7">
        <f t="shared" si="13"/>
        <v>4.946792314453976</v>
      </c>
      <c r="Q112" s="23"/>
      <c r="R112" s="7">
        <f t="shared" si="14"/>
        <v>4.833630398763852</v>
      </c>
      <c r="S112" s="23"/>
      <c r="T112" s="7">
        <f t="shared" si="15"/>
        <v>5.415605965170202</v>
      </c>
      <c r="U112" s="23"/>
      <c r="V112" s="23"/>
      <c r="W112" s="23"/>
      <c r="X112" s="74"/>
      <c r="Y112" s="23"/>
      <c r="Z112" s="74"/>
      <c r="AA112" s="74"/>
      <c r="AB112" s="74"/>
      <c r="AC112" s="74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7">
        <f t="shared" si="8"/>
        <v>14.0159115576196</v>
      </c>
      <c r="BC112" s="23"/>
      <c r="BD112" s="7">
        <f t="shared" si="8"/>
        <v>13.320774075523126</v>
      </c>
      <c r="BE112" s="23"/>
      <c r="BF112" s="7">
        <f t="shared" si="8"/>
        <v>12.706466533205308</v>
      </c>
      <c r="BG112" s="23"/>
      <c r="BH112" s="7">
        <f t="shared" si="8"/>
        <v>13.347717388782677</v>
      </c>
      <c r="BI112" s="23"/>
      <c r="BJ112" s="7">
        <f t="shared" si="9"/>
        <v>0</v>
      </c>
      <c r="BK112" s="23"/>
      <c r="BL112" s="7">
        <f t="shared" si="9"/>
        <v>0</v>
      </c>
      <c r="BM112" s="23"/>
      <c r="BN112" s="7">
        <f t="shared" si="9"/>
        <v>0</v>
      </c>
      <c r="BO112" s="23"/>
      <c r="BP112" s="7">
        <f t="shared" si="9"/>
        <v>0</v>
      </c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7">
        <f t="shared" si="6"/>
        <v>14.0159115576196</v>
      </c>
      <c r="CI112" s="23"/>
      <c r="CJ112" s="7">
        <f t="shared" si="6"/>
        <v>13.320774075523126</v>
      </c>
      <c r="CK112" s="23"/>
      <c r="CL112" s="7">
        <f t="shared" si="6"/>
        <v>12.706466533205308</v>
      </c>
      <c r="CM112" s="23"/>
      <c r="CN112" s="7">
        <f t="shared" si="6"/>
        <v>13.347717388782677</v>
      </c>
    </row>
    <row r="113" spans="2:92" ht="12.75">
      <c r="B113" s="6" t="s">
        <v>65</v>
      </c>
      <c r="D113" s="6" t="s">
        <v>34</v>
      </c>
      <c r="F113" s="7">
        <f t="shared" si="10"/>
        <v>53.509420133472766</v>
      </c>
      <c r="G113" s="23"/>
      <c r="H113" s="7">
        <f t="shared" si="10"/>
        <v>59.49083567709357</v>
      </c>
      <c r="I113" s="23"/>
      <c r="J113" s="7">
        <f t="shared" si="7"/>
        <v>55.934318326832546</v>
      </c>
      <c r="K113" s="23"/>
      <c r="L113" s="7">
        <f t="shared" si="11"/>
        <v>56.31152471246629</v>
      </c>
      <c r="M113" s="23"/>
      <c r="N113" s="7">
        <f t="shared" si="12"/>
        <v>43.32484772136163</v>
      </c>
      <c r="O113" s="23"/>
      <c r="P113" s="7">
        <f t="shared" si="13"/>
        <v>33.1402753092505</v>
      </c>
      <c r="Q113" s="23"/>
      <c r="R113" s="7">
        <f t="shared" si="14"/>
        <v>32.3319759114639</v>
      </c>
      <c r="S113" s="23"/>
      <c r="T113" s="7">
        <f t="shared" si="15"/>
        <v>36.26569964735867</v>
      </c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7">
        <f t="shared" si="8"/>
        <v>96.8342678548344</v>
      </c>
      <c r="BC113" s="23"/>
      <c r="BD113" s="7">
        <f t="shared" si="8"/>
        <v>92.63111098634407</v>
      </c>
      <c r="BE113" s="23"/>
      <c r="BF113" s="7">
        <f t="shared" si="8"/>
        <v>88.26629423829644</v>
      </c>
      <c r="BG113" s="23"/>
      <c r="BH113" s="7">
        <f t="shared" si="8"/>
        <v>92.57722435982495</v>
      </c>
      <c r="BI113" s="23"/>
      <c r="BJ113" s="7">
        <f t="shared" si="9"/>
        <v>0</v>
      </c>
      <c r="BK113" s="23"/>
      <c r="BL113" s="7">
        <f t="shared" si="9"/>
        <v>0</v>
      </c>
      <c r="BM113" s="23"/>
      <c r="BN113" s="7">
        <f t="shared" si="9"/>
        <v>0</v>
      </c>
      <c r="BO113" s="23"/>
      <c r="BP113" s="7">
        <f t="shared" si="9"/>
        <v>0</v>
      </c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7">
        <f t="shared" si="6"/>
        <v>96.8342678548344</v>
      </c>
      <c r="CI113" s="23"/>
      <c r="CJ113" s="7">
        <f t="shared" si="6"/>
        <v>92.63111098634407</v>
      </c>
      <c r="CK113" s="23"/>
      <c r="CL113" s="7">
        <f t="shared" si="6"/>
        <v>88.26629423829644</v>
      </c>
      <c r="CM113" s="23"/>
      <c r="CN113" s="7">
        <f t="shared" si="6"/>
        <v>92.57722435982495</v>
      </c>
    </row>
    <row r="114" spans="6:92" ht="12.75">
      <c r="F114" s="23"/>
      <c r="G114" s="23"/>
      <c r="I114" s="23"/>
      <c r="J114" s="23"/>
      <c r="K114" s="23"/>
      <c r="L114" s="7"/>
      <c r="M114" s="23"/>
      <c r="N114" s="23"/>
      <c r="O114" s="23"/>
      <c r="P114" s="23"/>
      <c r="Q114" s="23"/>
      <c r="R114" s="23"/>
      <c r="S114" s="23"/>
      <c r="T114" s="7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7">
        <f t="shared" si="8"/>
        <v>0</v>
      </c>
      <c r="BC114" s="23"/>
      <c r="BD114" s="7">
        <f t="shared" si="8"/>
        <v>0</v>
      </c>
      <c r="BE114" s="23"/>
      <c r="BF114" s="7">
        <f t="shared" si="8"/>
        <v>0</v>
      </c>
      <c r="BG114" s="23"/>
      <c r="BH114" s="7">
        <f t="shared" si="8"/>
        <v>0</v>
      </c>
      <c r="BI114" s="23"/>
      <c r="BJ114" s="7">
        <f t="shared" si="9"/>
        <v>0</v>
      </c>
      <c r="BK114" s="23"/>
      <c r="BL114" s="7">
        <f t="shared" si="9"/>
        <v>0</v>
      </c>
      <c r="BM114" s="23"/>
      <c r="BN114" s="7">
        <f t="shared" si="9"/>
        <v>0</v>
      </c>
      <c r="BO114" s="23"/>
      <c r="BP114" s="7">
        <f t="shared" si="9"/>
        <v>0</v>
      </c>
      <c r="BR114" s="56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</row>
    <row r="115" spans="2:92" ht="12.75">
      <c r="B115" s="6" t="s">
        <v>35</v>
      </c>
      <c r="D115" s="6" t="s">
        <v>34</v>
      </c>
      <c r="F115" s="7">
        <f>F108+F110</f>
        <v>48.12614614421402</v>
      </c>
      <c r="G115" s="23"/>
      <c r="H115" s="7">
        <f>H108+H110</f>
        <v>53.20226636231384</v>
      </c>
      <c r="I115" s="7"/>
      <c r="J115" s="7">
        <f>J108+J110</f>
        <v>49.93673679525598</v>
      </c>
      <c r="K115" s="23"/>
      <c r="L115" s="7">
        <f t="shared" si="11"/>
        <v>50.42171643392794</v>
      </c>
      <c r="M115" s="23"/>
      <c r="N115" s="7">
        <f>N108+N110</f>
        <v>513.5934373536041</v>
      </c>
      <c r="O115" s="23"/>
      <c r="P115" s="7">
        <f>P108+P110</f>
        <v>392.83350732428636</v>
      </c>
      <c r="Q115" s="23"/>
      <c r="R115" s="7">
        <f>R108+R110</f>
        <v>383.78055406907646</v>
      </c>
      <c r="S115" s="7"/>
      <c r="T115" s="7">
        <f t="shared" si="15"/>
        <v>430.06916624898895</v>
      </c>
      <c r="U115" s="23"/>
      <c r="V115" s="23"/>
      <c r="W115" s="23"/>
      <c r="X115" s="26"/>
      <c r="Y115" s="23"/>
      <c r="Z115" s="26"/>
      <c r="AA115" s="8"/>
      <c r="AB115" s="8"/>
      <c r="AC115" s="8"/>
      <c r="AD115" s="7">
        <f>AD108</f>
        <v>22632.38313802473</v>
      </c>
      <c r="AE115" s="23"/>
      <c r="AF115" s="7">
        <f>AF108</f>
        <v>22632.38313802473</v>
      </c>
      <c r="AG115" s="23"/>
      <c r="AH115" s="7">
        <f>AH108</f>
        <v>19399.18554687834</v>
      </c>
      <c r="AI115" s="23"/>
      <c r="AJ115" s="7">
        <f>AJ108</f>
        <v>21554.650607642598</v>
      </c>
      <c r="AK115" s="23"/>
      <c r="AL115" s="7"/>
      <c r="AM115" s="23"/>
      <c r="AN115" s="23"/>
      <c r="AO115" s="23"/>
      <c r="AP115" s="23"/>
      <c r="AQ115" s="23"/>
      <c r="AR115" s="7">
        <f>AR108</f>
        <v>0</v>
      </c>
      <c r="AS115" s="23"/>
      <c r="AT115" s="23"/>
      <c r="AU115" s="23"/>
      <c r="AV115" s="23"/>
      <c r="AW115" s="23"/>
      <c r="AX115" s="23"/>
      <c r="AY115" s="23"/>
      <c r="AZ115" s="23"/>
      <c r="BA115" s="23"/>
      <c r="BB115" s="7">
        <f t="shared" si="8"/>
        <v>561.7195834978181</v>
      </c>
      <c r="BC115" s="23"/>
      <c r="BD115" s="7">
        <f t="shared" si="8"/>
        <v>446.0357736866002</v>
      </c>
      <c r="BE115" s="23"/>
      <c r="BF115" s="7">
        <f t="shared" si="8"/>
        <v>433.7172908643324</v>
      </c>
      <c r="BG115" s="23"/>
      <c r="BH115" s="7">
        <f t="shared" si="8"/>
        <v>480.4908826829169</v>
      </c>
      <c r="BI115" s="23"/>
      <c r="BJ115" s="7">
        <f t="shared" si="9"/>
        <v>22632.38313802473</v>
      </c>
      <c r="BK115" s="23"/>
      <c r="BL115" s="7">
        <f t="shared" si="9"/>
        <v>22632.38313802473</v>
      </c>
      <c r="BM115" s="23"/>
      <c r="BN115" s="7">
        <f t="shared" si="9"/>
        <v>19399.18554687834</v>
      </c>
      <c r="BO115" s="23"/>
      <c r="BP115" s="7">
        <f t="shared" si="9"/>
        <v>21554.650607642598</v>
      </c>
      <c r="BR115" s="7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7">
        <f t="shared" si="6"/>
        <v>23194.102721522548</v>
      </c>
      <c r="CI115" s="23"/>
      <c r="CJ115" s="7">
        <f t="shared" si="6"/>
        <v>23078.418911711327</v>
      </c>
      <c r="CK115" s="23"/>
      <c r="CL115" s="7">
        <f t="shared" si="6"/>
        <v>19832.90283774267</v>
      </c>
      <c r="CM115" s="23"/>
      <c r="CN115" s="7">
        <f t="shared" si="6"/>
        <v>22035.141490325514</v>
      </c>
    </row>
    <row r="116" spans="2:92" ht="12.75">
      <c r="B116" s="6" t="s">
        <v>36</v>
      </c>
      <c r="D116" s="6" t="s">
        <v>34</v>
      </c>
      <c r="F116" s="7">
        <f>F105+F107+F109</f>
        <v>65.97339684734209</v>
      </c>
      <c r="G116" s="23"/>
      <c r="H116" s="7">
        <f>H105+H107+H109</f>
        <v>73.18342747559853</v>
      </c>
      <c r="I116" s="7"/>
      <c r="J116" s="7">
        <f>J105+J107+J109</f>
        <v>68.85094270346237</v>
      </c>
      <c r="K116" s="23"/>
      <c r="L116" s="7">
        <f t="shared" si="11"/>
        <v>69.33592234213432</v>
      </c>
      <c r="M116" s="23"/>
      <c r="N116" s="7">
        <f>N105+N107+N109</f>
        <v>65.32675732911281</v>
      </c>
      <c r="O116" s="23"/>
      <c r="P116" s="7">
        <f>P105+P107+P109</f>
        <v>49.75891092774294</v>
      </c>
      <c r="Q116" s="23"/>
      <c r="R116" s="7">
        <f>R105+R107+R109</f>
        <v>48.75661967448755</v>
      </c>
      <c r="S116" s="7"/>
      <c r="T116" s="7">
        <f t="shared" si="15"/>
        <v>54.61409597711443</v>
      </c>
      <c r="U116" s="23"/>
      <c r="V116" s="8">
        <f>V105</f>
        <v>4688.136507162265</v>
      </c>
      <c r="W116" s="23"/>
      <c r="X116" s="8">
        <f>X105</f>
        <v>4688.136507162265</v>
      </c>
      <c r="Y116" s="23"/>
      <c r="Z116" s="8">
        <f>Z105</f>
        <v>4041.496988932987</v>
      </c>
      <c r="AA116" s="8"/>
      <c r="AB116" s="8">
        <f>AB105</f>
        <v>4472.59000108584</v>
      </c>
      <c r="AC116" s="8"/>
      <c r="AD116" s="7"/>
      <c r="AE116" s="23"/>
      <c r="AF116" s="23"/>
      <c r="AG116" s="23"/>
      <c r="AH116" s="23"/>
      <c r="AI116" s="23"/>
      <c r="AJ116" s="23"/>
      <c r="AK116" s="23"/>
      <c r="AL116" s="7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7"/>
      <c r="BA116" s="7"/>
      <c r="BB116" s="7">
        <f>SUM(F116,N116)</f>
        <v>131.3001541764549</v>
      </c>
      <c r="BC116" s="23"/>
      <c r="BD116" s="7">
        <f>SUM(H116,P116)</f>
        <v>122.94233840334147</v>
      </c>
      <c r="BE116" s="23"/>
      <c r="BF116" s="7">
        <f>SUM(J116,R116)</f>
        <v>117.60756237794992</v>
      </c>
      <c r="BG116" s="23"/>
      <c r="BH116" s="7">
        <f>SUM(L116,T116)</f>
        <v>123.95001831924876</v>
      </c>
      <c r="BI116" s="23"/>
      <c r="BJ116" s="7">
        <f t="shared" si="9"/>
        <v>30877.036995448016</v>
      </c>
      <c r="BK116" s="23"/>
      <c r="BL116" s="7">
        <f t="shared" si="9"/>
        <v>30877.036995448016</v>
      </c>
      <c r="BM116" s="23"/>
      <c r="BN116" s="7">
        <f t="shared" si="9"/>
        <v>30553.71723633338</v>
      </c>
      <c r="BO116" s="23"/>
      <c r="BP116" s="7">
        <f t="shared" si="9"/>
        <v>30769.263742409807</v>
      </c>
      <c r="BR116" s="7"/>
      <c r="BS116" s="23"/>
      <c r="BT116" s="23"/>
      <c r="BU116" s="23"/>
      <c r="BV116" s="23"/>
      <c r="BW116" s="23"/>
      <c r="BX116" s="23"/>
      <c r="BY116" s="23"/>
      <c r="BZ116" s="7">
        <f>BZ109</f>
        <v>26188.90048828575</v>
      </c>
      <c r="CA116" s="23"/>
      <c r="CB116" s="7">
        <f>CB109</f>
        <v>26188.90048828575</v>
      </c>
      <c r="CC116" s="23"/>
      <c r="CD116" s="7">
        <f>CD109</f>
        <v>26512.220247400393</v>
      </c>
      <c r="CE116" s="23"/>
      <c r="CF116" s="7">
        <f>CF109</f>
        <v>26296.673741323964</v>
      </c>
      <c r="CG116" s="23"/>
      <c r="CH116" s="7">
        <f t="shared" si="6"/>
        <v>31008.33714962447</v>
      </c>
      <c r="CI116" s="23"/>
      <c r="CJ116" s="7">
        <f t="shared" si="6"/>
        <v>30999.97933385136</v>
      </c>
      <c r="CK116" s="23"/>
      <c r="CL116" s="7">
        <f t="shared" si="6"/>
        <v>30671.324798711332</v>
      </c>
      <c r="CM116" s="23"/>
      <c r="CN116" s="7">
        <f t="shared" si="6"/>
        <v>30893.213760729057</v>
      </c>
    </row>
    <row r="117" ht="12.75">
      <c r="BJ117" s="7"/>
    </row>
    <row r="119" spans="1:68" ht="12.75">
      <c r="A119" s="22" t="s">
        <v>76</v>
      </c>
      <c r="B119" s="21" t="s">
        <v>146</v>
      </c>
      <c r="C119" s="21" t="s">
        <v>75</v>
      </c>
      <c r="F119" s="24" t="s">
        <v>152</v>
      </c>
      <c r="G119" s="24"/>
      <c r="H119" s="24" t="s">
        <v>153</v>
      </c>
      <c r="I119" s="24"/>
      <c r="J119" s="24" t="s">
        <v>154</v>
      </c>
      <c r="K119" s="24"/>
      <c r="L119" s="24" t="s">
        <v>155</v>
      </c>
      <c r="N119" s="24" t="s">
        <v>152</v>
      </c>
      <c r="O119" s="24"/>
      <c r="P119" s="24" t="s">
        <v>153</v>
      </c>
      <c r="Q119" s="24"/>
      <c r="R119" s="24" t="s">
        <v>154</v>
      </c>
      <c r="S119" s="24"/>
      <c r="T119" s="24" t="s">
        <v>155</v>
      </c>
      <c r="V119" s="24" t="s">
        <v>152</v>
      </c>
      <c r="W119" s="24"/>
      <c r="X119" s="24" t="s">
        <v>153</v>
      </c>
      <c r="Y119" s="24"/>
      <c r="Z119" s="24" t="s">
        <v>154</v>
      </c>
      <c r="AA119" s="24"/>
      <c r="AB119" s="24" t="s">
        <v>155</v>
      </c>
      <c r="AD119" s="24" t="s">
        <v>152</v>
      </c>
      <c r="AE119" s="24"/>
      <c r="AF119" s="24" t="s">
        <v>153</v>
      </c>
      <c r="AG119" s="24"/>
      <c r="AH119" s="24" t="s">
        <v>154</v>
      </c>
      <c r="AI119" s="24"/>
      <c r="AJ119" s="24" t="s">
        <v>155</v>
      </c>
      <c r="AL119" s="24" t="s">
        <v>152</v>
      </c>
      <c r="AM119" s="24"/>
      <c r="AN119" s="24" t="s">
        <v>153</v>
      </c>
      <c r="AO119" s="24"/>
      <c r="AP119" s="24" t="s">
        <v>154</v>
      </c>
      <c r="AQ119" s="24"/>
      <c r="AR119" s="24" t="s">
        <v>155</v>
      </c>
      <c r="AT119" s="24" t="s">
        <v>152</v>
      </c>
      <c r="AU119" s="24"/>
      <c r="AV119" s="24" t="s">
        <v>153</v>
      </c>
      <c r="AW119" s="24"/>
      <c r="AX119" s="24" t="s">
        <v>154</v>
      </c>
      <c r="AY119" s="24"/>
      <c r="AZ119" s="24" t="s">
        <v>155</v>
      </c>
      <c r="BA119" s="24"/>
      <c r="BB119" s="24"/>
      <c r="BC119" s="24"/>
      <c r="BD119" s="24"/>
      <c r="BE119" s="24"/>
      <c r="BF119" s="24"/>
      <c r="BG119" s="24"/>
      <c r="BH119" s="24"/>
      <c r="BJ119" s="24"/>
      <c r="BK119" s="24"/>
      <c r="BL119" s="24"/>
      <c r="BM119" s="24"/>
      <c r="BN119" s="24"/>
      <c r="BO119" s="24"/>
      <c r="BP119" s="24"/>
    </row>
    <row r="120" spans="8:10" ht="12.75">
      <c r="H120" s="6"/>
      <c r="J120" s="6"/>
    </row>
    <row r="121" spans="2:44" ht="12.75">
      <c r="B121" s="6" t="s">
        <v>203</v>
      </c>
      <c r="F121" s="6" t="s">
        <v>205</v>
      </c>
      <c r="H121" s="6" t="s">
        <v>205</v>
      </c>
      <c r="J121" s="6" t="s">
        <v>205</v>
      </c>
      <c r="L121" s="6" t="s">
        <v>205</v>
      </c>
      <c r="N121" s="22" t="s">
        <v>207</v>
      </c>
      <c r="P121" s="22" t="s">
        <v>207</v>
      </c>
      <c r="R121" s="22" t="s">
        <v>207</v>
      </c>
      <c r="T121" s="22" t="s">
        <v>207</v>
      </c>
      <c r="V121" s="22" t="s">
        <v>208</v>
      </c>
      <c r="X121" s="22" t="s">
        <v>208</v>
      </c>
      <c r="Z121" s="22" t="s">
        <v>208</v>
      </c>
      <c r="AB121" s="22" t="s">
        <v>208</v>
      </c>
      <c r="AD121" s="22" t="s">
        <v>209</v>
      </c>
      <c r="AF121" s="22" t="s">
        <v>209</v>
      </c>
      <c r="AH121" s="22" t="s">
        <v>209</v>
      </c>
      <c r="AJ121" s="22" t="s">
        <v>209</v>
      </c>
      <c r="AL121" s="22" t="s">
        <v>210</v>
      </c>
      <c r="AN121" s="22" t="s">
        <v>210</v>
      </c>
      <c r="AP121" s="22" t="s">
        <v>210</v>
      </c>
      <c r="AR121" s="22" t="s">
        <v>210</v>
      </c>
    </row>
    <row r="122" spans="2:44" ht="12.75">
      <c r="B122" s="6" t="s">
        <v>204</v>
      </c>
      <c r="F122" s="6" t="s">
        <v>206</v>
      </c>
      <c r="H122" s="6" t="s">
        <v>206</v>
      </c>
      <c r="J122" s="6" t="s">
        <v>206</v>
      </c>
      <c r="L122" s="6" t="s">
        <v>206</v>
      </c>
      <c r="N122" s="22" t="s">
        <v>213</v>
      </c>
      <c r="P122" s="22" t="s">
        <v>213</v>
      </c>
      <c r="R122" s="22" t="s">
        <v>213</v>
      </c>
      <c r="T122" s="22" t="s">
        <v>213</v>
      </c>
      <c r="V122" s="22" t="s">
        <v>206</v>
      </c>
      <c r="X122" s="22" t="s">
        <v>206</v>
      </c>
      <c r="Z122" s="22" t="s">
        <v>206</v>
      </c>
      <c r="AB122" s="22" t="s">
        <v>206</v>
      </c>
      <c r="AD122" s="22" t="s">
        <v>33</v>
      </c>
      <c r="AF122" s="22" t="s">
        <v>33</v>
      </c>
      <c r="AH122" s="22" t="s">
        <v>33</v>
      </c>
      <c r="AJ122" s="22" t="s">
        <v>33</v>
      </c>
      <c r="AL122" s="22" t="s">
        <v>20</v>
      </c>
      <c r="AN122" s="22" t="s">
        <v>20</v>
      </c>
      <c r="AP122" s="22" t="s">
        <v>20</v>
      </c>
      <c r="AR122" s="22" t="s">
        <v>20</v>
      </c>
    </row>
    <row r="123" spans="2:52" ht="12.75">
      <c r="B123" s="6" t="s">
        <v>216</v>
      </c>
      <c r="H123" s="6"/>
      <c r="J123" s="6"/>
      <c r="L123" s="6"/>
      <c r="AD123" s="22" t="s">
        <v>33</v>
      </c>
      <c r="AF123" s="22" t="s">
        <v>33</v>
      </c>
      <c r="AH123" s="22" t="s">
        <v>33</v>
      </c>
      <c r="AJ123" s="22" t="s">
        <v>33</v>
      </c>
      <c r="AL123" s="22" t="s">
        <v>20</v>
      </c>
      <c r="AN123" s="22" t="s">
        <v>20</v>
      </c>
      <c r="AP123" s="22" t="s">
        <v>20</v>
      </c>
      <c r="AR123" s="22" t="s">
        <v>20</v>
      </c>
      <c r="AT123" s="22" t="s">
        <v>40</v>
      </c>
      <c r="AV123" s="22" t="s">
        <v>40</v>
      </c>
      <c r="AX123" s="22" t="s">
        <v>40</v>
      </c>
      <c r="AZ123" s="22" t="s">
        <v>40</v>
      </c>
    </row>
    <row r="124" spans="2:44" ht="12.75">
      <c r="B124" s="6" t="s">
        <v>21</v>
      </c>
      <c r="F124" s="6" t="s">
        <v>120</v>
      </c>
      <c r="G124" s="9"/>
      <c r="H124" s="6" t="s">
        <v>120</v>
      </c>
      <c r="I124" s="23"/>
      <c r="J124" s="6" t="s">
        <v>120</v>
      </c>
      <c r="K124" s="23"/>
      <c r="L124" s="6" t="s">
        <v>120</v>
      </c>
      <c r="M124" s="23"/>
      <c r="N124" s="6" t="s">
        <v>123</v>
      </c>
      <c r="O124" s="23"/>
      <c r="P124" s="23" t="s">
        <v>123</v>
      </c>
      <c r="Q124" s="23"/>
      <c r="R124" s="23" t="s">
        <v>123</v>
      </c>
      <c r="S124" s="23"/>
      <c r="T124" s="23" t="s">
        <v>123</v>
      </c>
      <c r="V124" s="22" t="s">
        <v>124</v>
      </c>
      <c r="X124" s="22" t="s">
        <v>124</v>
      </c>
      <c r="Z124" s="22" t="s">
        <v>124</v>
      </c>
      <c r="AB124" s="22" t="s">
        <v>124</v>
      </c>
      <c r="AD124" s="22" t="s">
        <v>114</v>
      </c>
      <c r="AF124" s="22" t="s">
        <v>114</v>
      </c>
      <c r="AH124" s="22" t="s">
        <v>114</v>
      </c>
      <c r="AJ124" s="22" t="s">
        <v>114</v>
      </c>
      <c r="AL124" s="22" t="s">
        <v>20</v>
      </c>
      <c r="AN124" s="22" t="s">
        <v>20</v>
      </c>
      <c r="AP124" s="22" t="s">
        <v>20</v>
      </c>
      <c r="AR124" s="22" t="s">
        <v>20</v>
      </c>
    </row>
    <row r="125" spans="2:68" ht="12.75">
      <c r="B125" s="6" t="s">
        <v>78</v>
      </c>
      <c r="D125" s="6" t="s">
        <v>29</v>
      </c>
      <c r="F125" s="23">
        <v>406</v>
      </c>
      <c r="G125" s="66"/>
      <c r="H125" s="66">
        <v>510</v>
      </c>
      <c r="I125" s="23"/>
      <c r="J125" s="23">
        <v>411</v>
      </c>
      <c r="K125" s="23"/>
      <c r="L125" s="8">
        <f>AVERAGE(F125,H125,J125)</f>
        <v>442.3333333333333</v>
      </c>
      <c r="M125" s="23"/>
      <c r="N125" s="23">
        <v>44</v>
      </c>
      <c r="O125" s="23"/>
      <c r="P125" s="23">
        <v>68</v>
      </c>
      <c r="Q125" s="23"/>
      <c r="R125" s="23">
        <v>73</v>
      </c>
      <c r="S125" s="23"/>
      <c r="T125" s="7">
        <f>AVERAGE(N125,P125,R125)</f>
        <v>61.666666666666664</v>
      </c>
      <c r="U125" s="23"/>
      <c r="V125" s="23"/>
      <c r="W125" s="23"/>
      <c r="X125" s="23"/>
      <c r="Y125" s="23"/>
      <c r="Z125" s="23">
        <v>35</v>
      </c>
      <c r="AA125" s="7"/>
      <c r="AB125" s="7">
        <f>AVERAGE(V125,X125,Z125)</f>
        <v>35</v>
      </c>
      <c r="AC125" s="7"/>
      <c r="AD125" s="23">
        <v>7.9</v>
      </c>
      <c r="AE125" s="23"/>
      <c r="AF125" s="23">
        <v>9.4</v>
      </c>
      <c r="AG125" s="23"/>
      <c r="AH125" s="23">
        <v>8.1</v>
      </c>
      <c r="AI125" s="23"/>
      <c r="AJ125" s="7">
        <f>AVERAGE(AD125,AF125,AH125)</f>
        <v>8.466666666666667</v>
      </c>
      <c r="AK125" s="23"/>
      <c r="AL125" s="7">
        <f>SUM(AJ125,AB125,T125,L125)</f>
        <v>547.4666666666667</v>
      </c>
      <c r="AR125" s="73"/>
      <c r="AZ125" s="73"/>
      <c r="BA125" s="73"/>
      <c r="BB125" s="73"/>
      <c r="BC125" s="73"/>
      <c r="BD125" s="73"/>
      <c r="BE125" s="73"/>
      <c r="BF125" s="73"/>
      <c r="BG125" s="73"/>
      <c r="BH125" s="73"/>
      <c r="BP125" s="73"/>
    </row>
    <row r="126" spans="2:38" ht="12.75">
      <c r="B126" s="6" t="s">
        <v>22</v>
      </c>
      <c r="D126" s="6" t="s">
        <v>23</v>
      </c>
      <c r="F126" s="23"/>
      <c r="G126" s="66"/>
      <c r="I126" s="23"/>
      <c r="J126" s="23"/>
      <c r="K126" s="23"/>
      <c r="L126" s="8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8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 spans="2:38" ht="12.75">
      <c r="B127" s="6" t="s">
        <v>30</v>
      </c>
      <c r="D127" s="6" t="s">
        <v>85</v>
      </c>
      <c r="F127" s="23"/>
      <c r="G127" s="66"/>
      <c r="H127" s="66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8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</row>
    <row r="128" spans="2:38" ht="12.75">
      <c r="B128" s="6" t="s">
        <v>81</v>
      </c>
      <c r="D128" s="6" t="s">
        <v>82</v>
      </c>
      <c r="F128" s="23"/>
      <c r="G128" s="66"/>
      <c r="H128" s="66"/>
      <c r="I128" s="23"/>
      <c r="J128" s="23"/>
      <c r="K128" s="23"/>
      <c r="L128" s="23"/>
      <c r="M128" s="23"/>
      <c r="N128" s="54"/>
      <c r="O128" s="23"/>
      <c r="P128" s="23"/>
      <c r="Q128" s="23"/>
      <c r="R128" s="54"/>
      <c r="S128" s="23"/>
      <c r="T128" s="23"/>
      <c r="U128" s="23"/>
      <c r="V128" s="54"/>
      <c r="W128" s="23"/>
      <c r="X128" s="54"/>
      <c r="Y128" s="23"/>
      <c r="Z128" s="23"/>
      <c r="AA128" s="23"/>
      <c r="AB128" s="8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</row>
    <row r="129" spans="2:44" ht="12.75">
      <c r="B129" s="6" t="s">
        <v>24</v>
      </c>
      <c r="D129" s="6" t="s">
        <v>29</v>
      </c>
      <c r="F129" s="23">
        <v>7.6</v>
      </c>
      <c r="G129" s="66"/>
      <c r="H129" s="66">
        <v>9.5</v>
      </c>
      <c r="I129" s="23"/>
      <c r="J129" s="23">
        <v>7.6</v>
      </c>
      <c r="K129" s="23"/>
      <c r="L129" s="7">
        <f>AVERAGE(F129,H129,J129)</f>
        <v>8.233333333333334</v>
      </c>
      <c r="M129" s="23"/>
      <c r="N129" s="54">
        <v>24</v>
      </c>
      <c r="O129" s="23"/>
      <c r="P129" s="23">
        <v>38</v>
      </c>
      <c r="Q129" s="23"/>
      <c r="R129" s="54">
        <v>41</v>
      </c>
      <c r="S129" s="23"/>
      <c r="T129" s="7">
        <f>AVERAGE(N129,P129,R129)</f>
        <v>34.333333333333336</v>
      </c>
      <c r="U129" s="23"/>
      <c r="V129" s="54"/>
      <c r="W129" s="23"/>
      <c r="X129" s="54"/>
      <c r="Y129" s="23"/>
      <c r="Z129" s="23">
        <v>1.1</v>
      </c>
      <c r="AA129" s="23"/>
      <c r="AB129" s="7">
        <f>AVERAGE(V129,X129,Z129)</f>
        <v>1.1</v>
      </c>
      <c r="AC129" s="23"/>
      <c r="AD129" s="23"/>
      <c r="AE129" s="23"/>
      <c r="AF129" s="23"/>
      <c r="AG129" s="23"/>
      <c r="AH129" s="7"/>
      <c r="AI129" s="23"/>
      <c r="AJ129" s="7"/>
      <c r="AK129" s="23"/>
      <c r="AL129" s="7">
        <f>SUM(AJ129,AB129,T129,L129)</f>
        <v>43.66666666666667</v>
      </c>
      <c r="AN129" s="7">
        <f>SUM(AL129,AD129,V129,N129)</f>
        <v>67.66666666666667</v>
      </c>
      <c r="AP129" s="7">
        <f>SUM(AN129,AF129,X129,P129)</f>
        <v>105.66666666666667</v>
      </c>
      <c r="AR129" s="7">
        <f>SUM(AP129,AH129,Z129,R129)</f>
        <v>147.76666666666665</v>
      </c>
    </row>
    <row r="130" spans="2:44" ht="12.75">
      <c r="B130" s="6" t="s">
        <v>25</v>
      </c>
      <c r="D130" s="6" t="s">
        <v>29</v>
      </c>
      <c r="F130" s="23">
        <v>0.6</v>
      </c>
      <c r="G130" s="66"/>
      <c r="H130" s="66">
        <v>1.2</v>
      </c>
      <c r="I130" s="23"/>
      <c r="J130" s="23">
        <v>1</v>
      </c>
      <c r="K130" s="23"/>
      <c r="L130" s="7">
        <f>AVERAGE(F130,H130,J130)</f>
        <v>0.9333333333333332</v>
      </c>
      <c r="M130" s="23"/>
      <c r="N130" s="54">
        <v>0.0089</v>
      </c>
      <c r="O130" s="23"/>
      <c r="P130" s="23">
        <v>0.0138</v>
      </c>
      <c r="Q130" s="23"/>
      <c r="R130" s="54">
        <v>0.015</v>
      </c>
      <c r="S130" s="23"/>
      <c r="T130" s="7">
        <f>AVERAGE(N130,P130,R130)</f>
        <v>0.012566666666666665</v>
      </c>
      <c r="U130" s="23"/>
      <c r="V130" s="54"/>
      <c r="W130" s="23"/>
      <c r="X130" s="54"/>
      <c r="Y130" s="23"/>
      <c r="Z130" s="23">
        <v>0.057</v>
      </c>
      <c r="AA130" s="23"/>
      <c r="AB130" s="7">
        <f>AVERAGE(V130,X130,Z130)</f>
        <v>0.057</v>
      </c>
      <c r="AC130" s="23"/>
      <c r="AD130" s="23">
        <v>7.2</v>
      </c>
      <c r="AE130" s="23"/>
      <c r="AF130" s="23">
        <v>8.7</v>
      </c>
      <c r="AG130" s="23"/>
      <c r="AH130" s="23">
        <v>7.4</v>
      </c>
      <c r="AI130" s="23"/>
      <c r="AJ130" s="7">
        <f>AVERAGE(AD130,AF130,AH130)</f>
        <v>7.766666666666666</v>
      </c>
      <c r="AK130" s="23"/>
      <c r="AL130" s="7">
        <f>SUM(AJ130,AB130,T130,L130)</f>
        <v>8.769566666666666</v>
      </c>
      <c r="AN130" s="7">
        <f>SUM(AL130,AD130,V130,N130)</f>
        <v>15.978466666666666</v>
      </c>
      <c r="AP130" s="7">
        <f>SUM(AN130,AF130,X130,P130)</f>
        <v>24.692266666666665</v>
      </c>
      <c r="AR130" s="7">
        <f>SUM(AP130,AH130,Z130,R130)</f>
        <v>32.16426666666667</v>
      </c>
    </row>
    <row r="131" spans="6:38" ht="12.75">
      <c r="F131" s="23"/>
      <c r="G131" s="66"/>
      <c r="H131" s="66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</row>
    <row r="132" spans="2:38" ht="12.75">
      <c r="B132" s="6" t="s">
        <v>37</v>
      </c>
      <c r="D132" s="6" t="s">
        <v>17</v>
      </c>
      <c r="F132" s="67">
        <v>2359</v>
      </c>
      <c r="G132" s="66"/>
      <c r="H132" s="66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 spans="2:38" ht="12.75">
      <c r="B133" s="6" t="s">
        <v>38</v>
      </c>
      <c r="D133" s="6" t="s">
        <v>18</v>
      </c>
      <c r="F133" s="67">
        <v>14.633333333333333</v>
      </c>
      <c r="G133" s="66"/>
      <c r="H133" s="66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</row>
    <row r="134" spans="6:38" ht="12.75">
      <c r="F134" s="23"/>
      <c r="G134" s="66"/>
      <c r="H134" s="66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</row>
    <row r="135" spans="2:68" ht="12.75">
      <c r="B135" s="6" t="s">
        <v>77</v>
      </c>
      <c r="D135" s="6" t="s">
        <v>32</v>
      </c>
      <c r="F135" s="23"/>
      <c r="G135" s="66"/>
      <c r="H135" s="66"/>
      <c r="I135" s="7"/>
      <c r="J135" s="23"/>
      <c r="K135" s="23"/>
      <c r="L135" s="26"/>
      <c r="M135" s="23"/>
      <c r="N135" s="23"/>
      <c r="O135" s="23"/>
      <c r="P135" s="23"/>
      <c r="Q135" s="23"/>
      <c r="R135" s="7"/>
      <c r="S135" s="7"/>
      <c r="T135" s="7"/>
      <c r="U135" s="7"/>
      <c r="V135" s="7"/>
      <c r="W135" s="7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BP135" s="73"/>
    </row>
    <row r="136" spans="2:68" ht="12.75">
      <c r="B136" s="6" t="s">
        <v>217</v>
      </c>
      <c r="D136" s="6" t="s">
        <v>32</v>
      </c>
      <c r="F136" s="23"/>
      <c r="G136" s="66"/>
      <c r="H136" s="66"/>
      <c r="I136" s="7"/>
      <c r="J136" s="23"/>
      <c r="K136" s="23"/>
      <c r="M136" s="23"/>
      <c r="N136" s="23"/>
      <c r="O136" s="23"/>
      <c r="P136" s="23"/>
      <c r="Q136" s="23"/>
      <c r="R136" s="7"/>
      <c r="S136" s="7"/>
      <c r="T136" s="7"/>
      <c r="U136" s="7"/>
      <c r="V136" s="7"/>
      <c r="W136" s="7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7"/>
      <c r="AP136" s="26"/>
      <c r="AR136" s="26">
        <f>F132/9000*(21-F133)/21*60</f>
        <v>4.767925925925926</v>
      </c>
      <c r="BP136" s="73"/>
    </row>
    <row r="137" spans="6:38" ht="12.75">
      <c r="F137" s="23"/>
      <c r="G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</row>
    <row r="138" spans="2:38" ht="12.75">
      <c r="B138" s="30" t="s">
        <v>49</v>
      </c>
      <c r="C138" s="30"/>
      <c r="F138" s="23"/>
      <c r="G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</row>
    <row r="139" spans="2:52" ht="12.75">
      <c r="B139" s="6" t="s">
        <v>24</v>
      </c>
      <c r="D139" s="6" t="s">
        <v>39</v>
      </c>
      <c r="F139" s="7">
        <f>F129*454/60/0.0283/$F$132*(21-7)/(21-$F$133)*1000</f>
        <v>1894.1734348983007</v>
      </c>
      <c r="G139" s="23"/>
      <c r="H139" s="7">
        <f>H129*454/60/0.0283/$F$132*(21-7)/(21-$F$133)*1000</f>
        <v>2367.716793622876</v>
      </c>
      <c r="I139" s="23"/>
      <c r="J139" s="7">
        <f>J129*454/60/0.0283/$F$132*(21-7)/(21-$F$133)*1000</f>
        <v>1894.1734348983007</v>
      </c>
      <c r="K139" s="23"/>
      <c r="L139" s="7">
        <f>L129*454/60/0.0283/$F$132*(21-7)/(21-$F$133)*1000</f>
        <v>2052.021221139826</v>
      </c>
      <c r="M139" s="23"/>
      <c r="N139" s="7">
        <f>N129*454/60/0.0283/$F$132*(21-7)/(21-$F$133)*1000</f>
        <v>5981.600320731475</v>
      </c>
      <c r="O139" s="23"/>
      <c r="P139" s="7">
        <f>P129*454/60/0.0283/$F$132*(21-7)/(21-$F$133)*1000</f>
        <v>9470.867174491505</v>
      </c>
      <c r="Q139" s="23"/>
      <c r="R139" s="7">
        <f>R129*454/60/0.0283/$F$132*(21-7)/(21-$F$133)*1000</f>
        <v>10218.567214582941</v>
      </c>
      <c r="S139" s="23"/>
      <c r="T139" s="7">
        <f>T129*454/60/0.0283/$F$132*(21-7)/(21-$F$133)*1000</f>
        <v>8557.011569935308</v>
      </c>
      <c r="U139" s="23"/>
      <c r="V139" s="23"/>
      <c r="W139" s="23"/>
      <c r="X139" s="23"/>
      <c r="Y139" s="23"/>
      <c r="Z139" s="7">
        <f>Z129*454/60/0.0283/$F$132*(21-7)/(21-$F$133)*1000</f>
        <v>274.15668136685935</v>
      </c>
      <c r="AA139" s="23"/>
      <c r="AB139" s="7">
        <f>AB129*454/60/0.0283/$F$132*(21-7)/(21-$F$133)*1000</f>
        <v>274.15668136685935</v>
      </c>
      <c r="AC139" s="23"/>
      <c r="AD139" s="7">
        <f>SUM(AB139,T139,L139,D139)</f>
        <v>10883.189472441994</v>
      </c>
      <c r="AE139" s="23"/>
      <c r="AF139" s="7">
        <f>SUM(AD139,V139,N139,F139)</f>
        <v>18758.96322807177</v>
      </c>
      <c r="AG139" s="23"/>
      <c r="AH139" s="7">
        <f>SUM(AF139,X139,P139,H139)</f>
        <v>30597.54719618615</v>
      </c>
      <c r="AI139" s="23"/>
      <c r="AJ139" s="7">
        <f>SUM(AH139,Z139,R139,J139)</f>
        <v>42984.444527034255</v>
      </c>
      <c r="AK139" s="23"/>
      <c r="AL139" s="7">
        <f>SUM(AJ139,AB139,T139,L139)</f>
        <v>53867.633999476246</v>
      </c>
      <c r="AN139" s="25">
        <f>F139+N139+V139+AD139</f>
        <v>18758.96322807177</v>
      </c>
      <c r="AP139" s="25">
        <f>H139+P139+X139+AF139</f>
        <v>30597.54719618615</v>
      </c>
      <c r="AR139" s="25">
        <f>J139+R139+Z139+AH139</f>
        <v>42984.444527034255</v>
      </c>
      <c r="AT139" s="25">
        <f>SUM(V139,N139,F139)</f>
        <v>7875.773755629776</v>
      </c>
      <c r="AV139" s="25">
        <f>SUM(X139,P139,H139)</f>
        <v>11838.58396811438</v>
      </c>
      <c r="AX139" s="25">
        <f>SUM(Z139,R139,J139)</f>
        <v>12386.897330848102</v>
      </c>
      <c r="AZ139" s="25">
        <f>SUM(AB139,T139,L139)</f>
        <v>10883.189472441994</v>
      </c>
    </row>
    <row r="140" spans="2:38" ht="12.75">
      <c r="B140" s="6" t="s">
        <v>25</v>
      </c>
      <c r="D140" s="6" t="s">
        <v>34</v>
      </c>
      <c r="F140" s="7">
        <f>F130*454/60/0.0283/$F$132*(21-7)/(21-$F$133)*1000000</f>
        <v>149540.00801828693</v>
      </c>
      <c r="G140" s="23"/>
      <c r="H140" s="7">
        <f>H130*454/60/0.0283/$F$132*(21-7)/(21-$F$133)*1000000</f>
        <v>299080.01603657386</v>
      </c>
      <c r="I140" s="23"/>
      <c r="J140" s="7">
        <f>J130*454/60/0.0283/$F$132*(21-7)/(21-$F$133)*1000000</f>
        <v>249233.34669714488</v>
      </c>
      <c r="K140" s="23"/>
      <c r="L140" s="7">
        <f>L130*454/60/0.0283/$F$132*(21-7)/(21-$F$133)*1000000</f>
        <v>232617.79025066848</v>
      </c>
      <c r="M140" s="23"/>
      <c r="N140" s="7">
        <f>N130*454/60/0.0283/$F$132*(21-7)/(21-$F$133)*1000000</f>
        <v>2218.176785604589</v>
      </c>
      <c r="O140" s="23"/>
      <c r="P140" s="7">
        <f>P130*454/60/0.0283/$F$132*(21-7)/(21-$F$133)*1000000</f>
        <v>3439.420184420599</v>
      </c>
      <c r="Q140" s="23"/>
      <c r="R140" s="7">
        <f>R130*454/60/0.0283/$F$132*(21-7)/(21-$F$133)*1000000</f>
        <v>3738.500200457172</v>
      </c>
      <c r="S140" s="23"/>
      <c r="T140" s="7">
        <f>T130*454/60/0.0283/$F$132*(21-7)/(21-$F$133)*1000000</f>
        <v>3132.0323901607862</v>
      </c>
      <c r="U140" s="23"/>
      <c r="V140" s="23"/>
      <c r="W140" s="23"/>
      <c r="X140" s="23"/>
      <c r="Y140" s="23"/>
      <c r="Z140" s="7">
        <f>Z130*454/60/0.0283/$F$132*(21-7)/(21-$F$133)*1000000</f>
        <v>14206.30076173726</v>
      </c>
      <c r="AA140" s="23"/>
      <c r="AB140" s="7">
        <f>AB130*454/60/0.0283/$F$132*(21-7)/(21-$F$133)*1000000</f>
        <v>14206.30076173726</v>
      </c>
      <c r="AC140" s="23"/>
      <c r="AD140" s="7">
        <f>AD130*454/60/0.0283/$F$132*(21-7)/(21-$F$133)*1000000</f>
        <v>1794480.0962194433</v>
      </c>
      <c r="AE140" s="23"/>
      <c r="AF140" s="7">
        <f>AF130*454/60/0.0283/$F$132*(21-7)/(21-$F$133)*1000000</f>
        <v>2168330.11626516</v>
      </c>
      <c r="AG140" s="23"/>
      <c r="AH140" s="7">
        <f>AH130*454/60/0.0283/$F$132*(21-7)/(21-$F$133)*1000000</f>
        <v>1844326.765558872</v>
      </c>
      <c r="AI140" s="23"/>
      <c r="AJ140" s="7">
        <f>AJ130*454/60/0.0283/$F$132*(21-7)/(21-$F$133)*1000000</f>
        <v>1935712.3260144915</v>
      </c>
      <c r="AK140" s="23"/>
      <c r="AL140" s="7">
        <f>SUM(AJ140,AB140,T140,L140)</f>
        <v>2185668.449417058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89"/>
  <sheetViews>
    <sheetView workbookViewId="0" topLeftCell="B1">
      <selection activeCell="C2" sqref="C2"/>
    </sheetView>
  </sheetViews>
  <sheetFormatPr defaultColWidth="9.140625" defaultRowHeight="12.75"/>
  <cols>
    <col min="1" max="1" width="9.140625" style="49" hidden="1" customWidth="1"/>
    <col min="2" max="2" width="18.8515625" style="49" customWidth="1"/>
    <col min="3" max="3" width="2.421875" style="49" customWidth="1"/>
    <col min="4" max="4" width="9.140625" style="49" customWidth="1"/>
    <col min="5" max="5" width="4.140625" style="49" customWidth="1"/>
    <col min="6" max="6" width="11.28125" style="49" bestFit="1" customWidth="1"/>
    <col min="7" max="7" width="4.00390625" style="49" customWidth="1"/>
    <col min="8" max="8" width="11.28125" style="49" bestFit="1" customWidth="1"/>
    <col min="9" max="9" width="4.00390625" style="49" customWidth="1"/>
    <col min="10" max="10" width="11.28125" style="49" bestFit="1" customWidth="1"/>
    <col min="11" max="11" width="3.7109375" style="49" customWidth="1"/>
    <col min="12" max="12" width="10.57421875" style="49" bestFit="1" customWidth="1"/>
    <col min="13" max="13" width="3.7109375" style="49" customWidth="1"/>
    <col min="14" max="14" width="10.57421875" style="49" bestFit="1" customWidth="1"/>
    <col min="15" max="15" width="3.7109375" style="49" customWidth="1"/>
    <col min="16" max="16" width="10.57421875" style="49" bestFit="1" customWidth="1"/>
    <col min="17" max="17" width="4.00390625" style="49" customWidth="1"/>
    <col min="18" max="18" width="9.57421875" style="49" bestFit="1" customWidth="1"/>
    <col min="19" max="19" width="4.140625" style="49" customWidth="1"/>
    <col min="20" max="20" width="9.57421875" style="49" bestFit="1" customWidth="1"/>
    <col min="21" max="21" width="4.28125" style="49" customWidth="1"/>
    <col min="22" max="22" width="9.57421875" style="49" bestFit="1" customWidth="1"/>
    <col min="23" max="23" width="4.00390625" style="49" customWidth="1"/>
    <col min="24" max="24" width="9.57421875" style="49" bestFit="1" customWidth="1"/>
    <col min="25" max="25" width="4.421875" style="49" customWidth="1"/>
    <col min="26" max="26" width="9.57421875" style="49" bestFit="1" customWidth="1"/>
    <col min="27" max="27" width="3.7109375" style="49" customWidth="1"/>
    <col min="28" max="28" width="9.57421875" style="49" bestFit="1" customWidth="1"/>
    <col min="29" max="29" width="4.28125" style="49" customWidth="1"/>
    <col min="30" max="30" width="9.57421875" style="49" bestFit="1" customWidth="1"/>
    <col min="31" max="16384" width="9.140625" style="49" customWidth="1"/>
  </cols>
  <sheetData>
    <row r="1" spans="2:3" ht="12.75">
      <c r="B1" s="13" t="s">
        <v>174</v>
      </c>
      <c r="C1" s="13"/>
    </row>
    <row r="4" spans="2:30" ht="12.75">
      <c r="B4" s="13" t="s">
        <v>98</v>
      </c>
      <c r="C4" s="13"/>
      <c r="F4" s="59" t="s">
        <v>152</v>
      </c>
      <c r="G4" s="59"/>
      <c r="H4" s="59" t="s">
        <v>153</v>
      </c>
      <c r="I4" s="59"/>
      <c r="J4" s="59" t="s">
        <v>154</v>
      </c>
      <c r="K4" s="59"/>
      <c r="L4" s="59" t="s">
        <v>152</v>
      </c>
      <c r="M4" s="59"/>
      <c r="N4" s="59" t="s">
        <v>153</v>
      </c>
      <c r="O4" s="59"/>
      <c r="P4" s="59" t="s">
        <v>154</v>
      </c>
      <c r="Q4" s="59"/>
      <c r="R4" s="59" t="s">
        <v>152</v>
      </c>
      <c r="S4" s="59"/>
      <c r="T4" s="59" t="s">
        <v>153</v>
      </c>
      <c r="U4" s="59"/>
      <c r="V4" s="59" t="s">
        <v>154</v>
      </c>
      <c r="W4" s="59"/>
      <c r="X4" s="59" t="s">
        <v>152</v>
      </c>
      <c r="Y4" s="59"/>
      <c r="Z4" s="59" t="s">
        <v>153</v>
      </c>
      <c r="AA4" s="59"/>
      <c r="AB4" s="59" t="s">
        <v>154</v>
      </c>
      <c r="AC4" s="59"/>
      <c r="AD4" s="59" t="s">
        <v>155</v>
      </c>
    </row>
    <row r="6" spans="2:30" ht="12.75">
      <c r="B6" s="49" t="s">
        <v>203</v>
      </c>
      <c r="F6" s="49" t="s">
        <v>205</v>
      </c>
      <c r="H6" s="49" t="s">
        <v>205</v>
      </c>
      <c r="J6" s="49" t="s">
        <v>205</v>
      </c>
      <c r="L6" s="49" t="s">
        <v>205</v>
      </c>
      <c r="N6" s="49" t="s">
        <v>207</v>
      </c>
      <c r="P6" s="49" t="s">
        <v>207</v>
      </c>
      <c r="X6" s="49" t="s">
        <v>207</v>
      </c>
      <c r="Z6" s="49" t="s">
        <v>208</v>
      </c>
      <c r="AB6" s="49" t="s">
        <v>208</v>
      </c>
      <c r="AD6" s="49" t="s">
        <v>208</v>
      </c>
    </row>
    <row r="7" spans="2:30" ht="12.75">
      <c r="B7" s="49" t="s">
        <v>204</v>
      </c>
      <c r="F7" s="49" t="s">
        <v>213</v>
      </c>
      <c r="H7" s="49" t="s">
        <v>213</v>
      </c>
      <c r="J7" s="49" t="s">
        <v>213</v>
      </c>
      <c r="L7" s="49" t="s">
        <v>206</v>
      </c>
      <c r="N7" s="49" t="s">
        <v>206</v>
      </c>
      <c r="P7" s="49" t="s">
        <v>206</v>
      </c>
      <c r="X7" s="49" t="s">
        <v>20</v>
      </c>
      <c r="Z7" s="49" t="s">
        <v>20</v>
      </c>
      <c r="AB7" s="49" t="s">
        <v>20</v>
      </c>
      <c r="AD7" s="49" t="s">
        <v>20</v>
      </c>
    </row>
    <row r="8" spans="2:30" ht="12.75">
      <c r="B8" s="49" t="s">
        <v>216</v>
      </c>
      <c r="R8" s="49" t="s">
        <v>40</v>
      </c>
      <c r="T8" s="49" t="s">
        <v>40</v>
      </c>
      <c r="V8" s="49" t="s">
        <v>40</v>
      </c>
      <c r="X8" s="49" t="s">
        <v>20</v>
      </c>
      <c r="Z8" s="49" t="s">
        <v>20</v>
      </c>
      <c r="AB8" s="49" t="s">
        <v>20</v>
      </c>
      <c r="AD8" s="49" t="s">
        <v>20</v>
      </c>
    </row>
    <row r="9" spans="2:30" ht="12.75">
      <c r="B9" s="49" t="s">
        <v>21</v>
      </c>
      <c r="F9" s="49" t="s">
        <v>162</v>
      </c>
      <c r="H9" s="49" t="s">
        <v>162</v>
      </c>
      <c r="J9" s="49" t="s">
        <v>162</v>
      </c>
      <c r="L9" s="49" t="s">
        <v>163</v>
      </c>
      <c r="N9" s="49" t="s">
        <v>163</v>
      </c>
      <c r="P9" s="49" t="s">
        <v>163</v>
      </c>
      <c r="X9" s="49" t="s">
        <v>20</v>
      </c>
      <c r="Z9" s="49" t="s">
        <v>20</v>
      </c>
      <c r="AB9" s="49" t="s">
        <v>20</v>
      </c>
      <c r="AD9" s="49" t="s">
        <v>20</v>
      </c>
    </row>
    <row r="10" spans="1:22" ht="12.75">
      <c r="A10" s="49" t="s">
        <v>98</v>
      </c>
      <c r="B10" s="49" t="s">
        <v>164</v>
      </c>
      <c r="D10" s="49" t="s">
        <v>29</v>
      </c>
      <c r="E10" s="50"/>
      <c r="F10" s="50">
        <v>375</v>
      </c>
      <c r="G10" s="50"/>
      <c r="H10" s="50">
        <v>375</v>
      </c>
      <c r="I10" s="50"/>
      <c r="J10" s="50">
        <v>375</v>
      </c>
      <c r="K10" s="50"/>
      <c r="L10" s="50">
        <v>525</v>
      </c>
      <c r="M10" s="50"/>
      <c r="N10" s="50">
        <v>525</v>
      </c>
      <c r="O10" s="50"/>
      <c r="P10" s="50">
        <v>525</v>
      </c>
      <c r="Q10" s="50"/>
      <c r="R10" s="50"/>
      <c r="S10" s="50"/>
      <c r="T10" s="50"/>
      <c r="U10" s="50"/>
      <c r="V10" s="50"/>
    </row>
    <row r="11" spans="1:22" ht="12.75">
      <c r="A11" s="49" t="s">
        <v>98</v>
      </c>
      <c r="B11" s="49" t="s">
        <v>165</v>
      </c>
      <c r="D11" s="49" t="s">
        <v>23</v>
      </c>
      <c r="E11" s="50"/>
      <c r="F11" s="50">
        <v>10200</v>
      </c>
      <c r="G11" s="50"/>
      <c r="H11" s="50">
        <v>10090</v>
      </c>
      <c r="I11" s="50"/>
      <c r="J11" s="50">
        <v>10325</v>
      </c>
      <c r="K11" s="50"/>
      <c r="L11" s="50">
        <v>13925</v>
      </c>
      <c r="M11" s="50"/>
      <c r="N11" s="50">
        <v>16760</v>
      </c>
      <c r="O11" s="50"/>
      <c r="P11" s="50">
        <v>15065</v>
      </c>
      <c r="Q11" s="50"/>
      <c r="R11" s="50"/>
      <c r="S11" s="50"/>
      <c r="T11" s="50"/>
      <c r="U11" s="50"/>
      <c r="V11" s="50"/>
    </row>
    <row r="12" spans="1:22" ht="12.75">
      <c r="A12" s="49" t="s">
        <v>98</v>
      </c>
      <c r="B12" s="49" t="s">
        <v>24</v>
      </c>
      <c r="D12" s="49" t="s">
        <v>166</v>
      </c>
      <c r="E12" s="50"/>
      <c r="F12" s="50">
        <v>0.196</v>
      </c>
      <c r="G12" s="50"/>
      <c r="H12" s="50">
        <v>0.266</v>
      </c>
      <c r="I12" s="50"/>
      <c r="J12" s="50">
        <v>0.215</v>
      </c>
      <c r="K12" s="50"/>
      <c r="L12" s="50">
        <v>1.07</v>
      </c>
      <c r="M12" s="50"/>
      <c r="N12" s="50">
        <v>1.2</v>
      </c>
      <c r="O12" s="50"/>
      <c r="P12" s="50">
        <v>0</v>
      </c>
      <c r="Q12" s="50"/>
      <c r="R12" s="50"/>
      <c r="S12" s="50"/>
      <c r="T12" s="50"/>
      <c r="U12" s="50"/>
      <c r="V12" s="50"/>
    </row>
    <row r="13" spans="1:22" ht="12.75">
      <c r="A13" s="49" t="s">
        <v>98</v>
      </c>
      <c r="B13" s="49" t="s">
        <v>25</v>
      </c>
      <c r="D13" s="49" t="s">
        <v>167</v>
      </c>
      <c r="E13" s="50"/>
      <c r="F13" s="50">
        <v>30600</v>
      </c>
      <c r="G13" s="50"/>
      <c r="H13" s="50">
        <v>30700</v>
      </c>
      <c r="I13" s="50"/>
      <c r="J13" s="50">
        <v>32600</v>
      </c>
      <c r="K13" s="50"/>
      <c r="L13" s="50">
        <v>253</v>
      </c>
      <c r="M13" s="50"/>
      <c r="N13" s="50">
        <v>345</v>
      </c>
      <c r="O13" s="50"/>
      <c r="P13" s="50">
        <v>490</v>
      </c>
      <c r="Q13" s="50"/>
      <c r="R13" s="50"/>
      <c r="S13" s="50"/>
      <c r="T13" s="50"/>
      <c r="U13" s="50"/>
      <c r="V13" s="50"/>
    </row>
    <row r="14" spans="1:22" ht="12.75">
      <c r="A14" s="49" t="s">
        <v>98</v>
      </c>
      <c r="B14" s="49" t="s">
        <v>56</v>
      </c>
      <c r="D14" s="49" t="s">
        <v>167</v>
      </c>
      <c r="E14" s="50">
        <v>1</v>
      </c>
      <c r="F14" s="50">
        <v>2</v>
      </c>
      <c r="G14" s="50">
        <v>1</v>
      </c>
      <c r="H14" s="50">
        <v>2</v>
      </c>
      <c r="I14" s="50">
        <v>1</v>
      </c>
      <c r="J14" s="50">
        <v>2</v>
      </c>
      <c r="K14" s="50">
        <v>1</v>
      </c>
      <c r="L14" s="50">
        <v>2</v>
      </c>
      <c r="M14" s="50">
        <v>1</v>
      </c>
      <c r="N14" s="50">
        <v>2</v>
      </c>
      <c r="O14" s="50">
        <v>1</v>
      </c>
      <c r="P14" s="50">
        <v>2</v>
      </c>
      <c r="Q14" s="50"/>
      <c r="R14" s="50"/>
      <c r="S14" s="50"/>
      <c r="T14" s="50"/>
      <c r="U14" s="50"/>
      <c r="V14" s="50"/>
    </row>
    <row r="15" spans="1:22" ht="12.75">
      <c r="A15" s="49" t="s">
        <v>98</v>
      </c>
      <c r="B15" s="49" t="s">
        <v>57</v>
      </c>
      <c r="D15" s="49" t="s">
        <v>167</v>
      </c>
      <c r="E15" s="50">
        <v>1</v>
      </c>
      <c r="F15" s="50">
        <v>2</v>
      </c>
      <c r="G15" s="50">
        <v>1</v>
      </c>
      <c r="H15" s="50">
        <v>2</v>
      </c>
      <c r="I15" s="50">
        <v>1</v>
      </c>
      <c r="J15" s="50">
        <v>2</v>
      </c>
      <c r="K15" s="50">
        <v>1</v>
      </c>
      <c r="L15" s="50">
        <v>2</v>
      </c>
      <c r="M15" s="50">
        <v>1</v>
      </c>
      <c r="N15" s="50">
        <v>2</v>
      </c>
      <c r="O15" s="50">
        <v>1</v>
      </c>
      <c r="P15" s="50">
        <v>2</v>
      </c>
      <c r="Q15" s="50"/>
      <c r="R15" s="50"/>
      <c r="S15" s="50"/>
      <c r="T15" s="50"/>
      <c r="U15" s="50"/>
      <c r="V15" s="50"/>
    </row>
    <row r="16" spans="1:22" ht="12.75">
      <c r="A16" s="49" t="s">
        <v>98</v>
      </c>
      <c r="B16" s="49" t="s">
        <v>58</v>
      </c>
      <c r="D16" s="49" t="s">
        <v>167</v>
      </c>
      <c r="E16" s="50">
        <v>1</v>
      </c>
      <c r="F16" s="50">
        <v>2</v>
      </c>
      <c r="G16" s="50">
        <v>1</v>
      </c>
      <c r="H16" s="50">
        <v>2</v>
      </c>
      <c r="I16" s="50">
        <v>1</v>
      </c>
      <c r="J16" s="50">
        <v>2</v>
      </c>
      <c r="K16" s="50">
        <v>1</v>
      </c>
      <c r="L16" s="50">
        <v>2</v>
      </c>
      <c r="M16" s="50">
        <v>1</v>
      </c>
      <c r="N16" s="50">
        <v>2</v>
      </c>
      <c r="O16" s="50">
        <v>1</v>
      </c>
      <c r="P16" s="50">
        <v>2</v>
      </c>
      <c r="Q16" s="50"/>
      <c r="R16" s="50"/>
      <c r="S16" s="50"/>
      <c r="T16" s="50"/>
      <c r="U16" s="50"/>
      <c r="V16" s="50"/>
    </row>
    <row r="17" spans="1:22" ht="12.75">
      <c r="A17" s="49" t="s">
        <v>98</v>
      </c>
      <c r="B17" s="49" t="s">
        <v>59</v>
      </c>
      <c r="D17" s="49" t="s">
        <v>167</v>
      </c>
      <c r="E17" s="50">
        <v>1</v>
      </c>
      <c r="F17" s="50">
        <v>1</v>
      </c>
      <c r="G17" s="50">
        <v>1</v>
      </c>
      <c r="H17" s="50">
        <v>1</v>
      </c>
      <c r="I17" s="50">
        <v>1</v>
      </c>
      <c r="J17" s="50">
        <v>1</v>
      </c>
      <c r="K17" s="50">
        <v>1</v>
      </c>
      <c r="L17" s="50">
        <v>1</v>
      </c>
      <c r="M17" s="50">
        <v>1</v>
      </c>
      <c r="N17" s="50">
        <v>1</v>
      </c>
      <c r="O17" s="50">
        <v>1</v>
      </c>
      <c r="P17" s="50">
        <v>1</v>
      </c>
      <c r="Q17" s="50"/>
      <c r="R17" s="50"/>
      <c r="S17" s="50"/>
      <c r="T17" s="50"/>
      <c r="U17" s="50"/>
      <c r="V17" s="50"/>
    </row>
    <row r="18" spans="1:22" ht="12.75">
      <c r="A18" s="49" t="s">
        <v>98</v>
      </c>
      <c r="B18" s="49" t="s">
        <v>60</v>
      </c>
      <c r="D18" s="49" t="s">
        <v>167</v>
      </c>
      <c r="E18" s="50">
        <v>1</v>
      </c>
      <c r="F18" s="50">
        <v>2</v>
      </c>
      <c r="G18" s="50">
        <v>1</v>
      </c>
      <c r="H18" s="50">
        <v>2</v>
      </c>
      <c r="I18" s="50">
        <v>1</v>
      </c>
      <c r="J18" s="50">
        <v>2</v>
      </c>
      <c r="K18" s="50">
        <v>1</v>
      </c>
      <c r="L18" s="50">
        <v>2</v>
      </c>
      <c r="M18" s="50">
        <v>1</v>
      </c>
      <c r="N18" s="50">
        <v>2</v>
      </c>
      <c r="O18" s="50">
        <v>1</v>
      </c>
      <c r="P18" s="50">
        <v>2</v>
      </c>
      <c r="Q18" s="50"/>
      <c r="R18" s="50"/>
      <c r="S18" s="50"/>
      <c r="T18" s="50"/>
      <c r="U18" s="50"/>
      <c r="V18" s="50"/>
    </row>
    <row r="19" spans="1:22" ht="12.75">
      <c r="A19" s="49" t="s">
        <v>98</v>
      </c>
      <c r="B19" s="49" t="s">
        <v>73</v>
      </c>
      <c r="D19" s="49" t="s">
        <v>167</v>
      </c>
      <c r="E19" s="50">
        <v>1</v>
      </c>
      <c r="F19" s="50">
        <v>2.84</v>
      </c>
      <c r="G19" s="50">
        <v>1</v>
      </c>
      <c r="H19" s="50">
        <v>2</v>
      </c>
      <c r="I19" s="50">
        <v>1</v>
      </c>
      <c r="J19" s="50">
        <v>2</v>
      </c>
      <c r="K19" s="50">
        <v>1</v>
      </c>
      <c r="L19" s="50">
        <v>2</v>
      </c>
      <c r="M19" s="50">
        <v>1</v>
      </c>
      <c r="N19" s="50">
        <v>2</v>
      </c>
      <c r="O19" s="50">
        <v>1</v>
      </c>
      <c r="P19" s="50">
        <v>2</v>
      </c>
      <c r="Q19" s="50"/>
      <c r="R19" s="50"/>
      <c r="S19" s="50"/>
      <c r="T19" s="50"/>
      <c r="U19" s="50"/>
      <c r="V19" s="50"/>
    </row>
    <row r="20" spans="1:22" ht="12.75">
      <c r="A20" s="49" t="s">
        <v>98</v>
      </c>
      <c r="B20" s="49" t="s">
        <v>55</v>
      </c>
      <c r="D20" s="49" t="s">
        <v>167</v>
      </c>
      <c r="E20" s="50">
        <v>1</v>
      </c>
      <c r="F20" s="50">
        <v>2</v>
      </c>
      <c r="G20" s="50">
        <v>1</v>
      </c>
      <c r="H20" s="50">
        <v>2</v>
      </c>
      <c r="I20" s="50">
        <v>1</v>
      </c>
      <c r="J20" s="50">
        <v>2</v>
      </c>
      <c r="K20" s="50">
        <v>1</v>
      </c>
      <c r="L20" s="50">
        <v>2</v>
      </c>
      <c r="M20" s="50">
        <v>1</v>
      </c>
      <c r="N20" s="50">
        <v>2</v>
      </c>
      <c r="O20" s="50">
        <v>1</v>
      </c>
      <c r="P20" s="50">
        <v>2</v>
      </c>
      <c r="Q20" s="50"/>
      <c r="R20" s="50"/>
      <c r="S20" s="50"/>
      <c r="T20" s="50"/>
      <c r="U20" s="50"/>
      <c r="V20" s="50"/>
    </row>
    <row r="21" spans="1:22" ht="12.75">
      <c r="A21" s="49" t="s">
        <v>98</v>
      </c>
      <c r="B21" s="49" t="s">
        <v>61</v>
      </c>
      <c r="D21" s="49" t="s">
        <v>167</v>
      </c>
      <c r="E21" s="50">
        <v>1</v>
      </c>
      <c r="F21" s="50">
        <v>0.0759</v>
      </c>
      <c r="G21" s="50">
        <v>1</v>
      </c>
      <c r="H21" s="50">
        <v>0.077</v>
      </c>
      <c r="I21" s="50">
        <v>1</v>
      </c>
      <c r="J21" s="50">
        <v>0.0948</v>
      </c>
      <c r="K21" s="50">
        <v>1</v>
      </c>
      <c r="L21" s="50">
        <v>0.0875</v>
      </c>
      <c r="M21" s="50">
        <v>1</v>
      </c>
      <c r="N21" s="50">
        <v>0.0893</v>
      </c>
      <c r="O21" s="50">
        <v>1</v>
      </c>
      <c r="P21" s="50">
        <v>0.0691</v>
      </c>
      <c r="Q21" s="50"/>
      <c r="R21" s="50"/>
      <c r="S21" s="50"/>
      <c r="T21" s="50"/>
      <c r="U21" s="50"/>
      <c r="V21" s="50"/>
    </row>
    <row r="22" spans="1:22" ht="12.75">
      <c r="A22" s="49" t="s">
        <v>98</v>
      </c>
      <c r="B22" s="49" t="s">
        <v>64</v>
      </c>
      <c r="D22" s="49" t="s">
        <v>167</v>
      </c>
      <c r="E22" s="50">
        <v>1</v>
      </c>
      <c r="F22" s="50">
        <v>2</v>
      </c>
      <c r="G22" s="50">
        <v>1</v>
      </c>
      <c r="H22" s="50">
        <v>2</v>
      </c>
      <c r="I22" s="50">
        <v>1</v>
      </c>
      <c r="J22" s="50">
        <v>2</v>
      </c>
      <c r="K22" s="50">
        <v>1</v>
      </c>
      <c r="L22" s="50">
        <v>2</v>
      </c>
      <c r="M22" s="50">
        <v>1</v>
      </c>
      <c r="N22" s="50">
        <v>2</v>
      </c>
      <c r="O22" s="50">
        <v>1</v>
      </c>
      <c r="P22" s="50">
        <v>2</v>
      </c>
      <c r="Q22" s="50"/>
      <c r="R22" s="50"/>
      <c r="S22" s="50"/>
      <c r="T22" s="50"/>
      <c r="U22" s="50"/>
      <c r="V22" s="50"/>
    </row>
    <row r="23" spans="1:22" ht="12.75">
      <c r="A23" s="49" t="s">
        <v>98</v>
      </c>
      <c r="B23" s="49" t="s">
        <v>65</v>
      </c>
      <c r="D23" s="49" t="s">
        <v>167</v>
      </c>
      <c r="E23" s="50">
        <v>1</v>
      </c>
      <c r="F23" s="50">
        <v>2</v>
      </c>
      <c r="G23" s="50">
        <v>1</v>
      </c>
      <c r="H23" s="50">
        <v>2</v>
      </c>
      <c r="I23" s="50">
        <v>1</v>
      </c>
      <c r="J23" s="50">
        <v>2</v>
      </c>
      <c r="K23" s="50">
        <v>1</v>
      </c>
      <c r="L23" s="50">
        <v>2</v>
      </c>
      <c r="M23" s="50">
        <v>1</v>
      </c>
      <c r="N23" s="50">
        <v>2</v>
      </c>
      <c r="O23" s="50">
        <v>1</v>
      </c>
      <c r="P23" s="50">
        <v>2</v>
      </c>
      <c r="Q23" s="50"/>
      <c r="R23" s="50"/>
      <c r="S23" s="50"/>
      <c r="T23" s="50"/>
      <c r="U23" s="50"/>
      <c r="V23" s="50"/>
    </row>
    <row r="24" spans="5:22" ht="12.75"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2:30" ht="12.75">
      <c r="B25" s="6" t="s">
        <v>37</v>
      </c>
      <c r="D25" s="49" t="s">
        <v>17</v>
      </c>
      <c r="E25" s="50"/>
      <c r="F25" s="50">
        <f>'emiss 2'!$G$25</f>
        <v>3674</v>
      </c>
      <c r="G25" s="50"/>
      <c r="H25" s="50">
        <f>'emiss 2'!$I$25</f>
        <v>3965</v>
      </c>
      <c r="I25" s="50"/>
      <c r="J25" s="50">
        <f>'emiss 2'!$K$25</f>
        <v>3944</v>
      </c>
      <c r="K25" s="50"/>
      <c r="L25" s="50">
        <f>'emiss 2'!$G$25</f>
        <v>3674</v>
      </c>
      <c r="M25" s="50"/>
      <c r="N25" s="50">
        <f>'emiss 2'!$I$25</f>
        <v>3965</v>
      </c>
      <c r="O25" s="50"/>
      <c r="P25" s="50">
        <f>'emiss 2'!$K$25</f>
        <v>3944</v>
      </c>
      <c r="Q25" s="50"/>
      <c r="R25" s="50"/>
      <c r="S25" s="50"/>
      <c r="T25" s="50"/>
      <c r="U25" s="50"/>
      <c r="V25" s="50"/>
      <c r="X25" s="50">
        <f>'emiss 2'!$G$25</f>
        <v>3674</v>
      </c>
      <c r="Y25" s="50"/>
      <c r="Z25" s="50">
        <f>'emiss 2'!$I$25</f>
        <v>3965</v>
      </c>
      <c r="AA25" s="50"/>
      <c r="AB25" s="50">
        <f>'emiss 2'!$K$25</f>
        <v>3944</v>
      </c>
      <c r="AD25" s="65">
        <f>AVERAGE(X25,Z25,AB25)</f>
        <v>3861</v>
      </c>
    </row>
    <row r="26" spans="2:30" ht="12.75">
      <c r="B26" s="6" t="s">
        <v>38</v>
      </c>
      <c r="D26" s="49" t="s">
        <v>18</v>
      </c>
      <c r="E26" s="50"/>
      <c r="F26" s="50">
        <f>'emiss 2'!$G$26</f>
        <v>14.9</v>
      </c>
      <c r="G26" s="50"/>
      <c r="H26" s="50">
        <f>'emiss 2'!$I$26</f>
        <v>14.8</v>
      </c>
      <c r="I26" s="50"/>
      <c r="J26" s="50">
        <f>'emiss 2'!$K$26</f>
        <v>15</v>
      </c>
      <c r="K26" s="50"/>
      <c r="L26" s="50">
        <f>'emiss 2'!$G$26</f>
        <v>14.9</v>
      </c>
      <c r="M26" s="50"/>
      <c r="N26" s="50">
        <f>'emiss 2'!$I$26</f>
        <v>14.8</v>
      </c>
      <c r="O26" s="50"/>
      <c r="P26" s="50">
        <f>'emiss 2'!$K$26</f>
        <v>15</v>
      </c>
      <c r="Q26" s="50"/>
      <c r="R26" s="50"/>
      <c r="S26" s="50"/>
      <c r="T26" s="50"/>
      <c r="U26" s="50"/>
      <c r="V26" s="50"/>
      <c r="X26" s="50">
        <f>'emiss 2'!$G$26</f>
        <v>14.9</v>
      </c>
      <c r="Y26" s="50"/>
      <c r="Z26" s="50">
        <f>'emiss 2'!$I$26</f>
        <v>14.8</v>
      </c>
      <c r="AA26" s="50"/>
      <c r="AB26" s="50">
        <f>'emiss 2'!$K$26</f>
        <v>15</v>
      </c>
      <c r="AD26" s="60">
        <f>AVERAGE(X26,Z26,AB26)</f>
        <v>14.9</v>
      </c>
    </row>
    <row r="27" spans="5:22" ht="12.75"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2:30" ht="12.75">
      <c r="B28" s="49" t="s">
        <v>77</v>
      </c>
      <c r="D28" s="49" t="s">
        <v>32</v>
      </c>
      <c r="E28" s="50"/>
      <c r="F28" s="60">
        <f>F10*F11/1000000</f>
        <v>3.825</v>
      </c>
      <c r="G28" s="50"/>
      <c r="H28" s="60">
        <f>H10*H11/1000000</f>
        <v>3.78375</v>
      </c>
      <c r="I28" s="50"/>
      <c r="J28" s="60">
        <f>J10*J11/1000000</f>
        <v>3.871875</v>
      </c>
      <c r="K28" s="50"/>
      <c r="L28" s="60">
        <f>L10*L11/1000000</f>
        <v>7.310625</v>
      </c>
      <c r="M28" s="50"/>
      <c r="N28" s="60">
        <f>N10*N11/1000000</f>
        <v>8.799</v>
      </c>
      <c r="O28" s="50"/>
      <c r="P28" s="60">
        <f>P10*P11/1000000</f>
        <v>7.909125</v>
      </c>
      <c r="Q28" s="60"/>
      <c r="R28" s="60"/>
      <c r="S28" s="60"/>
      <c r="T28" s="60"/>
      <c r="U28" s="60"/>
      <c r="V28" s="60"/>
      <c r="X28" s="60">
        <f>F28+L28</f>
        <v>11.135625000000001</v>
      </c>
      <c r="Z28" s="60">
        <f>H28+N28</f>
        <v>12.582749999999999</v>
      </c>
      <c r="AB28" s="60">
        <f>J28+P28</f>
        <v>11.781</v>
      </c>
      <c r="AD28" s="60">
        <f>AVERAGE(X28,Z28,AB28)</f>
        <v>11.833125</v>
      </c>
    </row>
    <row r="29" spans="2:30" ht="12.75">
      <c r="B29" s="49" t="s">
        <v>217</v>
      </c>
      <c r="D29" s="49" t="s">
        <v>32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AD29" s="52">
        <f>AD25/9000*(21-AD26)/21*60</f>
        <v>7.476857142857142</v>
      </c>
    </row>
    <row r="30" spans="5:22" ht="12.75"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2:22" ht="12.75">
      <c r="B31" s="30" t="s">
        <v>49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2:30" ht="12.75">
      <c r="B32" s="49" t="s">
        <v>24</v>
      </c>
      <c r="D32" s="49" t="s">
        <v>39</v>
      </c>
      <c r="E32" s="50"/>
      <c r="F32" s="52">
        <f>F$10*F12/100/0.0283/60*14/(21-F$26)/F$25*1000*454</f>
        <v>122.76216946757694</v>
      </c>
      <c r="G32" s="50"/>
      <c r="H32" s="52">
        <f>H$10*H12/100/0.0283/60*14/(21-H$26)/H$25*1000*454</f>
        <v>151.88826660499254</v>
      </c>
      <c r="I32" s="50"/>
      <c r="J32" s="52">
        <f>J$10*J12/100/0.0283/60*14/(21-J$26)/J$25*1000*454</f>
        <v>127.5345263608063</v>
      </c>
      <c r="K32" s="50"/>
      <c r="L32" s="52">
        <f>L$10*L12/100/0.0283/60*14/(21-L$26)/L$25*1000*454</f>
        <v>938.2537237879094</v>
      </c>
      <c r="M32" s="50"/>
      <c r="N32" s="52">
        <f>N$10*N12/100/0.0283/60*14/(21-N$26)/N$25*1000*454</f>
        <v>959.2943153999527</v>
      </c>
      <c r="O32" s="50"/>
      <c r="P32" s="52">
        <f>P$10*P12/100/0.0283/60*14/(21-P$26)/P$25*1000*454</f>
        <v>0</v>
      </c>
      <c r="Q32" s="52"/>
      <c r="R32" s="52">
        <f>X32</f>
        <v>1061.0158932554864</v>
      </c>
      <c r="S32" s="52"/>
      <c r="T32" s="52">
        <f>Z32</f>
        <v>1111.1825820049453</v>
      </c>
      <c r="U32" s="52"/>
      <c r="V32" s="52">
        <f>AB32</f>
        <v>127.5345263608063</v>
      </c>
      <c r="X32" s="52">
        <f>L32+F32</f>
        <v>1061.0158932554864</v>
      </c>
      <c r="Y32" s="52"/>
      <c r="Z32" s="52">
        <f>N32+H32</f>
        <v>1111.1825820049453</v>
      </c>
      <c r="AA32" s="52"/>
      <c r="AB32" s="52">
        <f>P32+J32</f>
        <v>127.5345263608063</v>
      </c>
      <c r="AC32" s="52"/>
      <c r="AD32" s="52">
        <f>AVERAGE(AB32,Z32,X32)</f>
        <v>766.5776672070793</v>
      </c>
    </row>
    <row r="33" spans="2:30" ht="12.75">
      <c r="B33" s="49" t="s">
        <v>25</v>
      </c>
      <c r="D33" s="49" t="s">
        <v>34</v>
      </c>
      <c r="E33" s="50"/>
      <c r="F33" s="52">
        <f>F$10*F13/0.0283/60*14/(21-F$26)/F$25*454</f>
        <v>1916593.0539325788</v>
      </c>
      <c r="G33" s="50"/>
      <c r="H33" s="52">
        <f>H$10*H13/0.0283/60*14/(21-H$26)/H$25*454</f>
        <v>1752996.1596891992</v>
      </c>
      <c r="I33" s="50"/>
      <c r="J33" s="52">
        <f aca="true" t="shared" si="0" ref="J33:J43">J$10*J13/0.0283/60*14/(21-J$26)/J$25*454</f>
        <v>1933779.3299359465</v>
      </c>
      <c r="K33" s="50"/>
      <c r="L33" s="52">
        <f aca="true" t="shared" si="1" ref="L33:L43">L$10*L13/0.0283/60*14/(21-L$26)/L$25*454</f>
        <v>22184.87776806926</v>
      </c>
      <c r="M33" s="50"/>
      <c r="N33" s="52">
        <f aca="true" t="shared" si="2" ref="N33:N43">N$10*N13/0.0283/60*14/(21-N$26)/N$25*454</f>
        <v>27579.71156774864</v>
      </c>
      <c r="O33" s="50"/>
      <c r="P33" s="52">
        <f aca="true" t="shared" si="3" ref="P33:P43">P$10*P13/0.0283/60*14/(21-P$26)/P$25*454</f>
        <v>40692.41166675029</v>
      </c>
      <c r="Q33" s="52"/>
      <c r="R33" s="52">
        <f aca="true" t="shared" si="4" ref="R33:V45">X33</f>
        <v>1938777.931700648</v>
      </c>
      <c r="S33" s="52"/>
      <c r="T33" s="52">
        <f t="shared" si="4"/>
        <v>1780575.8712569478</v>
      </c>
      <c r="U33" s="52"/>
      <c r="V33" s="52">
        <f t="shared" si="4"/>
        <v>1974471.7416026967</v>
      </c>
      <c r="X33" s="52">
        <f aca="true" t="shared" si="5" ref="X33:AB45">L33+F33</f>
        <v>1938777.931700648</v>
      </c>
      <c r="Y33" s="52"/>
      <c r="Z33" s="52">
        <f t="shared" si="5"/>
        <v>1780575.8712569478</v>
      </c>
      <c r="AA33" s="52"/>
      <c r="AB33" s="52">
        <f t="shared" si="5"/>
        <v>1974471.7416026967</v>
      </c>
      <c r="AC33" s="52"/>
      <c r="AD33" s="52">
        <f aca="true" t="shared" si="6" ref="AD33:AD45">AVERAGE(AB33,Z33,X33)</f>
        <v>1897941.8481867642</v>
      </c>
    </row>
    <row r="34" spans="2:30" ht="12.75">
      <c r="B34" s="49" t="s">
        <v>56</v>
      </c>
      <c r="D34" s="49" t="s">
        <v>34</v>
      </c>
      <c r="E34" s="50">
        <v>100</v>
      </c>
      <c r="F34" s="52">
        <f aca="true" t="shared" si="7" ref="F34:H43">F$10*F14/0.0283/60*14/(21-F$26)/F$25*454</f>
        <v>125.26751986487444</v>
      </c>
      <c r="G34" s="50">
        <v>100</v>
      </c>
      <c r="H34" s="52">
        <f t="shared" si="7"/>
        <v>114.20170421428007</v>
      </c>
      <c r="I34" s="50">
        <v>100</v>
      </c>
      <c r="J34" s="52">
        <f t="shared" si="0"/>
        <v>118.6367687077268</v>
      </c>
      <c r="K34" s="50">
        <v>100</v>
      </c>
      <c r="L34" s="52">
        <f t="shared" si="1"/>
        <v>175.37452781082422</v>
      </c>
      <c r="M34" s="50">
        <v>100</v>
      </c>
      <c r="N34" s="52">
        <f t="shared" si="2"/>
        <v>159.8823858999921</v>
      </c>
      <c r="O34" s="50">
        <v>100</v>
      </c>
      <c r="P34" s="52">
        <f t="shared" si="3"/>
        <v>166.0914761908175</v>
      </c>
      <c r="Q34" s="50">
        <v>100</v>
      </c>
      <c r="R34" s="52">
        <f t="shared" si="4"/>
        <v>300.6420476756987</v>
      </c>
      <c r="S34" s="50">
        <v>100</v>
      </c>
      <c r="T34" s="52">
        <f t="shared" si="4"/>
        <v>274.08409011427216</v>
      </c>
      <c r="U34" s="50">
        <v>100</v>
      </c>
      <c r="V34" s="52">
        <f t="shared" si="4"/>
        <v>284.7282448985443</v>
      </c>
      <c r="W34" s="50">
        <v>100</v>
      </c>
      <c r="X34" s="52">
        <f t="shared" si="5"/>
        <v>300.6420476756987</v>
      </c>
      <c r="Y34" s="50">
        <v>100</v>
      </c>
      <c r="Z34" s="52">
        <f t="shared" si="5"/>
        <v>274.08409011427216</v>
      </c>
      <c r="AA34" s="50">
        <v>100</v>
      </c>
      <c r="AB34" s="52">
        <f t="shared" si="5"/>
        <v>284.7282448985443</v>
      </c>
      <c r="AC34" s="50">
        <v>100</v>
      </c>
      <c r="AD34" s="52">
        <f t="shared" si="6"/>
        <v>286.48479422950504</v>
      </c>
    </row>
    <row r="35" spans="2:30" ht="12.75">
      <c r="B35" s="49" t="s">
        <v>57</v>
      </c>
      <c r="D35" s="49" t="s">
        <v>34</v>
      </c>
      <c r="E35" s="50">
        <v>100</v>
      </c>
      <c r="F35" s="52">
        <f t="shared" si="7"/>
        <v>125.26751986487444</v>
      </c>
      <c r="G35" s="50">
        <v>100</v>
      </c>
      <c r="H35" s="52">
        <f t="shared" si="7"/>
        <v>114.20170421428007</v>
      </c>
      <c r="I35" s="50">
        <v>100</v>
      </c>
      <c r="J35" s="52">
        <f t="shared" si="0"/>
        <v>118.6367687077268</v>
      </c>
      <c r="K35" s="50">
        <v>100</v>
      </c>
      <c r="L35" s="52">
        <f t="shared" si="1"/>
        <v>175.37452781082422</v>
      </c>
      <c r="M35" s="50">
        <v>100</v>
      </c>
      <c r="N35" s="52">
        <f t="shared" si="2"/>
        <v>159.8823858999921</v>
      </c>
      <c r="O35" s="50">
        <v>100</v>
      </c>
      <c r="P35" s="52">
        <f t="shared" si="3"/>
        <v>166.0914761908175</v>
      </c>
      <c r="Q35" s="50">
        <v>100</v>
      </c>
      <c r="R35" s="52">
        <f t="shared" si="4"/>
        <v>300.6420476756987</v>
      </c>
      <c r="S35" s="50">
        <v>100</v>
      </c>
      <c r="T35" s="52">
        <f t="shared" si="4"/>
        <v>274.08409011427216</v>
      </c>
      <c r="U35" s="50">
        <v>100</v>
      </c>
      <c r="V35" s="52">
        <f t="shared" si="4"/>
        <v>284.7282448985443</v>
      </c>
      <c r="W35" s="50">
        <v>100</v>
      </c>
      <c r="X35" s="52">
        <f t="shared" si="5"/>
        <v>300.6420476756987</v>
      </c>
      <c r="Y35" s="50">
        <v>100</v>
      </c>
      <c r="Z35" s="52">
        <f t="shared" si="5"/>
        <v>274.08409011427216</v>
      </c>
      <c r="AA35" s="50">
        <v>100</v>
      </c>
      <c r="AB35" s="52">
        <f t="shared" si="5"/>
        <v>284.7282448985443</v>
      </c>
      <c r="AC35" s="50">
        <v>100</v>
      </c>
      <c r="AD35" s="52">
        <f t="shared" si="6"/>
        <v>286.48479422950504</v>
      </c>
    </row>
    <row r="36" spans="2:30" ht="12.75">
      <c r="B36" s="49" t="s">
        <v>58</v>
      </c>
      <c r="D36" s="49" t="s">
        <v>34</v>
      </c>
      <c r="E36" s="50">
        <v>100</v>
      </c>
      <c r="F36" s="52">
        <f t="shared" si="7"/>
        <v>125.26751986487444</v>
      </c>
      <c r="G36" s="50">
        <v>100</v>
      </c>
      <c r="H36" s="52">
        <f t="shared" si="7"/>
        <v>114.20170421428007</v>
      </c>
      <c r="I36" s="50">
        <v>100</v>
      </c>
      <c r="J36" s="52">
        <f t="shared" si="0"/>
        <v>118.6367687077268</v>
      </c>
      <c r="K36" s="50">
        <v>100</v>
      </c>
      <c r="L36" s="52">
        <f t="shared" si="1"/>
        <v>175.37452781082422</v>
      </c>
      <c r="M36" s="50">
        <v>100</v>
      </c>
      <c r="N36" s="52">
        <f t="shared" si="2"/>
        <v>159.8823858999921</v>
      </c>
      <c r="O36" s="50">
        <v>100</v>
      </c>
      <c r="P36" s="52">
        <f t="shared" si="3"/>
        <v>166.0914761908175</v>
      </c>
      <c r="Q36" s="50">
        <v>100</v>
      </c>
      <c r="R36" s="52">
        <f t="shared" si="4"/>
        <v>300.6420476756987</v>
      </c>
      <c r="S36" s="50">
        <v>100</v>
      </c>
      <c r="T36" s="52">
        <f t="shared" si="4"/>
        <v>274.08409011427216</v>
      </c>
      <c r="U36" s="50">
        <v>100</v>
      </c>
      <c r="V36" s="52">
        <f t="shared" si="4"/>
        <v>284.7282448985443</v>
      </c>
      <c r="W36" s="50">
        <v>100</v>
      </c>
      <c r="X36" s="52">
        <f t="shared" si="5"/>
        <v>300.6420476756987</v>
      </c>
      <c r="Y36" s="50">
        <v>100</v>
      </c>
      <c r="Z36" s="52">
        <f t="shared" si="5"/>
        <v>274.08409011427216</v>
      </c>
      <c r="AA36" s="50">
        <v>100</v>
      </c>
      <c r="AB36" s="52">
        <f t="shared" si="5"/>
        <v>284.7282448985443</v>
      </c>
      <c r="AC36" s="50">
        <v>100</v>
      </c>
      <c r="AD36" s="52">
        <f t="shared" si="6"/>
        <v>286.48479422950504</v>
      </c>
    </row>
    <row r="37" spans="2:30" ht="12.75">
      <c r="B37" s="49" t="s">
        <v>59</v>
      </c>
      <c r="D37" s="49" t="s">
        <v>34</v>
      </c>
      <c r="E37" s="50">
        <v>100</v>
      </c>
      <c r="F37" s="52">
        <f t="shared" si="7"/>
        <v>62.63375993243722</v>
      </c>
      <c r="G37" s="50">
        <v>100</v>
      </c>
      <c r="H37" s="52">
        <f t="shared" si="7"/>
        <v>57.100852107140035</v>
      </c>
      <c r="I37" s="50">
        <v>100</v>
      </c>
      <c r="J37" s="52">
        <f t="shared" si="0"/>
        <v>59.3183843538634</v>
      </c>
      <c r="K37" s="50">
        <v>100</v>
      </c>
      <c r="L37" s="52">
        <f t="shared" si="1"/>
        <v>87.68726390541211</v>
      </c>
      <c r="M37" s="50">
        <v>100</v>
      </c>
      <c r="N37" s="52">
        <f t="shared" si="2"/>
        <v>79.94119294999605</v>
      </c>
      <c r="O37" s="50">
        <v>100</v>
      </c>
      <c r="P37" s="52">
        <f t="shared" si="3"/>
        <v>83.04573809540875</v>
      </c>
      <c r="Q37" s="50">
        <v>100</v>
      </c>
      <c r="R37" s="52">
        <f t="shared" si="4"/>
        <v>150.32102383784934</v>
      </c>
      <c r="S37" s="50">
        <v>100</v>
      </c>
      <c r="T37" s="52">
        <f t="shared" si="4"/>
        <v>137.04204505713608</v>
      </c>
      <c r="U37" s="50">
        <v>100</v>
      </c>
      <c r="V37" s="52">
        <f t="shared" si="4"/>
        <v>142.36412244927214</v>
      </c>
      <c r="W37" s="50">
        <v>100</v>
      </c>
      <c r="X37" s="52">
        <f t="shared" si="5"/>
        <v>150.32102383784934</v>
      </c>
      <c r="Y37" s="50">
        <v>100</v>
      </c>
      <c r="Z37" s="52">
        <f t="shared" si="5"/>
        <v>137.04204505713608</v>
      </c>
      <c r="AA37" s="50">
        <v>100</v>
      </c>
      <c r="AB37" s="52">
        <f t="shared" si="5"/>
        <v>142.36412244927214</v>
      </c>
      <c r="AC37" s="50">
        <v>100</v>
      </c>
      <c r="AD37" s="52">
        <f t="shared" si="6"/>
        <v>143.24239711475252</v>
      </c>
    </row>
    <row r="38" spans="2:30" ht="12.75">
      <c r="B38" s="49" t="s">
        <v>60</v>
      </c>
      <c r="D38" s="49" t="s">
        <v>34</v>
      </c>
      <c r="E38" s="50">
        <v>100</v>
      </c>
      <c r="F38" s="52">
        <f t="shared" si="7"/>
        <v>125.26751986487444</v>
      </c>
      <c r="G38" s="50">
        <v>100</v>
      </c>
      <c r="H38" s="52">
        <f t="shared" si="7"/>
        <v>114.20170421428007</v>
      </c>
      <c r="I38" s="50">
        <v>100</v>
      </c>
      <c r="J38" s="52">
        <f t="shared" si="0"/>
        <v>118.6367687077268</v>
      </c>
      <c r="K38" s="50">
        <v>100</v>
      </c>
      <c r="L38" s="52">
        <f t="shared" si="1"/>
        <v>175.37452781082422</v>
      </c>
      <c r="M38" s="50">
        <v>100</v>
      </c>
      <c r="N38" s="52">
        <f t="shared" si="2"/>
        <v>159.8823858999921</v>
      </c>
      <c r="O38" s="50">
        <v>100</v>
      </c>
      <c r="P38" s="52">
        <f t="shared" si="3"/>
        <v>166.0914761908175</v>
      </c>
      <c r="Q38" s="50">
        <v>100</v>
      </c>
      <c r="R38" s="52">
        <f t="shared" si="4"/>
        <v>300.6420476756987</v>
      </c>
      <c r="S38" s="50">
        <v>100</v>
      </c>
      <c r="T38" s="52">
        <f t="shared" si="4"/>
        <v>274.08409011427216</v>
      </c>
      <c r="U38" s="50">
        <v>100</v>
      </c>
      <c r="V38" s="52">
        <f t="shared" si="4"/>
        <v>284.7282448985443</v>
      </c>
      <c r="W38" s="50">
        <v>100</v>
      </c>
      <c r="X38" s="52">
        <f t="shared" si="5"/>
        <v>300.6420476756987</v>
      </c>
      <c r="Y38" s="50">
        <v>100</v>
      </c>
      <c r="Z38" s="52">
        <f t="shared" si="5"/>
        <v>274.08409011427216</v>
      </c>
      <c r="AA38" s="50">
        <v>100</v>
      </c>
      <c r="AB38" s="52">
        <f t="shared" si="5"/>
        <v>284.7282448985443</v>
      </c>
      <c r="AC38" s="50">
        <v>100</v>
      </c>
      <c r="AD38" s="52">
        <f t="shared" si="6"/>
        <v>286.48479422950504</v>
      </c>
    </row>
    <row r="39" spans="2:30" ht="12.75">
      <c r="B39" s="49" t="s">
        <v>73</v>
      </c>
      <c r="D39" s="49" t="s">
        <v>34</v>
      </c>
      <c r="E39" s="50">
        <v>100</v>
      </c>
      <c r="F39" s="52">
        <f t="shared" si="7"/>
        <v>177.87987820812168</v>
      </c>
      <c r="G39" s="50">
        <v>100</v>
      </c>
      <c r="H39" s="52">
        <f t="shared" si="7"/>
        <v>114.20170421428007</v>
      </c>
      <c r="I39" s="50">
        <v>100</v>
      </c>
      <c r="J39" s="52">
        <f t="shared" si="0"/>
        <v>118.6367687077268</v>
      </c>
      <c r="K39" s="50">
        <v>100</v>
      </c>
      <c r="L39" s="52">
        <f t="shared" si="1"/>
        <v>175.37452781082422</v>
      </c>
      <c r="M39" s="50">
        <v>100</v>
      </c>
      <c r="N39" s="52">
        <f t="shared" si="2"/>
        <v>159.8823858999921</v>
      </c>
      <c r="O39" s="50">
        <v>100</v>
      </c>
      <c r="P39" s="52">
        <f t="shared" si="3"/>
        <v>166.0914761908175</v>
      </c>
      <c r="Q39" s="50">
        <v>100</v>
      </c>
      <c r="R39" s="52">
        <f t="shared" si="4"/>
        <v>353.25440601894593</v>
      </c>
      <c r="S39" s="50">
        <v>100</v>
      </c>
      <c r="T39" s="52">
        <f t="shared" si="4"/>
        <v>274.08409011427216</v>
      </c>
      <c r="U39" s="50">
        <v>100</v>
      </c>
      <c r="V39" s="52">
        <f t="shared" si="4"/>
        <v>284.7282448985443</v>
      </c>
      <c r="W39" s="50">
        <v>100</v>
      </c>
      <c r="X39" s="52">
        <f t="shared" si="5"/>
        <v>353.25440601894593</v>
      </c>
      <c r="Y39" s="50">
        <v>100</v>
      </c>
      <c r="Z39" s="52">
        <f t="shared" si="5"/>
        <v>274.08409011427216</v>
      </c>
      <c r="AA39" s="50">
        <v>100</v>
      </c>
      <c r="AB39" s="52">
        <f t="shared" si="5"/>
        <v>284.7282448985443</v>
      </c>
      <c r="AC39" s="50">
        <v>100</v>
      </c>
      <c r="AD39" s="52">
        <f t="shared" si="6"/>
        <v>304.0222470105875</v>
      </c>
    </row>
    <row r="40" spans="2:30" ht="12.75">
      <c r="B40" s="49" t="s">
        <v>55</v>
      </c>
      <c r="D40" s="49" t="s">
        <v>34</v>
      </c>
      <c r="E40" s="50">
        <v>100</v>
      </c>
      <c r="F40" s="52">
        <f t="shared" si="7"/>
        <v>125.26751986487444</v>
      </c>
      <c r="G40" s="50">
        <v>100</v>
      </c>
      <c r="H40" s="52">
        <f t="shared" si="7"/>
        <v>114.20170421428007</v>
      </c>
      <c r="I40" s="50">
        <v>100</v>
      </c>
      <c r="J40" s="52">
        <f t="shared" si="0"/>
        <v>118.6367687077268</v>
      </c>
      <c r="K40" s="50">
        <v>100</v>
      </c>
      <c r="L40" s="52">
        <f t="shared" si="1"/>
        <v>175.37452781082422</v>
      </c>
      <c r="M40" s="50">
        <v>100</v>
      </c>
      <c r="N40" s="52">
        <f t="shared" si="2"/>
        <v>159.8823858999921</v>
      </c>
      <c r="O40" s="50">
        <v>100</v>
      </c>
      <c r="P40" s="52">
        <f t="shared" si="3"/>
        <v>166.0914761908175</v>
      </c>
      <c r="Q40" s="50">
        <v>100</v>
      </c>
      <c r="R40" s="52">
        <f t="shared" si="4"/>
        <v>300.6420476756987</v>
      </c>
      <c r="S40" s="50">
        <v>100</v>
      </c>
      <c r="T40" s="52">
        <f t="shared" si="4"/>
        <v>274.08409011427216</v>
      </c>
      <c r="U40" s="50">
        <v>100</v>
      </c>
      <c r="V40" s="52">
        <f t="shared" si="4"/>
        <v>284.7282448985443</v>
      </c>
      <c r="W40" s="50">
        <v>100</v>
      </c>
      <c r="X40" s="52">
        <f t="shared" si="5"/>
        <v>300.6420476756987</v>
      </c>
      <c r="Y40" s="50">
        <v>100</v>
      </c>
      <c r="Z40" s="52">
        <f t="shared" si="5"/>
        <v>274.08409011427216</v>
      </c>
      <c r="AA40" s="50">
        <v>100</v>
      </c>
      <c r="AB40" s="52">
        <f t="shared" si="5"/>
        <v>284.7282448985443</v>
      </c>
      <c r="AC40" s="50">
        <v>100</v>
      </c>
      <c r="AD40" s="52">
        <f t="shared" si="6"/>
        <v>286.48479422950504</v>
      </c>
    </row>
    <row r="41" spans="2:30" ht="12.75">
      <c r="B41" s="49" t="s">
        <v>61</v>
      </c>
      <c r="D41" s="49" t="s">
        <v>34</v>
      </c>
      <c r="E41" s="50">
        <v>100</v>
      </c>
      <c r="F41" s="52">
        <f t="shared" si="7"/>
        <v>4.7539023788719845</v>
      </c>
      <c r="G41" s="50">
        <v>100</v>
      </c>
      <c r="H41" s="52">
        <f t="shared" si="7"/>
        <v>4.396765612249783</v>
      </c>
      <c r="I41" s="50">
        <v>100</v>
      </c>
      <c r="J41" s="52">
        <f t="shared" si="0"/>
        <v>5.62338283674625</v>
      </c>
      <c r="K41" s="50">
        <v>100</v>
      </c>
      <c r="L41" s="52">
        <f t="shared" si="1"/>
        <v>7.672635591723559</v>
      </c>
      <c r="M41" s="50">
        <v>100</v>
      </c>
      <c r="N41" s="52">
        <f t="shared" si="2"/>
        <v>7.138748530434647</v>
      </c>
      <c r="O41" s="50">
        <v>100</v>
      </c>
      <c r="P41" s="52">
        <f t="shared" si="3"/>
        <v>5.738460502392744</v>
      </c>
      <c r="Q41" s="50">
        <v>100</v>
      </c>
      <c r="R41" s="52">
        <f t="shared" si="4"/>
        <v>12.426537970595543</v>
      </c>
      <c r="S41" s="50">
        <v>100</v>
      </c>
      <c r="T41" s="52">
        <f t="shared" si="4"/>
        <v>11.53551414268443</v>
      </c>
      <c r="U41" s="50">
        <v>100</v>
      </c>
      <c r="V41" s="52">
        <f t="shared" si="4"/>
        <v>11.361843339138995</v>
      </c>
      <c r="W41" s="50">
        <v>100</v>
      </c>
      <c r="X41" s="52">
        <f t="shared" si="5"/>
        <v>12.426537970595543</v>
      </c>
      <c r="Y41" s="50">
        <v>100</v>
      </c>
      <c r="Z41" s="52">
        <f t="shared" si="5"/>
        <v>11.53551414268443</v>
      </c>
      <c r="AA41" s="50">
        <v>100</v>
      </c>
      <c r="AB41" s="52">
        <f t="shared" si="5"/>
        <v>11.361843339138995</v>
      </c>
      <c r="AC41" s="50">
        <v>100</v>
      </c>
      <c r="AD41" s="52">
        <f t="shared" si="6"/>
        <v>11.774631817472988</v>
      </c>
    </row>
    <row r="42" spans="2:30" ht="12.75">
      <c r="B42" s="49" t="s">
        <v>64</v>
      </c>
      <c r="D42" s="49" t="s">
        <v>34</v>
      </c>
      <c r="E42" s="50">
        <v>100</v>
      </c>
      <c r="F42" s="52">
        <f t="shared" si="7"/>
        <v>125.26751986487444</v>
      </c>
      <c r="G42" s="50">
        <v>100</v>
      </c>
      <c r="H42" s="52">
        <f t="shared" si="7"/>
        <v>114.20170421428007</v>
      </c>
      <c r="I42" s="50">
        <v>100</v>
      </c>
      <c r="J42" s="52">
        <f t="shared" si="0"/>
        <v>118.6367687077268</v>
      </c>
      <c r="K42" s="50">
        <v>100</v>
      </c>
      <c r="L42" s="52">
        <f t="shared" si="1"/>
        <v>175.37452781082422</v>
      </c>
      <c r="M42" s="50">
        <v>100</v>
      </c>
      <c r="N42" s="52">
        <f t="shared" si="2"/>
        <v>159.8823858999921</v>
      </c>
      <c r="O42" s="50">
        <v>100</v>
      </c>
      <c r="P42" s="52">
        <f t="shared" si="3"/>
        <v>166.0914761908175</v>
      </c>
      <c r="Q42" s="50">
        <v>100</v>
      </c>
      <c r="R42" s="52">
        <f t="shared" si="4"/>
        <v>300.6420476756987</v>
      </c>
      <c r="S42" s="50">
        <v>100</v>
      </c>
      <c r="T42" s="52">
        <f t="shared" si="4"/>
        <v>274.08409011427216</v>
      </c>
      <c r="U42" s="50">
        <v>100</v>
      </c>
      <c r="V42" s="52">
        <f t="shared" si="4"/>
        <v>284.7282448985443</v>
      </c>
      <c r="W42" s="50">
        <v>100</v>
      </c>
      <c r="X42" s="52">
        <f t="shared" si="5"/>
        <v>300.6420476756987</v>
      </c>
      <c r="Y42" s="50">
        <v>100</v>
      </c>
      <c r="Z42" s="52">
        <f t="shared" si="5"/>
        <v>274.08409011427216</v>
      </c>
      <c r="AA42" s="50">
        <v>100</v>
      </c>
      <c r="AB42" s="52">
        <f t="shared" si="5"/>
        <v>284.7282448985443</v>
      </c>
      <c r="AC42" s="50">
        <v>100</v>
      </c>
      <c r="AD42" s="52">
        <f t="shared" si="6"/>
        <v>286.48479422950504</v>
      </c>
    </row>
    <row r="43" spans="2:30" ht="12.75">
      <c r="B43" s="49" t="s">
        <v>65</v>
      </c>
      <c r="D43" s="49" t="s">
        <v>34</v>
      </c>
      <c r="E43" s="50">
        <v>100</v>
      </c>
      <c r="F43" s="52">
        <f t="shared" si="7"/>
        <v>125.26751986487444</v>
      </c>
      <c r="G43" s="50">
        <v>100</v>
      </c>
      <c r="H43" s="52">
        <f t="shared" si="7"/>
        <v>114.20170421428007</v>
      </c>
      <c r="I43" s="50">
        <v>100</v>
      </c>
      <c r="J43" s="52">
        <f t="shared" si="0"/>
        <v>118.6367687077268</v>
      </c>
      <c r="K43" s="50">
        <v>100</v>
      </c>
      <c r="L43" s="52">
        <f t="shared" si="1"/>
        <v>175.37452781082422</v>
      </c>
      <c r="M43" s="50">
        <v>100</v>
      </c>
      <c r="N43" s="52">
        <f t="shared" si="2"/>
        <v>159.8823858999921</v>
      </c>
      <c r="O43" s="50">
        <v>100</v>
      </c>
      <c r="P43" s="52">
        <f t="shared" si="3"/>
        <v>166.0914761908175</v>
      </c>
      <c r="Q43" s="50">
        <v>100</v>
      </c>
      <c r="R43" s="52">
        <f t="shared" si="4"/>
        <v>300.6420476756987</v>
      </c>
      <c r="S43" s="50">
        <v>100</v>
      </c>
      <c r="T43" s="52">
        <f t="shared" si="4"/>
        <v>274.08409011427216</v>
      </c>
      <c r="U43" s="50">
        <v>100</v>
      </c>
      <c r="V43" s="52">
        <f t="shared" si="4"/>
        <v>284.7282448985443</v>
      </c>
      <c r="W43" s="50">
        <v>100</v>
      </c>
      <c r="X43" s="52">
        <f t="shared" si="5"/>
        <v>300.6420476756987</v>
      </c>
      <c r="Y43" s="50">
        <v>100</v>
      </c>
      <c r="Z43" s="52">
        <f t="shared" si="5"/>
        <v>274.08409011427216</v>
      </c>
      <c r="AA43" s="50">
        <v>100</v>
      </c>
      <c r="AB43" s="52">
        <f t="shared" si="5"/>
        <v>284.7282448985443</v>
      </c>
      <c r="AC43" s="50">
        <v>100</v>
      </c>
      <c r="AD43" s="52">
        <f t="shared" si="6"/>
        <v>286.48479422950504</v>
      </c>
    </row>
    <row r="44" spans="2:30" ht="12.75">
      <c r="B44" s="49" t="s">
        <v>35</v>
      </c>
      <c r="D44" s="49" t="s">
        <v>34</v>
      </c>
      <c r="E44" s="50">
        <v>100</v>
      </c>
      <c r="F44" s="52">
        <f>F40+F38</f>
        <v>250.5350397297489</v>
      </c>
      <c r="G44" s="50">
        <v>100</v>
      </c>
      <c r="H44" s="52">
        <f>H40+H38</f>
        <v>228.40340842856014</v>
      </c>
      <c r="I44" s="50">
        <v>100</v>
      </c>
      <c r="J44" s="52">
        <f>J40+J38</f>
        <v>237.2735374154536</v>
      </c>
      <c r="K44" s="50">
        <v>100</v>
      </c>
      <c r="L44" s="52">
        <f>L40+L38</f>
        <v>350.74905562164844</v>
      </c>
      <c r="M44" s="50">
        <v>100</v>
      </c>
      <c r="N44" s="52">
        <f>N40+N38</f>
        <v>319.7647717999842</v>
      </c>
      <c r="O44" s="50">
        <v>100</v>
      </c>
      <c r="P44" s="52">
        <f>P40+P38</f>
        <v>332.182952381635</v>
      </c>
      <c r="Q44" s="50">
        <v>100</v>
      </c>
      <c r="R44" s="52">
        <f t="shared" si="4"/>
        <v>601.2840953513974</v>
      </c>
      <c r="S44" s="50">
        <v>100</v>
      </c>
      <c r="T44" s="52">
        <f t="shared" si="4"/>
        <v>548.1681802285443</v>
      </c>
      <c r="U44" s="50">
        <v>100</v>
      </c>
      <c r="V44" s="52">
        <f t="shared" si="4"/>
        <v>569.4564897970886</v>
      </c>
      <c r="W44" s="50">
        <v>100</v>
      </c>
      <c r="X44" s="52">
        <f t="shared" si="5"/>
        <v>601.2840953513974</v>
      </c>
      <c r="Y44" s="50">
        <v>100</v>
      </c>
      <c r="Z44" s="52">
        <f t="shared" si="5"/>
        <v>548.1681802285443</v>
      </c>
      <c r="AA44" s="50">
        <v>100</v>
      </c>
      <c r="AB44" s="52">
        <f t="shared" si="5"/>
        <v>569.4564897970886</v>
      </c>
      <c r="AC44" s="50">
        <v>100</v>
      </c>
      <c r="AD44" s="52">
        <f t="shared" si="6"/>
        <v>572.9695884590101</v>
      </c>
    </row>
    <row r="45" spans="2:30" ht="12.75">
      <c r="B45" s="49" t="s">
        <v>36</v>
      </c>
      <c r="D45" s="49" t="s">
        <v>34</v>
      </c>
      <c r="E45" s="50">
        <v>100</v>
      </c>
      <c r="F45" s="52">
        <f>F35+F37+F39</f>
        <v>365.7811580054333</v>
      </c>
      <c r="G45" s="50">
        <v>100</v>
      </c>
      <c r="H45" s="52">
        <f>H35+H37+H39</f>
        <v>285.50426053570015</v>
      </c>
      <c r="I45" s="50">
        <v>100</v>
      </c>
      <c r="J45" s="52">
        <f>J35+J37+J39</f>
        <v>296.591921769317</v>
      </c>
      <c r="K45" s="50">
        <v>100</v>
      </c>
      <c r="L45" s="52">
        <f>L35+L37+L39</f>
        <v>438.4363195270605</v>
      </c>
      <c r="M45" s="50">
        <v>100</v>
      </c>
      <c r="N45" s="52">
        <f>N35+N37+N39</f>
        <v>399.70596474998024</v>
      </c>
      <c r="O45" s="50">
        <v>100</v>
      </c>
      <c r="P45" s="52">
        <f>P35+P37+P39</f>
        <v>415.22869047704376</v>
      </c>
      <c r="Q45" s="50">
        <v>100</v>
      </c>
      <c r="R45" s="52">
        <f t="shared" si="4"/>
        <v>804.2174775324938</v>
      </c>
      <c r="S45" s="50">
        <v>100</v>
      </c>
      <c r="T45" s="52">
        <f t="shared" si="4"/>
        <v>685.2102252856804</v>
      </c>
      <c r="U45" s="50">
        <v>100</v>
      </c>
      <c r="V45" s="52">
        <f t="shared" si="4"/>
        <v>711.8206122463607</v>
      </c>
      <c r="W45" s="50">
        <v>100</v>
      </c>
      <c r="X45" s="52">
        <f t="shared" si="5"/>
        <v>804.2174775324938</v>
      </c>
      <c r="Y45" s="50">
        <v>100</v>
      </c>
      <c r="Z45" s="52">
        <f t="shared" si="5"/>
        <v>685.2102252856804</v>
      </c>
      <c r="AA45" s="50">
        <v>100</v>
      </c>
      <c r="AB45" s="52">
        <f t="shared" si="5"/>
        <v>711.8206122463607</v>
      </c>
      <c r="AC45" s="50">
        <v>100</v>
      </c>
      <c r="AD45" s="52">
        <f t="shared" si="6"/>
        <v>733.749438354845</v>
      </c>
    </row>
    <row r="46" spans="5:22" ht="12.75"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5:22" ht="12.75"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2:30" ht="12.75">
      <c r="B48" s="13" t="s">
        <v>100</v>
      </c>
      <c r="C48" s="13"/>
      <c r="E48" s="50"/>
      <c r="F48" s="59" t="s">
        <v>152</v>
      </c>
      <c r="G48" s="59"/>
      <c r="H48" s="59" t="s">
        <v>153</v>
      </c>
      <c r="I48" s="59"/>
      <c r="J48" s="59" t="s">
        <v>154</v>
      </c>
      <c r="K48" s="59"/>
      <c r="L48" s="59" t="s">
        <v>152</v>
      </c>
      <c r="M48" s="59"/>
      <c r="N48" s="59" t="s">
        <v>153</v>
      </c>
      <c r="O48" s="59"/>
      <c r="P48" s="59" t="s">
        <v>154</v>
      </c>
      <c r="Q48" s="59"/>
      <c r="R48" s="59" t="s">
        <v>152</v>
      </c>
      <c r="S48" s="59"/>
      <c r="T48" s="59" t="s">
        <v>153</v>
      </c>
      <c r="U48" s="59"/>
      <c r="V48" s="59" t="s">
        <v>154</v>
      </c>
      <c r="W48" s="59"/>
      <c r="X48" s="59" t="s">
        <v>152</v>
      </c>
      <c r="Y48" s="59"/>
      <c r="Z48" s="59" t="s">
        <v>153</v>
      </c>
      <c r="AA48" s="59"/>
      <c r="AB48" s="59" t="s">
        <v>154</v>
      </c>
      <c r="AC48" s="59"/>
      <c r="AD48" s="59" t="s">
        <v>155</v>
      </c>
    </row>
    <row r="49" spans="5:22" ht="12.75"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2:30" ht="12.75">
      <c r="B50" s="49" t="s">
        <v>203</v>
      </c>
      <c r="E50" s="50"/>
      <c r="F50" s="49" t="s">
        <v>205</v>
      </c>
      <c r="H50" s="49" t="s">
        <v>205</v>
      </c>
      <c r="J50" s="49" t="s">
        <v>205</v>
      </c>
      <c r="L50" s="49" t="s">
        <v>205</v>
      </c>
      <c r="N50" s="49" t="s">
        <v>207</v>
      </c>
      <c r="P50" s="49" t="s">
        <v>207</v>
      </c>
      <c r="X50" s="49" t="s">
        <v>207</v>
      </c>
      <c r="Z50" s="49" t="s">
        <v>208</v>
      </c>
      <c r="AB50" s="49" t="s">
        <v>208</v>
      </c>
      <c r="AD50" s="49" t="s">
        <v>208</v>
      </c>
    </row>
    <row r="51" spans="2:30" ht="12.75">
      <c r="B51" s="49" t="s">
        <v>204</v>
      </c>
      <c r="E51" s="50"/>
      <c r="F51" s="49" t="s">
        <v>213</v>
      </c>
      <c r="H51" s="49" t="s">
        <v>213</v>
      </c>
      <c r="J51" s="49" t="s">
        <v>213</v>
      </c>
      <c r="L51" s="49" t="s">
        <v>206</v>
      </c>
      <c r="N51" s="49" t="s">
        <v>206</v>
      </c>
      <c r="P51" s="49" t="s">
        <v>206</v>
      </c>
      <c r="X51" s="49" t="s">
        <v>20</v>
      </c>
      <c r="Z51" s="49" t="s">
        <v>20</v>
      </c>
      <c r="AB51" s="49" t="s">
        <v>20</v>
      </c>
      <c r="AD51" s="49" t="s">
        <v>20</v>
      </c>
    </row>
    <row r="52" spans="2:30" ht="12.75">
      <c r="B52" s="49" t="s">
        <v>216</v>
      </c>
      <c r="R52" s="49" t="s">
        <v>40</v>
      </c>
      <c r="T52" s="49" t="s">
        <v>40</v>
      </c>
      <c r="V52" s="49" t="s">
        <v>40</v>
      </c>
      <c r="X52" s="49" t="s">
        <v>20</v>
      </c>
      <c r="Z52" s="49" t="s">
        <v>20</v>
      </c>
      <c r="AB52" s="49" t="s">
        <v>20</v>
      </c>
      <c r="AD52" s="49" t="s">
        <v>20</v>
      </c>
    </row>
    <row r="53" spans="2:30" ht="12.75">
      <c r="B53" s="49" t="s">
        <v>21</v>
      </c>
      <c r="F53" s="49" t="s">
        <v>162</v>
      </c>
      <c r="H53" s="49" t="s">
        <v>162</v>
      </c>
      <c r="J53" s="49" t="s">
        <v>162</v>
      </c>
      <c r="L53" s="49" t="s">
        <v>163</v>
      </c>
      <c r="N53" s="49" t="s">
        <v>163</v>
      </c>
      <c r="P53" s="49" t="s">
        <v>163</v>
      </c>
      <c r="X53" s="49" t="s">
        <v>20</v>
      </c>
      <c r="Z53" s="49" t="s">
        <v>20</v>
      </c>
      <c r="AB53" s="49" t="s">
        <v>20</v>
      </c>
      <c r="AD53" s="49" t="s">
        <v>20</v>
      </c>
    </row>
    <row r="54" spans="1:22" ht="12.75">
      <c r="A54" s="49" t="s">
        <v>100</v>
      </c>
      <c r="B54" s="49" t="s">
        <v>164</v>
      </c>
      <c r="E54" s="50"/>
      <c r="F54" s="50">
        <v>232.6</v>
      </c>
      <c r="G54" s="50"/>
      <c r="H54" s="50">
        <v>232.4</v>
      </c>
      <c r="I54" s="50"/>
      <c r="J54" s="50">
        <v>232</v>
      </c>
      <c r="K54" s="50"/>
      <c r="L54" s="50">
        <v>686.7</v>
      </c>
      <c r="M54" s="50"/>
      <c r="N54" s="50">
        <v>665.8</v>
      </c>
      <c r="O54" s="50"/>
      <c r="P54" s="50">
        <v>607.4</v>
      </c>
      <c r="Q54" s="50"/>
      <c r="R54" s="50"/>
      <c r="S54" s="50"/>
      <c r="T54" s="50"/>
      <c r="U54" s="50"/>
      <c r="V54" s="50"/>
    </row>
    <row r="55" spans="1:22" ht="12.75">
      <c r="A55" s="49" t="s">
        <v>100</v>
      </c>
      <c r="B55" s="49" t="s">
        <v>165</v>
      </c>
      <c r="E55" s="50"/>
      <c r="F55" s="50">
        <v>9580</v>
      </c>
      <c r="G55" s="50"/>
      <c r="H55" s="50">
        <v>9900</v>
      </c>
      <c r="I55" s="50"/>
      <c r="J55" s="50">
        <v>10125</v>
      </c>
      <c r="K55" s="50"/>
      <c r="L55" s="50">
        <v>16065</v>
      </c>
      <c r="M55" s="50"/>
      <c r="N55" s="50">
        <v>17275</v>
      </c>
      <c r="O55" s="50"/>
      <c r="P55" s="50">
        <v>17110</v>
      </c>
      <c r="Q55" s="50"/>
      <c r="R55" s="50"/>
      <c r="S55" s="50"/>
      <c r="T55" s="50"/>
      <c r="U55" s="50"/>
      <c r="V55" s="50"/>
    </row>
    <row r="56" spans="1:22" ht="12.75">
      <c r="A56" s="49" t="s">
        <v>100</v>
      </c>
      <c r="B56" s="49" t="s">
        <v>24</v>
      </c>
      <c r="E56" s="50"/>
      <c r="F56" s="50">
        <v>0.0188</v>
      </c>
      <c r="G56" s="50"/>
      <c r="H56" s="50">
        <v>0.192</v>
      </c>
      <c r="I56" s="50"/>
      <c r="J56" s="50">
        <v>0.21</v>
      </c>
      <c r="K56" s="50"/>
      <c r="L56" s="50">
        <v>2.8</v>
      </c>
      <c r="M56" s="50"/>
      <c r="N56" s="50">
        <v>1.85</v>
      </c>
      <c r="O56" s="50"/>
      <c r="P56" s="50">
        <v>1.53</v>
      </c>
      <c r="Q56" s="50"/>
      <c r="R56" s="50"/>
      <c r="S56" s="50"/>
      <c r="T56" s="50"/>
      <c r="U56" s="50"/>
      <c r="V56" s="50"/>
    </row>
    <row r="57" spans="1:22" ht="12.75">
      <c r="A57" s="49" t="s">
        <v>100</v>
      </c>
      <c r="B57" s="49" t="s">
        <v>25</v>
      </c>
      <c r="E57" s="50"/>
      <c r="F57" s="50">
        <v>72300</v>
      </c>
      <c r="G57" s="50"/>
      <c r="H57" s="50">
        <v>76100</v>
      </c>
      <c r="I57" s="50"/>
      <c r="J57" s="50">
        <v>90200</v>
      </c>
      <c r="K57" s="50"/>
      <c r="L57" s="50">
        <v>285</v>
      </c>
      <c r="M57" s="50"/>
      <c r="N57" s="50">
        <v>365</v>
      </c>
      <c r="O57" s="50"/>
      <c r="P57" s="50">
        <v>470</v>
      </c>
      <c r="Q57" s="50"/>
      <c r="R57" s="50"/>
      <c r="S57" s="50"/>
      <c r="T57" s="50"/>
      <c r="U57" s="50"/>
      <c r="V57" s="50"/>
    </row>
    <row r="58" spans="1:22" ht="12.75">
      <c r="A58" s="49" t="s">
        <v>100</v>
      </c>
      <c r="B58" s="49" t="s">
        <v>56</v>
      </c>
      <c r="E58" s="50">
        <v>1</v>
      </c>
      <c r="F58" s="50">
        <v>2</v>
      </c>
      <c r="G58" s="50">
        <v>1</v>
      </c>
      <c r="H58" s="50">
        <v>2</v>
      </c>
      <c r="I58" s="50">
        <v>1</v>
      </c>
      <c r="J58" s="50">
        <v>2</v>
      </c>
      <c r="K58" s="50">
        <v>1</v>
      </c>
      <c r="L58" s="50">
        <v>2</v>
      </c>
      <c r="M58" s="50">
        <v>1</v>
      </c>
      <c r="N58" s="50">
        <v>2</v>
      </c>
      <c r="O58" s="50">
        <v>1</v>
      </c>
      <c r="P58" s="50">
        <v>2</v>
      </c>
      <c r="Q58" s="50"/>
      <c r="R58" s="50"/>
      <c r="S58" s="50"/>
      <c r="T58" s="50"/>
      <c r="U58" s="50"/>
      <c r="V58" s="50"/>
    </row>
    <row r="59" spans="1:22" ht="12.75">
      <c r="A59" s="49" t="s">
        <v>100</v>
      </c>
      <c r="B59" s="49" t="s">
        <v>57</v>
      </c>
      <c r="E59" s="50">
        <v>1</v>
      </c>
      <c r="F59" s="50">
        <v>2</v>
      </c>
      <c r="G59" s="50">
        <v>1</v>
      </c>
      <c r="H59" s="50">
        <v>2</v>
      </c>
      <c r="I59" s="50">
        <v>1</v>
      </c>
      <c r="J59" s="50">
        <v>2</v>
      </c>
      <c r="K59" s="50">
        <v>1</v>
      </c>
      <c r="L59" s="50">
        <v>2</v>
      </c>
      <c r="M59" s="50">
        <v>1</v>
      </c>
      <c r="N59" s="50">
        <v>2</v>
      </c>
      <c r="O59" s="50">
        <v>1</v>
      </c>
      <c r="P59" s="50">
        <v>2</v>
      </c>
      <c r="Q59" s="50"/>
      <c r="R59" s="50"/>
      <c r="S59" s="50"/>
      <c r="T59" s="50"/>
      <c r="U59" s="50"/>
      <c r="V59" s="50"/>
    </row>
    <row r="60" spans="1:22" ht="12.75">
      <c r="A60" s="49" t="s">
        <v>100</v>
      </c>
      <c r="B60" s="49" t="s">
        <v>58</v>
      </c>
      <c r="E60" s="50">
        <v>1</v>
      </c>
      <c r="F60" s="50">
        <v>2</v>
      </c>
      <c r="G60" s="50">
        <v>1</v>
      </c>
      <c r="H60" s="50">
        <v>2</v>
      </c>
      <c r="I60" s="50">
        <v>1</v>
      </c>
      <c r="J60" s="50">
        <v>2</v>
      </c>
      <c r="K60" s="50">
        <v>1</v>
      </c>
      <c r="L60" s="50">
        <v>2</v>
      </c>
      <c r="M60" s="50">
        <v>1</v>
      </c>
      <c r="N60" s="50">
        <v>2</v>
      </c>
      <c r="O60" s="50"/>
      <c r="P60" s="50">
        <v>4.11</v>
      </c>
      <c r="Q60" s="50"/>
      <c r="R60" s="50"/>
      <c r="S60" s="50"/>
      <c r="T60" s="50"/>
      <c r="U60" s="50"/>
      <c r="V60" s="50"/>
    </row>
    <row r="61" spans="1:22" ht="12.75">
      <c r="A61" s="49" t="s">
        <v>100</v>
      </c>
      <c r="B61" s="49" t="s">
        <v>59</v>
      </c>
      <c r="E61" s="50">
        <v>1</v>
      </c>
      <c r="F61" s="50">
        <v>1</v>
      </c>
      <c r="G61" s="50">
        <v>1</v>
      </c>
      <c r="H61" s="50">
        <v>1</v>
      </c>
      <c r="I61" s="50">
        <v>1</v>
      </c>
      <c r="J61" s="50">
        <v>1</v>
      </c>
      <c r="K61" s="50">
        <v>1</v>
      </c>
      <c r="L61" s="50">
        <v>1</v>
      </c>
      <c r="M61" s="50">
        <v>1</v>
      </c>
      <c r="N61" s="50">
        <v>1</v>
      </c>
      <c r="O61" s="50">
        <v>1</v>
      </c>
      <c r="P61" s="50">
        <v>1</v>
      </c>
      <c r="Q61" s="50"/>
      <c r="R61" s="50"/>
      <c r="S61" s="50"/>
      <c r="T61" s="50"/>
      <c r="U61" s="50"/>
      <c r="V61" s="50"/>
    </row>
    <row r="62" spans="1:22" ht="12.75">
      <c r="A62" s="49" t="s">
        <v>100</v>
      </c>
      <c r="B62" s="49" t="s">
        <v>60</v>
      </c>
      <c r="E62" s="50">
        <v>1</v>
      </c>
      <c r="F62" s="50">
        <v>2</v>
      </c>
      <c r="G62" s="50">
        <v>1</v>
      </c>
      <c r="H62" s="50">
        <v>2</v>
      </c>
      <c r="I62" s="50">
        <v>1</v>
      </c>
      <c r="J62" s="50">
        <v>2</v>
      </c>
      <c r="K62" s="50">
        <v>1</v>
      </c>
      <c r="L62" s="50">
        <v>2</v>
      </c>
      <c r="M62" s="50">
        <v>1</v>
      </c>
      <c r="N62" s="50">
        <v>2</v>
      </c>
      <c r="O62" s="50">
        <v>1</v>
      </c>
      <c r="P62" s="50">
        <v>2</v>
      </c>
      <c r="Q62" s="50"/>
      <c r="R62" s="50"/>
      <c r="S62" s="50"/>
      <c r="T62" s="50"/>
      <c r="U62" s="50"/>
      <c r="V62" s="50"/>
    </row>
    <row r="63" spans="1:22" ht="12.75">
      <c r="A63" s="49" t="s">
        <v>100</v>
      </c>
      <c r="B63" s="49" t="s">
        <v>73</v>
      </c>
      <c r="E63" s="50">
        <v>1</v>
      </c>
      <c r="F63" s="50">
        <v>2</v>
      </c>
      <c r="G63" s="50">
        <v>1</v>
      </c>
      <c r="H63" s="50">
        <v>2</v>
      </c>
      <c r="I63" s="50">
        <v>1</v>
      </c>
      <c r="J63" s="50">
        <v>2</v>
      </c>
      <c r="K63" s="50">
        <v>1</v>
      </c>
      <c r="L63" s="50">
        <v>2</v>
      </c>
      <c r="M63" s="50">
        <v>1</v>
      </c>
      <c r="N63" s="50">
        <v>2</v>
      </c>
      <c r="O63" s="50"/>
      <c r="P63" s="50">
        <v>14.2</v>
      </c>
      <c r="Q63" s="50"/>
      <c r="R63" s="50"/>
      <c r="S63" s="50"/>
      <c r="T63" s="50"/>
      <c r="U63" s="50"/>
      <c r="V63" s="50"/>
    </row>
    <row r="64" spans="1:22" ht="12.75">
      <c r="A64" s="49" t="s">
        <v>100</v>
      </c>
      <c r="B64" s="49" t="s">
        <v>55</v>
      </c>
      <c r="E64" s="50">
        <v>1</v>
      </c>
      <c r="F64" s="50">
        <v>2</v>
      </c>
      <c r="G64" s="50">
        <v>1</v>
      </c>
      <c r="H64" s="50">
        <v>2</v>
      </c>
      <c r="I64" s="50">
        <v>1</v>
      </c>
      <c r="J64" s="50">
        <v>2</v>
      </c>
      <c r="K64" s="50">
        <v>1</v>
      </c>
      <c r="L64" s="50">
        <v>2</v>
      </c>
      <c r="M64" s="50">
        <v>1</v>
      </c>
      <c r="N64" s="50">
        <v>2</v>
      </c>
      <c r="O64" s="50">
        <v>1</v>
      </c>
      <c r="P64" s="50">
        <v>2</v>
      </c>
      <c r="Q64" s="50"/>
      <c r="R64" s="50"/>
      <c r="S64" s="50"/>
      <c r="T64" s="50"/>
      <c r="U64" s="50"/>
      <c r="V64" s="50"/>
    </row>
    <row r="65" spans="1:22" ht="12.75">
      <c r="A65" s="49" t="s">
        <v>100</v>
      </c>
      <c r="B65" s="49" t="s">
        <v>61</v>
      </c>
      <c r="E65" s="50"/>
      <c r="F65" s="50">
        <v>0.464</v>
      </c>
      <c r="G65" s="50"/>
      <c r="H65" s="50">
        <v>0.363</v>
      </c>
      <c r="I65" s="50"/>
      <c r="J65" s="50">
        <v>0.162</v>
      </c>
      <c r="K65" s="50">
        <v>1</v>
      </c>
      <c r="L65" s="50">
        <v>0.0875</v>
      </c>
      <c r="M65" s="50">
        <v>1</v>
      </c>
      <c r="N65" s="50">
        <v>0.0893</v>
      </c>
      <c r="O65" s="50">
        <v>1</v>
      </c>
      <c r="P65" s="50">
        <v>0.0799</v>
      </c>
      <c r="Q65" s="50"/>
      <c r="R65" s="50"/>
      <c r="S65" s="50"/>
      <c r="T65" s="50"/>
      <c r="U65" s="50"/>
      <c r="V65" s="50"/>
    </row>
    <row r="66" spans="1:22" ht="12.75">
      <c r="A66" s="49" t="s">
        <v>100</v>
      </c>
      <c r="B66" s="49" t="s">
        <v>64</v>
      </c>
      <c r="E66" s="50">
        <v>1</v>
      </c>
      <c r="F66" s="50">
        <v>2</v>
      </c>
      <c r="G66" s="50">
        <v>1</v>
      </c>
      <c r="H66" s="50">
        <v>2</v>
      </c>
      <c r="I66" s="50">
        <v>1</v>
      </c>
      <c r="J66" s="50">
        <v>2</v>
      </c>
      <c r="K66" s="50">
        <v>1</v>
      </c>
      <c r="L66" s="50">
        <v>2</v>
      </c>
      <c r="M66" s="50">
        <v>1</v>
      </c>
      <c r="N66" s="50">
        <v>2</v>
      </c>
      <c r="O66" s="50">
        <v>1</v>
      </c>
      <c r="P66" s="50">
        <v>2</v>
      </c>
      <c r="Q66" s="50"/>
      <c r="R66" s="50"/>
      <c r="S66" s="50"/>
      <c r="T66" s="50"/>
      <c r="U66" s="50"/>
      <c r="V66" s="50"/>
    </row>
    <row r="67" spans="1:22" ht="12.75">
      <c r="A67" s="49" t="s">
        <v>100</v>
      </c>
      <c r="B67" s="49" t="s">
        <v>65</v>
      </c>
      <c r="E67" s="50">
        <v>1</v>
      </c>
      <c r="F67" s="50">
        <v>2</v>
      </c>
      <c r="G67" s="50">
        <v>1</v>
      </c>
      <c r="H67" s="50">
        <v>2</v>
      </c>
      <c r="I67" s="50">
        <v>1</v>
      </c>
      <c r="J67" s="50">
        <v>2</v>
      </c>
      <c r="K67" s="50">
        <v>1</v>
      </c>
      <c r="L67" s="50">
        <v>2</v>
      </c>
      <c r="M67" s="50">
        <v>1</v>
      </c>
      <c r="N67" s="50">
        <v>2</v>
      </c>
      <c r="O67" s="50">
        <v>1</v>
      </c>
      <c r="P67" s="50">
        <v>2</v>
      </c>
      <c r="Q67" s="50"/>
      <c r="R67" s="50"/>
      <c r="S67" s="50"/>
      <c r="T67" s="50"/>
      <c r="U67" s="50"/>
      <c r="V67" s="50"/>
    </row>
    <row r="69" spans="2:30" ht="12.75">
      <c r="B69" s="6" t="s">
        <v>37</v>
      </c>
      <c r="D69" s="49" t="s">
        <v>17</v>
      </c>
      <c r="F69" s="50">
        <f>'emiss 2'!$G$66</f>
        <v>4048</v>
      </c>
      <c r="H69" s="50">
        <f>'emiss 2'!$I$66</f>
        <v>3930</v>
      </c>
      <c r="J69" s="50">
        <f>'emiss 2'!$K$66</f>
        <v>3730</v>
      </c>
      <c r="L69" s="50">
        <f>'emiss 2'!$G$66</f>
        <v>4048</v>
      </c>
      <c r="N69" s="50">
        <f>'emiss 2'!$I$66</f>
        <v>3930</v>
      </c>
      <c r="P69" s="50">
        <f>'emiss 2'!$K$66</f>
        <v>3730</v>
      </c>
      <c r="Q69" s="50"/>
      <c r="R69" s="50"/>
      <c r="S69" s="50"/>
      <c r="T69" s="50"/>
      <c r="U69" s="50"/>
      <c r="V69" s="50"/>
      <c r="X69" s="50">
        <f>'emiss 2'!$G$66</f>
        <v>4048</v>
      </c>
      <c r="Z69" s="50">
        <f>'emiss 2'!$I$66</f>
        <v>3930</v>
      </c>
      <c r="AB69" s="50">
        <f>'emiss 2'!$K$66</f>
        <v>3730</v>
      </c>
      <c r="AD69" s="60">
        <f>AVERAGE(X69,Z69,AB69)</f>
        <v>3902.6666666666665</v>
      </c>
    </row>
    <row r="70" spans="2:30" ht="12.75">
      <c r="B70" s="6" t="s">
        <v>38</v>
      </c>
      <c r="D70" s="49" t="s">
        <v>18</v>
      </c>
      <c r="F70" s="50">
        <f>'emiss 2'!$G$67</f>
        <v>15.3</v>
      </c>
      <c r="H70" s="50">
        <f>'emiss 2'!$I$67</f>
        <v>15</v>
      </c>
      <c r="J70" s="50">
        <f>'emiss 2'!$K$67</f>
        <v>15</v>
      </c>
      <c r="L70" s="50">
        <f>'emiss 2'!$G$67</f>
        <v>15.3</v>
      </c>
      <c r="N70" s="50">
        <f>'emiss 2'!$I$67</f>
        <v>15</v>
      </c>
      <c r="P70" s="50">
        <f>'emiss 2'!$K$67</f>
        <v>15</v>
      </c>
      <c r="Q70" s="50"/>
      <c r="R70" s="50"/>
      <c r="S70" s="50"/>
      <c r="T70" s="50"/>
      <c r="U70" s="50"/>
      <c r="V70" s="50"/>
      <c r="X70" s="50">
        <f>'emiss 2'!$G$67</f>
        <v>15.3</v>
      </c>
      <c r="Z70" s="50">
        <f>'emiss 2'!$I$67</f>
        <v>15</v>
      </c>
      <c r="AB70" s="50">
        <f>'emiss 2'!$K$67</f>
        <v>15</v>
      </c>
      <c r="AD70" s="60">
        <f>AVERAGE(X70,Z70,AB70)</f>
        <v>15.1</v>
      </c>
    </row>
    <row r="71" spans="6:22" ht="12.75">
      <c r="F71" s="50"/>
      <c r="H71" s="50"/>
      <c r="J71" s="50"/>
      <c r="L71" s="50"/>
      <c r="N71" s="50"/>
      <c r="P71" s="50"/>
      <c r="Q71" s="50"/>
      <c r="R71" s="50"/>
      <c r="S71" s="50"/>
      <c r="T71" s="50"/>
      <c r="U71" s="50"/>
      <c r="V71" s="50"/>
    </row>
    <row r="72" spans="2:30" ht="12.75">
      <c r="B72" s="49" t="s">
        <v>77</v>
      </c>
      <c r="D72" s="49" t="s">
        <v>32</v>
      </c>
      <c r="E72" s="50"/>
      <c r="F72" s="60">
        <f>F54*F55/1000000</f>
        <v>2.228308</v>
      </c>
      <c r="G72" s="50"/>
      <c r="H72" s="60">
        <f>H54*H55/1000000</f>
        <v>2.30076</v>
      </c>
      <c r="I72" s="50"/>
      <c r="J72" s="60">
        <f>J54*J55/1000000</f>
        <v>2.349</v>
      </c>
      <c r="K72" s="50"/>
      <c r="L72" s="60">
        <f>L54*L55/1000000</f>
        <v>11.0318355</v>
      </c>
      <c r="M72" s="50"/>
      <c r="N72" s="60">
        <f>N54*N55/1000000</f>
        <v>11.501695</v>
      </c>
      <c r="O72" s="50"/>
      <c r="P72" s="60">
        <f>P54*P55/1000000</f>
        <v>10.392614</v>
      </c>
      <c r="Q72" s="60"/>
      <c r="R72" s="60"/>
      <c r="S72" s="60"/>
      <c r="T72" s="60"/>
      <c r="U72" s="60"/>
      <c r="V72" s="60"/>
      <c r="X72" s="60">
        <f>F72+L72</f>
        <v>13.2601435</v>
      </c>
      <c r="Z72" s="60">
        <f>H72+N72</f>
        <v>13.802455</v>
      </c>
      <c r="AB72" s="60">
        <f>J72+P72</f>
        <v>12.741614</v>
      </c>
      <c r="AD72" s="52">
        <f>AVERAGE(X72,Z72,AB72)</f>
        <v>13.268070833333333</v>
      </c>
    </row>
    <row r="73" spans="2:30" ht="12.75">
      <c r="B73" s="49" t="s">
        <v>217</v>
      </c>
      <c r="D73" s="49" t="s">
        <v>32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AD73" s="52">
        <f>AD69/9000*(21-AD70)/21*60</f>
        <v>7.309756613756614</v>
      </c>
    </row>
    <row r="74" spans="6:22" ht="12.75">
      <c r="F74" s="50"/>
      <c r="H74" s="50"/>
      <c r="J74" s="50"/>
      <c r="L74" s="50"/>
      <c r="N74" s="50"/>
      <c r="P74" s="50"/>
      <c r="Q74" s="50"/>
      <c r="R74" s="50"/>
      <c r="S74" s="50"/>
      <c r="T74" s="50"/>
      <c r="U74" s="50"/>
      <c r="V74" s="50"/>
    </row>
    <row r="75" spans="2:3" ht="12.75">
      <c r="B75" s="30" t="s">
        <v>49</v>
      </c>
      <c r="C75" s="64"/>
    </row>
    <row r="76" spans="2:30" ht="12.75">
      <c r="B76" s="49" t="s">
        <v>24</v>
      </c>
      <c r="D76" s="49" t="s">
        <v>39</v>
      </c>
      <c r="E76" s="50"/>
      <c r="F76" s="52">
        <f>F$54*F56/100/0.0283/60*14/(21-F$70)/F$69*1000*454</f>
        <v>7.094117914188911</v>
      </c>
      <c r="G76" s="50"/>
      <c r="H76" s="52">
        <f>H$54*H56/100/0.0283/60*14/(21-H$70)/H$69*1000*454</f>
        <v>70.83367170477466</v>
      </c>
      <c r="I76" s="50"/>
      <c r="J76" s="52">
        <f>J$54*J56/100/0.0283/60*14/(21-J$70)/J$69*1000*454</f>
        <v>81.4879514457949</v>
      </c>
      <c r="K76" s="50"/>
      <c r="L76" s="52">
        <f>L$54*L56/100/0.0283/60*14/(21-L$70)/L$69*1000*454</f>
        <v>3119.291213270401</v>
      </c>
      <c r="M76" s="50"/>
      <c r="N76" s="52">
        <f>N$54*N56/100/0.0283/60*14/(21-N$70)/N$69*1000*454</f>
        <v>1955.3203539363278</v>
      </c>
      <c r="O76" s="50"/>
      <c r="P76" s="52">
        <f>P$54*P56/100/0.0283/60*14/(21-P$70)/P$69*1000*454</f>
        <v>1554.3626029045367</v>
      </c>
      <c r="Q76" s="52"/>
      <c r="R76" s="52">
        <f>X76</f>
        <v>3126.3853311845896</v>
      </c>
      <c r="S76" s="52"/>
      <c r="T76" s="52">
        <f>Z76</f>
        <v>2026.1540256411024</v>
      </c>
      <c r="U76" s="52"/>
      <c r="V76" s="52">
        <f>AB76</f>
        <v>1635.8505543503315</v>
      </c>
      <c r="X76" s="52">
        <f>L76+F76</f>
        <v>3126.3853311845896</v>
      </c>
      <c r="Z76" s="52">
        <f>N76+H76</f>
        <v>2026.1540256411024</v>
      </c>
      <c r="AB76" s="52">
        <f>P76+J76</f>
        <v>1635.8505543503315</v>
      </c>
      <c r="AD76" s="52">
        <f>AVERAGE(X76,Z76,AB76)</f>
        <v>2262.7966370586746</v>
      </c>
    </row>
    <row r="77" spans="2:30" ht="12.75">
      <c r="B77" s="49" t="s">
        <v>25</v>
      </c>
      <c r="D77" s="49" t="s">
        <v>34</v>
      </c>
      <c r="E77" s="50"/>
      <c r="F77" s="52">
        <f>F$54*F57/0.0283/60*14/(21-F$70)/F$69*454</f>
        <v>2728216.6233822242</v>
      </c>
      <c r="G77" s="50"/>
      <c r="H77" s="52">
        <f>H$54*H57/0.0283/60*14/(21-H$70)/H$69*454</f>
        <v>2807522.0920486213</v>
      </c>
      <c r="I77" s="50"/>
      <c r="J77" s="52">
        <f aca="true" t="shared" si="8" ref="J77:J87">J$54*J57/0.0283/60*14/(21-J$70)/J$69*454</f>
        <v>3500101.5335289063</v>
      </c>
      <c r="K77" s="50"/>
      <c r="L77" s="52">
        <f aca="true" t="shared" si="9" ref="L77:L87">L$54*L57/0.0283/60*14/(21-L$70)/L$69*454</f>
        <v>31749.928420788005</v>
      </c>
      <c r="M77" s="50"/>
      <c r="N77" s="52">
        <f aca="true" t="shared" si="10" ref="N77:N87">N$54*N57/0.0283/60*14/(21-N$70)/N$69*454</f>
        <v>38577.94211820322</v>
      </c>
      <c r="O77" s="50"/>
      <c r="P77" s="52">
        <f aca="true" t="shared" si="11" ref="P77:P87">P$54*P57/0.0283/60*14/(21-P$70)/P$69*454</f>
        <v>47748.39368399557</v>
      </c>
      <c r="Q77" s="52"/>
      <c r="R77" s="52">
        <f aca="true" t="shared" si="12" ref="R77:V89">X77</f>
        <v>2759966.5518030124</v>
      </c>
      <c r="S77" s="52"/>
      <c r="T77" s="52">
        <f t="shared" si="12"/>
        <v>2846100.0341668245</v>
      </c>
      <c r="U77" s="52"/>
      <c r="V77" s="52">
        <f t="shared" si="12"/>
        <v>3547849.927212902</v>
      </c>
      <c r="X77" s="52">
        <f aca="true" t="shared" si="13" ref="X77:X89">L77+F77</f>
        <v>2759966.5518030124</v>
      </c>
      <c r="Z77" s="52">
        <f aca="true" t="shared" si="14" ref="Z77:Z89">N77+H77</f>
        <v>2846100.0341668245</v>
      </c>
      <c r="AB77" s="52">
        <f aca="true" t="shared" si="15" ref="AB77:AB89">P77+J77</f>
        <v>3547849.927212902</v>
      </c>
      <c r="AD77" s="52">
        <f aca="true" t="shared" si="16" ref="AD77:AD89">AVERAGE(X77,Z77,AB77)</f>
        <v>3051305.5043942463</v>
      </c>
    </row>
    <row r="78" spans="2:30" ht="12.75">
      <c r="B78" s="49" t="s">
        <v>56</v>
      </c>
      <c r="D78" s="49" t="s">
        <v>34</v>
      </c>
      <c r="E78" s="50">
        <v>100</v>
      </c>
      <c r="F78" s="52">
        <f aca="true" t="shared" si="17" ref="F78:H87">F$54*F58/0.0283/60*14/(21-F$70)/F$69*454</f>
        <v>75.46933951264798</v>
      </c>
      <c r="G78" s="50">
        <v>100</v>
      </c>
      <c r="H78" s="52">
        <f t="shared" si="17"/>
        <v>73.78507469247363</v>
      </c>
      <c r="I78" s="50">
        <v>100</v>
      </c>
      <c r="J78" s="52">
        <f t="shared" si="8"/>
        <v>77.60757280551898</v>
      </c>
      <c r="K78" s="50">
        <v>100</v>
      </c>
      <c r="L78" s="52">
        <f t="shared" si="9"/>
        <v>222.80651523360004</v>
      </c>
      <c r="M78" s="50">
        <v>100</v>
      </c>
      <c r="N78" s="52">
        <f t="shared" si="10"/>
        <v>211.38598420933272</v>
      </c>
      <c r="O78" s="50">
        <v>100</v>
      </c>
      <c r="P78" s="52">
        <f t="shared" si="11"/>
        <v>203.1846539744492</v>
      </c>
      <c r="Q78" s="65">
        <f>SUM((L780*K78/100),(F78*E78/100),(L78*K78/100))/R78*100</f>
        <v>100</v>
      </c>
      <c r="R78" s="52">
        <f t="shared" si="12"/>
        <v>298.275854746248</v>
      </c>
      <c r="S78" s="65">
        <f>SUM((N780*M78/100),(H78*G78/100),(N78*M78/100))/T78*100</f>
        <v>100</v>
      </c>
      <c r="T78" s="52">
        <f t="shared" si="12"/>
        <v>285.17105890180636</v>
      </c>
      <c r="U78" s="65">
        <f>SUM((P780*O78/100),(J78*I78/100),(P78*O78/100))/V78*100</f>
        <v>99.99999999999997</v>
      </c>
      <c r="V78" s="52">
        <f t="shared" si="12"/>
        <v>280.7922267799682</v>
      </c>
      <c r="W78" s="49">
        <v>100</v>
      </c>
      <c r="X78" s="52">
        <f t="shared" si="13"/>
        <v>298.275854746248</v>
      </c>
      <c r="Y78" s="49">
        <v>100</v>
      </c>
      <c r="Z78" s="52">
        <f t="shared" si="14"/>
        <v>285.17105890180636</v>
      </c>
      <c r="AA78" s="49">
        <v>100</v>
      </c>
      <c r="AB78" s="52">
        <f t="shared" si="15"/>
        <v>280.7922267799682</v>
      </c>
      <c r="AC78" s="49">
        <f>SUM((AB78*AA78/100),(Z78*Y78/100),(X78*W78/100))/AD78*100/3</f>
        <v>100</v>
      </c>
      <c r="AD78" s="52">
        <f t="shared" si="16"/>
        <v>288.0797134760075</v>
      </c>
    </row>
    <row r="79" spans="2:30" ht="12.75">
      <c r="B79" s="49" t="s">
        <v>57</v>
      </c>
      <c r="D79" s="49" t="s">
        <v>34</v>
      </c>
      <c r="E79" s="50">
        <v>100</v>
      </c>
      <c r="F79" s="52">
        <f t="shared" si="17"/>
        <v>75.46933951264798</v>
      </c>
      <c r="G79" s="50">
        <v>100</v>
      </c>
      <c r="H79" s="52">
        <f t="shared" si="17"/>
        <v>73.78507469247363</v>
      </c>
      <c r="I79" s="50">
        <v>100</v>
      </c>
      <c r="J79" s="52">
        <f t="shared" si="8"/>
        <v>77.60757280551898</v>
      </c>
      <c r="K79" s="50">
        <v>100</v>
      </c>
      <c r="L79" s="52">
        <f t="shared" si="9"/>
        <v>222.80651523360004</v>
      </c>
      <c r="M79" s="50">
        <v>100</v>
      </c>
      <c r="N79" s="52">
        <f t="shared" si="10"/>
        <v>211.38598420933272</v>
      </c>
      <c r="O79" s="50">
        <v>100</v>
      </c>
      <c r="P79" s="52">
        <f t="shared" si="11"/>
        <v>203.1846539744492</v>
      </c>
      <c r="Q79" s="65">
        <f aca="true" t="shared" si="18" ref="Q79:U89">SUM((L781*K79/100),(F79*E79/100),(L79*K79/100))/R79*100</f>
        <v>100</v>
      </c>
      <c r="R79" s="52">
        <f t="shared" si="12"/>
        <v>298.275854746248</v>
      </c>
      <c r="S79" s="65">
        <f t="shared" si="18"/>
        <v>100</v>
      </c>
      <c r="T79" s="52">
        <f t="shared" si="12"/>
        <v>285.17105890180636</v>
      </c>
      <c r="U79" s="65">
        <f t="shared" si="18"/>
        <v>99.99999999999997</v>
      </c>
      <c r="V79" s="52">
        <f t="shared" si="12"/>
        <v>280.7922267799682</v>
      </c>
      <c r="W79" s="49">
        <v>100</v>
      </c>
      <c r="X79" s="52">
        <f t="shared" si="13"/>
        <v>298.275854746248</v>
      </c>
      <c r="Y79" s="49">
        <v>100</v>
      </c>
      <c r="Z79" s="52">
        <f t="shared" si="14"/>
        <v>285.17105890180636</v>
      </c>
      <c r="AA79" s="49">
        <v>100</v>
      </c>
      <c r="AB79" s="52">
        <f t="shared" si="15"/>
        <v>280.7922267799682</v>
      </c>
      <c r="AC79" s="49">
        <f aca="true" t="shared" si="19" ref="AC79:AC89">SUM((AB79*AA79/100),(Z79*Y79/100),(X79*W79/100))/AD79*100/3</f>
        <v>100</v>
      </c>
      <c r="AD79" s="52">
        <f t="shared" si="16"/>
        <v>288.0797134760075</v>
      </c>
    </row>
    <row r="80" spans="2:30" ht="12.75">
      <c r="B80" s="49" t="s">
        <v>58</v>
      </c>
      <c r="D80" s="49" t="s">
        <v>34</v>
      </c>
      <c r="E80" s="50">
        <v>100</v>
      </c>
      <c r="F80" s="52">
        <f t="shared" si="17"/>
        <v>75.46933951264798</v>
      </c>
      <c r="G80" s="50">
        <v>100</v>
      </c>
      <c r="H80" s="52">
        <f t="shared" si="17"/>
        <v>73.78507469247363</v>
      </c>
      <c r="I80" s="50">
        <v>100</v>
      </c>
      <c r="J80" s="52">
        <f t="shared" si="8"/>
        <v>77.60757280551898</v>
      </c>
      <c r="K80" s="50">
        <v>100</v>
      </c>
      <c r="L80" s="52">
        <f t="shared" si="9"/>
        <v>222.80651523360004</v>
      </c>
      <c r="M80" s="50">
        <v>100</v>
      </c>
      <c r="N80" s="52">
        <f t="shared" si="10"/>
        <v>211.38598420933272</v>
      </c>
      <c r="O80" s="50"/>
      <c r="P80" s="52">
        <f t="shared" si="11"/>
        <v>417.54446391749326</v>
      </c>
      <c r="Q80" s="65">
        <f t="shared" si="18"/>
        <v>100</v>
      </c>
      <c r="R80" s="52">
        <f t="shared" si="12"/>
        <v>298.275854746248</v>
      </c>
      <c r="S80" s="65">
        <f t="shared" si="18"/>
        <v>100</v>
      </c>
      <c r="T80" s="52">
        <f t="shared" si="12"/>
        <v>285.17105890180636</v>
      </c>
      <c r="U80" s="65">
        <f t="shared" si="18"/>
        <v>15.673483506023143</v>
      </c>
      <c r="V80" s="52">
        <f t="shared" si="12"/>
        <v>495.15203672301226</v>
      </c>
      <c r="W80" s="49">
        <v>100</v>
      </c>
      <c r="X80" s="52">
        <f t="shared" si="13"/>
        <v>298.275854746248</v>
      </c>
      <c r="Y80" s="49">
        <v>100</v>
      </c>
      <c r="Z80" s="52">
        <f t="shared" si="14"/>
        <v>285.17105890180636</v>
      </c>
      <c r="AA80" s="49">
        <v>15.673483506023143</v>
      </c>
      <c r="AB80" s="52">
        <f t="shared" si="15"/>
        <v>495.15203672301226</v>
      </c>
      <c r="AC80" s="49">
        <f t="shared" si="19"/>
        <v>61.288256049772066</v>
      </c>
      <c r="AD80" s="52">
        <f t="shared" si="16"/>
        <v>359.5329834570222</v>
      </c>
    </row>
    <row r="81" spans="2:30" ht="12.75">
      <c r="B81" s="49" t="s">
        <v>59</v>
      </c>
      <c r="D81" s="49" t="s">
        <v>34</v>
      </c>
      <c r="E81" s="50">
        <v>100</v>
      </c>
      <c r="F81" s="52">
        <f t="shared" si="17"/>
        <v>37.73466975632399</v>
      </c>
      <c r="G81" s="50">
        <v>100</v>
      </c>
      <c r="H81" s="52">
        <f t="shared" si="17"/>
        <v>36.892537346236814</v>
      </c>
      <c r="I81" s="50">
        <v>100</v>
      </c>
      <c r="J81" s="52">
        <f t="shared" si="8"/>
        <v>38.80378640275949</v>
      </c>
      <c r="K81" s="50">
        <v>100</v>
      </c>
      <c r="L81" s="52">
        <f t="shared" si="9"/>
        <v>111.40325761680002</v>
      </c>
      <c r="M81" s="50">
        <v>100</v>
      </c>
      <c r="N81" s="52">
        <f t="shared" si="10"/>
        <v>105.69299210466636</v>
      </c>
      <c r="O81" s="50">
        <v>100</v>
      </c>
      <c r="P81" s="52">
        <f t="shared" si="11"/>
        <v>101.5923269872246</v>
      </c>
      <c r="Q81" s="65">
        <f t="shared" si="18"/>
        <v>100</v>
      </c>
      <c r="R81" s="52">
        <f t="shared" si="12"/>
        <v>149.137927373124</v>
      </c>
      <c r="S81" s="65">
        <f t="shared" si="18"/>
        <v>100</v>
      </c>
      <c r="T81" s="52">
        <f t="shared" si="12"/>
        <v>142.58552945090318</v>
      </c>
      <c r="U81" s="65">
        <f t="shared" si="18"/>
        <v>99.99999999999997</v>
      </c>
      <c r="V81" s="52">
        <f t="shared" si="12"/>
        <v>140.3961133899841</v>
      </c>
      <c r="W81" s="49">
        <v>100</v>
      </c>
      <c r="X81" s="52">
        <f t="shared" si="13"/>
        <v>149.137927373124</v>
      </c>
      <c r="Y81" s="49">
        <v>100</v>
      </c>
      <c r="Z81" s="52">
        <f t="shared" si="14"/>
        <v>142.58552945090318</v>
      </c>
      <c r="AA81" s="49">
        <v>100</v>
      </c>
      <c r="AB81" s="52">
        <f t="shared" si="15"/>
        <v>140.3961133899841</v>
      </c>
      <c r="AC81" s="49">
        <f t="shared" si="19"/>
        <v>100</v>
      </c>
      <c r="AD81" s="52">
        <f t="shared" si="16"/>
        <v>144.03985673800375</v>
      </c>
    </row>
    <row r="82" spans="2:30" ht="12.75">
      <c r="B82" s="49" t="s">
        <v>60</v>
      </c>
      <c r="D82" s="49" t="s">
        <v>34</v>
      </c>
      <c r="E82" s="50">
        <v>100</v>
      </c>
      <c r="F82" s="52">
        <f t="shared" si="17"/>
        <v>75.46933951264798</v>
      </c>
      <c r="G82" s="50">
        <v>100</v>
      </c>
      <c r="H82" s="52">
        <f t="shared" si="17"/>
        <v>73.78507469247363</v>
      </c>
      <c r="I82" s="50">
        <v>100</v>
      </c>
      <c r="J82" s="52">
        <f t="shared" si="8"/>
        <v>77.60757280551898</v>
      </c>
      <c r="K82" s="50">
        <v>100</v>
      </c>
      <c r="L82" s="52">
        <f t="shared" si="9"/>
        <v>222.80651523360004</v>
      </c>
      <c r="M82" s="50">
        <v>100</v>
      </c>
      <c r="N82" s="52">
        <f t="shared" si="10"/>
        <v>211.38598420933272</v>
      </c>
      <c r="O82" s="50">
        <v>100</v>
      </c>
      <c r="P82" s="52">
        <f t="shared" si="11"/>
        <v>203.1846539744492</v>
      </c>
      <c r="Q82" s="65">
        <f t="shared" si="18"/>
        <v>100</v>
      </c>
      <c r="R82" s="52">
        <f t="shared" si="12"/>
        <v>298.275854746248</v>
      </c>
      <c r="S82" s="65">
        <f t="shared" si="18"/>
        <v>100</v>
      </c>
      <c r="T82" s="52">
        <f t="shared" si="12"/>
        <v>285.17105890180636</v>
      </c>
      <c r="U82" s="65">
        <f t="shared" si="18"/>
        <v>99.99999999999997</v>
      </c>
      <c r="V82" s="52">
        <f t="shared" si="12"/>
        <v>280.7922267799682</v>
      </c>
      <c r="W82" s="49">
        <v>100</v>
      </c>
      <c r="X82" s="52">
        <f t="shared" si="13"/>
        <v>298.275854746248</v>
      </c>
      <c r="Y82" s="49">
        <v>100</v>
      </c>
      <c r="Z82" s="52">
        <f t="shared" si="14"/>
        <v>285.17105890180636</v>
      </c>
      <c r="AA82" s="49">
        <v>100</v>
      </c>
      <c r="AB82" s="52">
        <f t="shared" si="15"/>
        <v>280.7922267799682</v>
      </c>
      <c r="AC82" s="49">
        <f t="shared" si="19"/>
        <v>100</v>
      </c>
      <c r="AD82" s="52">
        <f t="shared" si="16"/>
        <v>288.0797134760075</v>
      </c>
    </row>
    <row r="83" spans="2:30" ht="12.75">
      <c r="B83" s="49" t="s">
        <v>73</v>
      </c>
      <c r="D83" s="49" t="s">
        <v>34</v>
      </c>
      <c r="E83" s="50">
        <v>100</v>
      </c>
      <c r="F83" s="52">
        <f t="shared" si="17"/>
        <v>75.46933951264798</v>
      </c>
      <c r="G83" s="50">
        <v>100</v>
      </c>
      <c r="H83" s="52">
        <f t="shared" si="17"/>
        <v>73.78507469247363</v>
      </c>
      <c r="I83" s="50">
        <v>100</v>
      </c>
      <c r="J83" s="52">
        <f t="shared" si="8"/>
        <v>77.60757280551898</v>
      </c>
      <c r="K83" s="50">
        <v>100</v>
      </c>
      <c r="L83" s="52">
        <f t="shared" si="9"/>
        <v>222.80651523360004</v>
      </c>
      <c r="M83" s="50">
        <v>100</v>
      </c>
      <c r="N83" s="52">
        <f t="shared" si="10"/>
        <v>211.38598420933272</v>
      </c>
      <c r="O83" s="50"/>
      <c r="P83" s="52">
        <f t="shared" si="11"/>
        <v>1442.6110432185899</v>
      </c>
      <c r="Q83" s="65">
        <f t="shared" si="18"/>
        <v>100</v>
      </c>
      <c r="R83" s="52">
        <f t="shared" si="12"/>
        <v>298.275854746248</v>
      </c>
      <c r="S83" s="65">
        <f t="shared" si="18"/>
        <v>100</v>
      </c>
      <c r="T83" s="52">
        <f t="shared" si="12"/>
        <v>285.17105890180636</v>
      </c>
      <c r="U83" s="65">
        <f t="shared" si="18"/>
        <v>5.10502713145885</v>
      </c>
      <c r="V83" s="52">
        <f t="shared" si="12"/>
        <v>1520.2186160241088</v>
      </c>
      <c r="W83" s="49">
        <v>100</v>
      </c>
      <c r="X83" s="52">
        <f t="shared" si="13"/>
        <v>298.275854746248</v>
      </c>
      <c r="Y83" s="49">
        <v>100</v>
      </c>
      <c r="Z83" s="52">
        <f t="shared" si="14"/>
        <v>285.17105890180636</v>
      </c>
      <c r="AA83" s="49">
        <v>5.10502713145885</v>
      </c>
      <c r="AB83" s="52">
        <f t="shared" si="15"/>
        <v>1520.2186160241088</v>
      </c>
      <c r="AC83" s="49">
        <f t="shared" si="19"/>
        <v>31.423934895039746</v>
      </c>
      <c r="AD83" s="52">
        <f t="shared" si="16"/>
        <v>701.2218432240543</v>
      </c>
    </row>
    <row r="84" spans="2:30" ht="12.75">
      <c r="B84" s="49" t="s">
        <v>55</v>
      </c>
      <c r="D84" s="49" t="s">
        <v>34</v>
      </c>
      <c r="E84" s="50">
        <v>100</v>
      </c>
      <c r="F84" s="52">
        <f t="shared" si="17"/>
        <v>75.46933951264798</v>
      </c>
      <c r="G84" s="50">
        <v>100</v>
      </c>
      <c r="H84" s="52">
        <f t="shared" si="17"/>
        <v>73.78507469247363</v>
      </c>
      <c r="I84" s="50">
        <v>100</v>
      </c>
      <c r="J84" s="52">
        <f t="shared" si="8"/>
        <v>77.60757280551898</v>
      </c>
      <c r="K84" s="50">
        <v>100</v>
      </c>
      <c r="L84" s="52">
        <f t="shared" si="9"/>
        <v>222.80651523360004</v>
      </c>
      <c r="M84" s="50">
        <v>100</v>
      </c>
      <c r="N84" s="52">
        <f t="shared" si="10"/>
        <v>211.38598420933272</v>
      </c>
      <c r="O84" s="50">
        <v>100</v>
      </c>
      <c r="P84" s="52">
        <f t="shared" si="11"/>
        <v>203.1846539744492</v>
      </c>
      <c r="Q84" s="65">
        <f t="shared" si="18"/>
        <v>100</v>
      </c>
      <c r="R84" s="52">
        <f t="shared" si="12"/>
        <v>298.275854746248</v>
      </c>
      <c r="S84" s="65">
        <f t="shared" si="18"/>
        <v>100</v>
      </c>
      <c r="T84" s="52">
        <f t="shared" si="12"/>
        <v>285.17105890180636</v>
      </c>
      <c r="U84" s="65">
        <f t="shared" si="18"/>
        <v>99.99999999999997</v>
      </c>
      <c r="V84" s="52">
        <f t="shared" si="12"/>
        <v>280.7922267799682</v>
      </c>
      <c r="W84" s="49">
        <v>100</v>
      </c>
      <c r="X84" s="52">
        <f t="shared" si="13"/>
        <v>298.275854746248</v>
      </c>
      <c r="Y84" s="49">
        <v>100</v>
      </c>
      <c r="Z84" s="52">
        <f t="shared" si="14"/>
        <v>285.17105890180636</v>
      </c>
      <c r="AA84" s="49">
        <v>100</v>
      </c>
      <c r="AB84" s="52">
        <f t="shared" si="15"/>
        <v>280.7922267799682</v>
      </c>
      <c r="AC84" s="49">
        <f t="shared" si="19"/>
        <v>100</v>
      </c>
      <c r="AD84" s="52">
        <f t="shared" si="16"/>
        <v>288.0797134760075</v>
      </c>
    </row>
    <row r="85" spans="2:30" ht="12.75">
      <c r="B85" s="49" t="s">
        <v>61</v>
      </c>
      <c r="D85" s="49" t="s">
        <v>34</v>
      </c>
      <c r="E85" s="50"/>
      <c r="F85" s="52">
        <f t="shared" si="17"/>
        <v>17.50888676693433</v>
      </c>
      <c r="G85" s="50"/>
      <c r="H85" s="52">
        <f t="shared" si="17"/>
        <v>13.39199105668396</v>
      </c>
      <c r="I85" s="50"/>
      <c r="J85" s="52">
        <f t="shared" si="8"/>
        <v>6.286213397247038</v>
      </c>
      <c r="K85" s="50">
        <v>100</v>
      </c>
      <c r="L85" s="52">
        <f t="shared" si="9"/>
        <v>9.747785041470001</v>
      </c>
      <c r="M85" s="50">
        <v>100</v>
      </c>
      <c r="N85" s="52">
        <f t="shared" si="10"/>
        <v>9.438384194946707</v>
      </c>
      <c r="O85" s="50">
        <v>100</v>
      </c>
      <c r="P85" s="52">
        <f t="shared" si="11"/>
        <v>8.117226926279248</v>
      </c>
      <c r="Q85" s="65">
        <f t="shared" si="18"/>
        <v>35.762932136359964</v>
      </c>
      <c r="R85" s="52">
        <f t="shared" si="12"/>
        <v>27.256671808404334</v>
      </c>
      <c r="S85" s="65">
        <f t="shared" si="18"/>
        <v>41.341344988504154</v>
      </c>
      <c r="T85" s="52">
        <f t="shared" si="12"/>
        <v>22.830375251630667</v>
      </c>
      <c r="U85" s="65">
        <f t="shared" si="18"/>
        <v>56.35616730414562</v>
      </c>
      <c r="V85" s="52">
        <f t="shared" si="12"/>
        <v>14.403440323526286</v>
      </c>
      <c r="W85" s="49">
        <v>43.550378244760935</v>
      </c>
      <c r="X85" s="52">
        <f t="shared" si="13"/>
        <v>27.256671808404334</v>
      </c>
      <c r="Y85" s="49">
        <v>52.113570464225475</v>
      </c>
      <c r="Z85" s="52">
        <f t="shared" si="14"/>
        <v>22.830375251630667</v>
      </c>
      <c r="AA85" s="49">
        <v>78.46653245945045</v>
      </c>
      <c r="AB85" s="52">
        <f t="shared" si="15"/>
        <v>14.403440323526286</v>
      </c>
      <c r="AC85" s="49">
        <f t="shared" si="19"/>
        <v>54.38009381392203</v>
      </c>
      <c r="AD85" s="52">
        <f t="shared" si="16"/>
        <v>21.49682912785376</v>
      </c>
    </row>
    <row r="86" spans="2:30" ht="12.75">
      <c r="B86" s="49" t="s">
        <v>64</v>
      </c>
      <c r="D86" s="49" t="s">
        <v>34</v>
      </c>
      <c r="E86" s="50">
        <v>100</v>
      </c>
      <c r="F86" s="52">
        <f t="shared" si="17"/>
        <v>75.46933951264798</v>
      </c>
      <c r="G86" s="50">
        <v>100</v>
      </c>
      <c r="H86" s="52">
        <f t="shared" si="17"/>
        <v>73.78507469247363</v>
      </c>
      <c r="I86" s="50">
        <v>100</v>
      </c>
      <c r="J86" s="52">
        <f t="shared" si="8"/>
        <v>77.60757280551898</v>
      </c>
      <c r="K86" s="50">
        <v>100</v>
      </c>
      <c r="L86" s="52">
        <f t="shared" si="9"/>
        <v>222.80651523360004</v>
      </c>
      <c r="M86" s="50">
        <v>100</v>
      </c>
      <c r="N86" s="52">
        <f t="shared" si="10"/>
        <v>211.38598420933272</v>
      </c>
      <c r="O86" s="50">
        <v>100</v>
      </c>
      <c r="P86" s="52">
        <f t="shared" si="11"/>
        <v>203.1846539744492</v>
      </c>
      <c r="Q86" s="65">
        <f t="shared" si="18"/>
        <v>100</v>
      </c>
      <c r="R86" s="52">
        <f t="shared" si="12"/>
        <v>298.275854746248</v>
      </c>
      <c r="S86" s="65">
        <f t="shared" si="18"/>
        <v>100</v>
      </c>
      <c r="T86" s="52">
        <f t="shared" si="12"/>
        <v>285.17105890180636</v>
      </c>
      <c r="U86" s="65">
        <f t="shared" si="18"/>
        <v>99.99999999999997</v>
      </c>
      <c r="V86" s="52">
        <f t="shared" si="12"/>
        <v>280.7922267799682</v>
      </c>
      <c r="W86" s="49">
        <v>100</v>
      </c>
      <c r="X86" s="52">
        <f t="shared" si="13"/>
        <v>298.275854746248</v>
      </c>
      <c r="Y86" s="49">
        <v>100</v>
      </c>
      <c r="Z86" s="52">
        <f t="shared" si="14"/>
        <v>285.17105890180636</v>
      </c>
      <c r="AA86" s="49">
        <v>100</v>
      </c>
      <c r="AB86" s="52">
        <f t="shared" si="15"/>
        <v>280.7922267799682</v>
      </c>
      <c r="AC86" s="49">
        <f t="shared" si="19"/>
        <v>100</v>
      </c>
      <c r="AD86" s="52">
        <f t="shared" si="16"/>
        <v>288.0797134760075</v>
      </c>
    </row>
    <row r="87" spans="2:30" ht="12.75">
      <c r="B87" s="49" t="s">
        <v>65</v>
      </c>
      <c r="D87" s="49" t="s">
        <v>34</v>
      </c>
      <c r="E87" s="50">
        <v>100</v>
      </c>
      <c r="F87" s="52">
        <f t="shared" si="17"/>
        <v>75.46933951264798</v>
      </c>
      <c r="G87" s="50">
        <v>100</v>
      </c>
      <c r="H87" s="52">
        <f t="shared" si="17"/>
        <v>73.78507469247363</v>
      </c>
      <c r="I87" s="50">
        <v>100</v>
      </c>
      <c r="J87" s="52">
        <f t="shared" si="8"/>
        <v>77.60757280551898</v>
      </c>
      <c r="K87" s="50">
        <v>100</v>
      </c>
      <c r="L87" s="52">
        <f t="shared" si="9"/>
        <v>222.80651523360004</v>
      </c>
      <c r="M87" s="50">
        <v>100</v>
      </c>
      <c r="N87" s="52">
        <f t="shared" si="10"/>
        <v>211.38598420933272</v>
      </c>
      <c r="O87" s="50">
        <v>100</v>
      </c>
      <c r="P87" s="52">
        <f t="shared" si="11"/>
        <v>203.1846539744492</v>
      </c>
      <c r="Q87" s="65">
        <f t="shared" si="18"/>
        <v>100</v>
      </c>
      <c r="R87" s="52">
        <f t="shared" si="12"/>
        <v>298.275854746248</v>
      </c>
      <c r="S87" s="65">
        <f t="shared" si="18"/>
        <v>100</v>
      </c>
      <c r="T87" s="52">
        <f t="shared" si="12"/>
        <v>285.17105890180636</v>
      </c>
      <c r="U87" s="65">
        <f t="shared" si="18"/>
        <v>99.99999999999997</v>
      </c>
      <c r="V87" s="52">
        <f t="shared" si="12"/>
        <v>280.7922267799682</v>
      </c>
      <c r="W87" s="49">
        <v>100</v>
      </c>
      <c r="X87" s="52">
        <f t="shared" si="13"/>
        <v>298.275854746248</v>
      </c>
      <c r="Y87" s="49">
        <v>100</v>
      </c>
      <c r="Z87" s="52">
        <f t="shared" si="14"/>
        <v>285.17105890180636</v>
      </c>
      <c r="AA87" s="49">
        <v>100</v>
      </c>
      <c r="AB87" s="52">
        <f t="shared" si="15"/>
        <v>280.7922267799682</v>
      </c>
      <c r="AC87" s="49">
        <f t="shared" si="19"/>
        <v>100</v>
      </c>
      <c r="AD87" s="52">
        <f t="shared" si="16"/>
        <v>288.0797134760075</v>
      </c>
    </row>
    <row r="88" spans="2:30" ht="12.75">
      <c r="B88" s="49" t="s">
        <v>35</v>
      </c>
      <c r="D88" s="49" t="s">
        <v>34</v>
      </c>
      <c r="E88" s="50">
        <v>100</v>
      </c>
      <c r="F88" s="52">
        <f>F82+F84</f>
        <v>150.93867902529595</v>
      </c>
      <c r="G88" s="50">
        <v>100</v>
      </c>
      <c r="H88" s="52">
        <f>H82+H84</f>
        <v>147.57014938494726</v>
      </c>
      <c r="I88" s="50">
        <v>100</v>
      </c>
      <c r="J88" s="52">
        <f>J82+J84</f>
        <v>155.21514561103797</v>
      </c>
      <c r="K88" s="50">
        <v>100</v>
      </c>
      <c r="L88" s="52">
        <f>L82+L84</f>
        <v>445.6130304672001</v>
      </c>
      <c r="M88" s="50">
        <v>100</v>
      </c>
      <c r="N88" s="52">
        <f>N82+N84</f>
        <v>422.77196841866544</v>
      </c>
      <c r="O88" s="50">
        <v>100</v>
      </c>
      <c r="P88" s="52">
        <f>P82+P84</f>
        <v>406.3693079488984</v>
      </c>
      <c r="Q88" s="65">
        <f t="shared" si="18"/>
        <v>100</v>
      </c>
      <c r="R88" s="52">
        <f t="shared" si="12"/>
        <v>596.551709492496</v>
      </c>
      <c r="S88" s="65">
        <f t="shared" si="18"/>
        <v>100</v>
      </c>
      <c r="T88" s="52">
        <f t="shared" si="12"/>
        <v>570.3421178036127</v>
      </c>
      <c r="U88" s="65">
        <f t="shared" si="18"/>
        <v>99.99999999999997</v>
      </c>
      <c r="V88" s="52">
        <f t="shared" si="12"/>
        <v>561.5844535599364</v>
      </c>
      <c r="W88" s="49">
        <v>100</v>
      </c>
      <c r="X88" s="52">
        <f t="shared" si="13"/>
        <v>596.551709492496</v>
      </c>
      <c r="Y88" s="49">
        <v>100</v>
      </c>
      <c r="Z88" s="52">
        <f t="shared" si="14"/>
        <v>570.3421178036127</v>
      </c>
      <c r="AA88" s="49">
        <v>100</v>
      </c>
      <c r="AB88" s="52">
        <f t="shared" si="15"/>
        <v>561.5844535599364</v>
      </c>
      <c r="AC88" s="49">
        <f t="shared" si="19"/>
        <v>100</v>
      </c>
      <c r="AD88" s="52">
        <f t="shared" si="16"/>
        <v>576.159426952015</v>
      </c>
    </row>
    <row r="89" spans="2:30" ht="12.75">
      <c r="B89" s="49" t="s">
        <v>36</v>
      </c>
      <c r="D89" s="49" t="s">
        <v>34</v>
      </c>
      <c r="E89" s="50">
        <v>100</v>
      </c>
      <c r="F89" s="52">
        <f>(F79+F81+F83)/2</f>
        <v>94.33667439080997</v>
      </c>
      <c r="G89" s="50">
        <v>100</v>
      </c>
      <c r="H89" s="52">
        <f>(H79+H81+H83)/2</f>
        <v>92.23134336559204</v>
      </c>
      <c r="I89" s="50">
        <v>100</v>
      </c>
      <c r="J89" s="52">
        <f>(J79+J81+J83)/2</f>
        <v>97.00946600689872</v>
      </c>
      <c r="K89" s="50">
        <v>100</v>
      </c>
      <c r="L89" s="52">
        <f>(L79+L81+L83)/2</f>
        <v>278.508144042</v>
      </c>
      <c r="M89" s="50">
        <v>100</v>
      </c>
      <c r="N89" s="52">
        <f>(N79+N81+N83)/2</f>
        <v>264.2324802616659</v>
      </c>
      <c r="O89" s="49">
        <f>SUM(P79,P81)/P89*100</f>
        <v>17.44186046511627</v>
      </c>
      <c r="P89" s="52">
        <f>(P79+P81+P83)</f>
        <v>1747.3880241802635</v>
      </c>
      <c r="Q89" s="65">
        <f t="shared" si="18"/>
        <v>99.99999999999999</v>
      </c>
      <c r="R89" s="52">
        <f t="shared" si="12"/>
        <v>372.84481843281003</v>
      </c>
      <c r="S89" s="65">
        <f t="shared" si="18"/>
        <v>100</v>
      </c>
      <c r="T89" s="52">
        <f t="shared" si="12"/>
        <v>356.46382362725797</v>
      </c>
      <c r="U89" s="65">
        <f t="shared" si="18"/>
        <v>21.7841571085526</v>
      </c>
      <c r="V89" s="52">
        <f t="shared" si="12"/>
        <v>1844.3974901871622</v>
      </c>
      <c r="W89" s="49">
        <v>100</v>
      </c>
      <c r="X89" s="52">
        <f t="shared" si="13"/>
        <v>372.84481843281003</v>
      </c>
      <c r="Y89" s="49">
        <v>100</v>
      </c>
      <c r="Z89" s="52">
        <f t="shared" si="14"/>
        <v>356.46382362725797</v>
      </c>
      <c r="AA89" s="49">
        <v>21.7841571085526</v>
      </c>
      <c r="AB89" s="52">
        <f t="shared" si="15"/>
        <v>1844.3974901871622</v>
      </c>
      <c r="AC89" s="49">
        <f t="shared" si="19"/>
        <v>43.94810560757477</v>
      </c>
      <c r="AD89" s="52">
        <f t="shared" si="16"/>
        <v>857.90204408241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B1">
      <selection activeCell="C2" sqref="C2"/>
    </sheetView>
  </sheetViews>
  <sheetFormatPr defaultColWidth="9.140625" defaultRowHeight="12.75"/>
  <cols>
    <col min="1" max="1" width="3.8515625" style="0" hidden="1" customWidth="1"/>
    <col min="2" max="2" width="29.8515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3" t="s">
        <v>180</v>
      </c>
      <c r="C1" s="9"/>
      <c r="D1" s="9"/>
      <c r="E1" s="9"/>
      <c r="F1" s="9"/>
    </row>
    <row r="2" spans="2:6" ht="12.75">
      <c r="B2" s="9"/>
      <c r="C2" s="9"/>
      <c r="D2" s="9"/>
      <c r="E2" s="9"/>
      <c r="F2" s="9"/>
    </row>
    <row r="3" spans="1:6" ht="12.75">
      <c r="A3" t="s">
        <v>76</v>
      </c>
      <c r="B3" s="3" t="s">
        <v>143</v>
      </c>
      <c r="C3" s="9"/>
      <c r="D3" s="9"/>
      <c r="E3" s="9"/>
      <c r="F3" s="9"/>
    </row>
    <row r="4" spans="2:6" ht="12.75">
      <c r="B4" s="9"/>
      <c r="C4" s="9"/>
      <c r="D4" s="9"/>
      <c r="F4" s="9"/>
    </row>
    <row r="5" spans="2:7" ht="14.25">
      <c r="B5" s="9" t="s">
        <v>129</v>
      </c>
      <c r="C5" s="4" t="s">
        <v>31</v>
      </c>
      <c r="D5" s="4"/>
      <c r="E5">
        <v>1837.2</v>
      </c>
      <c r="F5" s="9">
        <v>1848.4</v>
      </c>
      <c r="G5">
        <v>1856.7</v>
      </c>
    </row>
    <row r="6" spans="2:7" ht="14.25">
      <c r="B6" s="9" t="s">
        <v>130</v>
      </c>
      <c r="C6" s="4" t="s">
        <v>31</v>
      </c>
      <c r="D6" s="4"/>
      <c r="E6">
        <v>2028.5</v>
      </c>
      <c r="F6" s="9">
        <v>2023.1</v>
      </c>
      <c r="G6">
        <v>2025.2</v>
      </c>
    </row>
    <row r="7" spans="2:7" ht="12.75">
      <c r="B7" s="9" t="s">
        <v>131</v>
      </c>
      <c r="C7" s="9" t="s">
        <v>89</v>
      </c>
      <c r="D7" s="9"/>
      <c r="E7">
        <v>-0.04</v>
      </c>
      <c r="F7" s="9">
        <v>-0.06</v>
      </c>
      <c r="G7">
        <v>-0.05</v>
      </c>
    </row>
    <row r="8" spans="2:7" ht="12.75">
      <c r="B8" s="9" t="s">
        <v>132</v>
      </c>
      <c r="C8" s="9" t="s">
        <v>89</v>
      </c>
      <c r="D8" s="9"/>
      <c r="E8">
        <v>-0.31</v>
      </c>
      <c r="F8" s="9">
        <v>-0.32</v>
      </c>
      <c r="G8">
        <v>-0.25</v>
      </c>
    </row>
    <row r="9" spans="2:7" ht="12.75">
      <c r="B9" s="9" t="s">
        <v>87</v>
      </c>
      <c r="C9" s="9" t="s">
        <v>89</v>
      </c>
      <c r="D9" s="9"/>
      <c r="E9">
        <v>6.61</v>
      </c>
      <c r="F9" s="9">
        <v>6.62</v>
      </c>
      <c r="G9">
        <v>6.67</v>
      </c>
    </row>
    <row r="10" spans="2:7" ht="12.75">
      <c r="B10" s="9" t="s">
        <v>133</v>
      </c>
      <c r="C10" s="9" t="s">
        <v>29</v>
      </c>
      <c r="D10" s="9"/>
      <c r="E10">
        <v>77.5</v>
      </c>
      <c r="F10" s="9">
        <v>80.2</v>
      </c>
      <c r="G10">
        <v>79.1</v>
      </c>
    </row>
    <row r="11" spans="2:7" ht="12.75">
      <c r="B11" s="9" t="s">
        <v>88</v>
      </c>
      <c r="C11" s="9" t="s">
        <v>90</v>
      </c>
      <c r="D11" s="9"/>
      <c r="E11">
        <v>40.52</v>
      </c>
      <c r="F11">
        <v>39.93</v>
      </c>
      <c r="G11">
        <v>42.02</v>
      </c>
    </row>
    <row r="12" spans="2:6" ht="12.75">
      <c r="B12" s="9"/>
      <c r="C12" s="9"/>
      <c r="D12" s="9"/>
      <c r="F12" s="9"/>
    </row>
    <row r="13" spans="2:6" ht="12.75">
      <c r="B13" s="3" t="s">
        <v>144</v>
      </c>
      <c r="C13" s="9"/>
      <c r="D13" s="9"/>
      <c r="E13" s="9"/>
      <c r="F13" s="9"/>
    </row>
    <row r="14" spans="2:6" ht="12.75">
      <c r="B14" s="9"/>
      <c r="C14" s="9"/>
      <c r="D14" s="9"/>
      <c r="F14" s="9"/>
    </row>
    <row r="15" spans="2:9" ht="14.25">
      <c r="B15" s="9" t="s">
        <v>129</v>
      </c>
      <c r="C15" s="4" t="s">
        <v>31</v>
      </c>
      <c r="D15" s="4"/>
      <c r="E15">
        <v>1642.6</v>
      </c>
      <c r="F15" s="9">
        <v>1622.6</v>
      </c>
      <c r="G15">
        <v>1612</v>
      </c>
      <c r="I15" t="s">
        <v>91</v>
      </c>
    </row>
    <row r="16" spans="2:7" ht="14.25">
      <c r="B16" s="9" t="s">
        <v>130</v>
      </c>
      <c r="C16" s="4" t="s">
        <v>31</v>
      </c>
      <c r="D16" s="4"/>
      <c r="E16">
        <v>1804.7</v>
      </c>
      <c r="F16" s="9">
        <v>1804.9</v>
      </c>
      <c r="G16">
        <v>1804.9</v>
      </c>
    </row>
    <row r="17" spans="2:7" ht="12.75">
      <c r="B17" s="9" t="s">
        <v>131</v>
      </c>
      <c r="C17" s="9" t="s">
        <v>89</v>
      </c>
      <c r="D17" s="9"/>
      <c r="E17">
        <v>-0.12</v>
      </c>
      <c r="F17" s="9">
        <v>-0.11</v>
      </c>
      <c r="G17">
        <v>-0.07</v>
      </c>
    </row>
    <row r="18" spans="2:7" ht="12.75">
      <c r="B18" s="9" t="s">
        <v>132</v>
      </c>
      <c r="C18" s="9" t="s">
        <v>89</v>
      </c>
      <c r="D18" s="9"/>
      <c r="E18">
        <v>-0.31</v>
      </c>
      <c r="F18" s="9">
        <v>-0.32</v>
      </c>
      <c r="G18">
        <v>-0.31</v>
      </c>
    </row>
    <row r="19" spans="2:7" ht="12.75">
      <c r="B19" s="9" t="s">
        <v>87</v>
      </c>
      <c r="C19" s="9" t="s">
        <v>89</v>
      </c>
      <c r="D19" s="9"/>
      <c r="E19">
        <v>6.67</v>
      </c>
      <c r="F19" s="9">
        <v>6.66</v>
      </c>
      <c r="G19">
        <v>6.72</v>
      </c>
    </row>
    <row r="20" spans="2:7" ht="12.75">
      <c r="B20" s="9" t="s">
        <v>133</v>
      </c>
      <c r="C20" s="9" t="s">
        <v>29</v>
      </c>
      <c r="D20" s="9"/>
      <c r="E20">
        <v>36.9</v>
      </c>
      <c r="F20" s="9">
        <v>38</v>
      </c>
      <c r="G20">
        <v>41.2</v>
      </c>
    </row>
    <row r="21" spans="2:7" ht="12.75">
      <c r="B21" s="9" t="s">
        <v>88</v>
      </c>
      <c r="C21" s="9" t="s">
        <v>90</v>
      </c>
      <c r="D21" s="9"/>
      <c r="E21">
        <v>34.85</v>
      </c>
      <c r="F21" s="9">
        <v>35.54</v>
      </c>
      <c r="G21">
        <v>37.93</v>
      </c>
    </row>
    <row r="23" spans="2:3" ht="12.75">
      <c r="B23" s="3" t="s">
        <v>145</v>
      </c>
      <c r="C23" s="9"/>
    </row>
    <row r="24" spans="2:3" ht="12.75">
      <c r="B24" s="9"/>
      <c r="C24" s="9"/>
    </row>
    <row r="25" spans="2:7" ht="14.25">
      <c r="B25" s="9" t="s">
        <v>129</v>
      </c>
      <c r="C25" s="4" t="s">
        <v>31</v>
      </c>
      <c r="E25">
        <v>1797.5</v>
      </c>
      <c r="F25">
        <v>1802.3</v>
      </c>
      <c r="G25">
        <v>1834.3</v>
      </c>
    </row>
    <row r="26" spans="2:7" ht="14.25">
      <c r="B26" s="9" t="s">
        <v>130</v>
      </c>
      <c r="C26" s="4" t="s">
        <v>31</v>
      </c>
      <c r="E26">
        <v>1997.7</v>
      </c>
      <c r="F26">
        <v>2005.2</v>
      </c>
      <c r="G26">
        <v>1989.2</v>
      </c>
    </row>
    <row r="27" spans="2:7" ht="12.75">
      <c r="B27" s="9" t="s">
        <v>131</v>
      </c>
      <c r="C27" s="9" t="s">
        <v>89</v>
      </c>
      <c r="E27">
        <v>-0.19</v>
      </c>
      <c r="F27">
        <v>-0.21</v>
      </c>
      <c r="G27">
        <v>-0.19</v>
      </c>
    </row>
    <row r="28" spans="2:7" ht="12.75">
      <c r="B28" s="9" t="s">
        <v>132</v>
      </c>
      <c r="C28" s="9" t="s">
        <v>89</v>
      </c>
      <c r="E28">
        <v>-0.21</v>
      </c>
      <c r="F28">
        <v>-0.21</v>
      </c>
      <c r="G28">
        <v>-0.2</v>
      </c>
    </row>
    <row r="29" spans="2:7" ht="12.75">
      <c r="B29" s="9" t="s">
        <v>87</v>
      </c>
      <c r="C29" s="9" t="s">
        <v>89</v>
      </c>
      <c r="E29">
        <v>6.66</v>
      </c>
      <c r="F29">
        <v>6.65</v>
      </c>
      <c r="G29">
        <v>6.64</v>
      </c>
    </row>
    <row r="30" spans="2:7" ht="12.75">
      <c r="B30" s="9" t="s">
        <v>133</v>
      </c>
      <c r="C30" s="9" t="s">
        <v>29</v>
      </c>
      <c r="E30">
        <v>43</v>
      </c>
      <c r="F30">
        <v>46</v>
      </c>
      <c r="G30">
        <v>53.6</v>
      </c>
    </row>
    <row r="31" spans="2:7" ht="12.75">
      <c r="B31" s="9" t="s">
        <v>88</v>
      </c>
      <c r="C31" s="9" t="s">
        <v>90</v>
      </c>
      <c r="E31">
        <v>36.97</v>
      </c>
      <c r="F31">
        <v>34.53</v>
      </c>
      <c r="G31">
        <v>34.64</v>
      </c>
    </row>
    <row r="33" spans="2:3" ht="12.75">
      <c r="B33" s="3" t="s">
        <v>146</v>
      </c>
      <c r="C33" s="9"/>
    </row>
    <row r="34" spans="2:3" ht="12.75">
      <c r="B34" s="9"/>
      <c r="C34" s="9"/>
    </row>
    <row r="35" spans="2:7" ht="14.25">
      <c r="B35" s="9" t="s">
        <v>129</v>
      </c>
      <c r="C35" s="4" t="s">
        <v>31</v>
      </c>
      <c r="E35">
        <v>1672.4</v>
      </c>
      <c r="F35">
        <v>1584.7</v>
      </c>
      <c r="G35">
        <v>1646.2</v>
      </c>
    </row>
    <row r="36" spans="2:7" ht="14.25">
      <c r="B36" s="9" t="s">
        <v>130</v>
      </c>
      <c r="C36" s="4" t="s">
        <v>31</v>
      </c>
      <c r="E36">
        <v>1808.2</v>
      </c>
      <c r="F36">
        <v>1804.9</v>
      </c>
      <c r="G36">
        <v>1804.9</v>
      </c>
    </row>
    <row r="37" spans="2:7" ht="12.75">
      <c r="B37" s="9" t="s">
        <v>131</v>
      </c>
      <c r="C37" s="9" t="s">
        <v>89</v>
      </c>
      <c r="E37">
        <v>-0.21</v>
      </c>
      <c r="F37">
        <v>-0.24</v>
      </c>
      <c r="G37">
        <v>-0.27</v>
      </c>
    </row>
    <row r="38" spans="2:7" ht="12.75">
      <c r="B38" s="9" t="s">
        <v>132</v>
      </c>
      <c r="C38" s="9" t="s">
        <v>89</v>
      </c>
      <c r="E38">
        <v>-0.21</v>
      </c>
      <c r="F38">
        <v>-0.2</v>
      </c>
      <c r="G38">
        <v>-0.23</v>
      </c>
    </row>
    <row r="39" spans="2:7" ht="12.75">
      <c r="B39" s="9" t="s">
        <v>87</v>
      </c>
      <c r="C39" s="9" t="s">
        <v>89</v>
      </c>
      <c r="E39">
        <v>6.58</v>
      </c>
      <c r="F39">
        <v>6.63</v>
      </c>
      <c r="G39">
        <v>6.62</v>
      </c>
    </row>
    <row r="40" spans="2:7" ht="12.75">
      <c r="B40" s="9" t="s">
        <v>133</v>
      </c>
      <c r="C40" s="9" t="s">
        <v>29</v>
      </c>
      <c r="E40">
        <v>40.4</v>
      </c>
      <c r="F40">
        <v>42.7</v>
      </c>
      <c r="G40">
        <v>40.6</v>
      </c>
    </row>
    <row r="41" spans="2:7" ht="12.75">
      <c r="B41" s="9" t="s">
        <v>88</v>
      </c>
      <c r="C41" s="9" t="s">
        <v>90</v>
      </c>
      <c r="E41">
        <v>28.65</v>
      </c>
      <c r="F41">
        <v>24.43</v>
      </c>
      <c r="G41">
        <v>24.7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11"/>
  <sheetViews>
    <sheetView workbookViewId="0" topLeftCell="C1">
      <selection activeCell="C2" sqref="C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4.421875" style="0" customWidth="1"/>
  </cols>
  <sheetData>
    <row r="1" ht="12.75">
      <c r="C1" s="3" t="s">
        <v>181</v>
      </c>
    </row>
    <row r="3" ht="12.75">
      <c r="C3" s="13" t="s">
        <v>98</v>
      </c>
    </row>
    <row r="5" spans="1:31" s="49" customFormat="1" ht="12.75">
      <c r="A5" s="49" t="s">
        <v>98</v>
      </c>
      <c r="B5" s="49" t="s">
        <v>175</v>
      </c>
      <c r="C5" s="49" t="s">
        <v>178</v>
      </c>
      <c r="D5" s="49" t="s">
        <v>176</v>
      </c>
      <c r="E5" s="50">
        <v>1910</v>
      </c>
      <c r="F5" s="50">
        <v>1810</v>
      </c>
      <c r="G5" s="50">
        <v>1780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s="49" customFormat="1" ht="12.75">
      <c r="A6" s="49" t="s">
        <v>98</v>
      </c>
      <c r="B6" s="49" t="s">
        <v>177</v>
      </c>
      <c r="C6" s="49" t="s">
        <v>179</v>
      </c>
      <c r="D6" s="49" t="s">
        <v>176</v>
      </c>
      <c r="E6" s="50">
        <v>1970</v>
      </c>
      <c r="F6" s="50">
        <v>2090</v>
      </c>
      <c r="G6" s="50">
        <v>2140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5:31" s="49" customFormat="1" ht="12.75"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</row>
    <row r="8" spans="3:31" s="49" customFormat="1" ht="12.75">
      <c r="C8" s="13" t="s">
        <v>100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</row>
    <row r="9" spans="5:31" s="49" customFormat="1" ht="12.75"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</row>
    <row r="10" spans="1:31" s="49" customFormat="1" ht="12.75">
      <c r="A10" s="49" t="s">
        <v>100</v>
      </c>
      <c r="B10" s="49" t="s">
        <v>175</v>
      </c>
      <c r="C10" s="49" t="s">
        <v>178</v>
      </c>
      <c r="D10" s="49" t="s">
        <v>176</v>
      </c>
      <c r="E10" s="50">
        <v>1875</v>
      </c>
      <c r="F10" s="50">
        <v>1825</v>
      </c>
      <c r="G10" s="50">
        <v>1815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</row>
    <row r="11" spans="1:31" s="49" customFormat="1" ht="12.75">
      <c r="A11" s="49" t="s">
        <v>100</v>
      </c>
      <c r="B11" s="49" t="s">
        <v>177</v>
      </c>
      <c r="C11" s="49" t="s">
        <v>179</v>
      </c>
      <c r="D11" s="49" t="s">
        <v>176</v>
      </c>
      <c r="E11" s="50">
        <v>1985</v>
      </c>
      <c r="F11" s="50">
        <v>2040</v>
      </c>
      <c r="G11" s="50">
        <v>2100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2004-02-25T16:54:36Z</cp:lastPrinted>
  <dcterms:created xsi:type="dcterms:W3CDTF">2000-01-10T00:44:42Z</dcterms:created>
  <dcterms:modified xsi:type="dcterms:W3CDTF">2004-02-25T17:01:46Z</dcterms:modified>
  <cp:category/>
  <cp:version/>
  <cp:contentType/>
  <cp:contentStatus/>
</cp:coreProperties>
</file>