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97" activeTab="1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1" sheetId="11" r:id="rId11"/>
    <sheet name="df c12" sheetId="12" r:id="rId12"/>
    <sheet name="df c50" sheetId="13" r:id="rId13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<sst xmlns="http://schemas.openxmlformats.org/spreadsheetml/2006/main" count="1683" uniqueCount="246">
  <si>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</si>
  <si>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</si>
  <si>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</si>
  <si>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</si>
  <si>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</si>
  <si>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</si>
  <si>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</si>
  <si>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</si>
  <si>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</si>
  <si>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</si>
  <si>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</si>
  <si>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</si>
  <si>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</si>
  <si>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</si>
  <si>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</si>
  <si>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</si>
  <si>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</si>
  <si>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</si>
  <si>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</si>
  <si>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</si>
  <si>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</si>
  <si>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</si>
  <si>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</si>
  <si>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</si>
  <si>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</si>
  <si>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</si>
  <si>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</si>
  <si>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</si>
  <si>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</si>
  <si>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</si>
  <si>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</si>
  <si>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</si>
  <si>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</si>
  <si>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</si>
  <si>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</si>
  <si>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</si>
  <si>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</si>
  <si>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</si>
  <si>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</si>
  <si>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</si>
  <si>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</si>
  <si>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</si>
  <si>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</si>
  <si>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</si>
  <si>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</si>
  <si>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</si>
  <si>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</si>
  <si>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</si>
  <si>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</si>
  <si>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</si>
  <si>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</si>
  <si>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DRE</t>
  </si>
  <si>
    <t>lb/hr</t>
  </si>
  <si>
    <t>Run 1</t>
  </si>
  <si>
    <t>ug/dscm</t>
  </si>
  <si>
    <t>SVM</t>
  </si>
  <si>
    <t>LVM</t>
  </si>
  <si>
    <t>O2 (%)</t>
  </si>
  <si>
    <t>TEQ Cond Avg</t>
  </si>
  <si>
    <t>Total Cond Avg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</si>
  <si>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</si>
  <si>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</si>
  <si>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</si>
  <si>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</si>
  <si>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</si>
  <si>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</si>
  <si>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</si>
  <si>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</si>
  <si>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</si>
  <si>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</si>
  <si>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</si>
  <si>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</si>
  <si>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</si>
  <si>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</si>
  <si>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</si>
  <si>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</si>
  <si>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</si>
  <si>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</si>
  <si>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</si>
  <si>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</si>
  <si>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Sampling Train</t>
  </si>
  <si>
    <t>Trial burn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</si>
  <si>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</si>
  <si>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</si>
  <si>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</si>
  <si>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</si>
  <si>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</si>
  <si>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</si>
  <si>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</si>
  <si>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</si>
  <si>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</si>
  <si>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</si>
  <si>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</si>
  <si>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</si>
  <si>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Detected in sample volume (pg)</t>
  </si>
  <si>
    <t>n</t>
  </si>
  <si>
    <t>Phase I ID No.</t>
  </si>
  <si>
    <t>CO (RA)</t>
  </si>
  <si>
    <t>Run 2</t>
  </si>
  <si>
    <t>Stack Gas Flowrate</t>
  </si>
  <si>
    <t>Oxygen</t>
  </si>
  <si>
    <t>Feedrate MTEC Calculations</t>
  </si>
  <si>
    <t>Chlorine</t>
  </si>
  <si>
    <t>Heating Value</t>
  </si>
  <si>
    <t>Btu/lb</t>
  </si>
  <si>
    <t>Thermal Feedrate</t>
  </si>
  <si>
    <t>MMBtu/hr</t>
  </si>
  <si>
    <t>Estimated Firing Rate</t>
  </si>
  <si>
    <t>Freeboard Temperature</t>
  </si>
  <si>
    <t>F</t>
  </si>
  <si>
    <t>R1</t>
  </si>
  <si>
    <t>R2</t>
  </si>
  <si>
    <t>R3</t>
  </si>
  <si>
    <t>Bayer Coporation</t>
  </si>
  <si>
    <t>New Martinsville</t>
  </si>
  <si>
    <t>West Virginia</t>
  </si>
  <si>
    <t>Waste H2O sludge, MCB/MEA/polyol liquids</t>
  </si>
  <si>
    <t>ENSR</t>
  </si>
  <si>
    <t>Baseline test</t>
  </si>
  <si>
    <t>Carbon injected rate 1</t>
  </si>
  <si>
    <t>Carbon injected rate 2</t>
  </si>
  <si>
    <t>340C1</t>
  </si>
  <si>
    <t>NOx</t>
  </si>
  <si>
    <t>SO2</t>
  </si>
  <si>
    <t>340C2</t>
  </si>
  <si>
    <t>PM, CO</t>
  </si>
  <si>
    <t>MCB</t>
  </si>
  <si>
    <t>MEA</t>
  </si>
  <si>
    <t>Polyol</t>
  </si>
  <si>
    <t xml:space="preserve">Wastewater Sludge </t>
  </si>
  <si>
    <t>Total Liq-B</t>
  </si>
  <si>
    <t>%wt</t>
  </si>
  <si>
    <t>Solid Organic</t>
  </si>
  <si>
    <t>Wastewater Sluge</t>
  </si>
  <si>
    <t>PAC</t>
  </si>
  <si>
    <t>PM, CO, PCDD/F</t>
  </si>
  <si>
    <t>Comb Air</t>
  </si>
  <si>
    <t>scfm</t>
  </si>
  <si>
    <t>Stack Gas Velocity</t>
  </si>
  <si>
    <t>acfm</t>
  </si>
  <si>
    <t>FBI</t>
  </si>
  <si>
    <t>None</t>
  </si>
  <si>
    <t>Bayer, New Martinsville, WV</t>
  </si>
  <si>
    <t>1 run only</t>
  </si>
  <si>
    <t>ESP/CI/WS</t>
  </si>
  <si>
    <t>Report Name/Date</t>
  </si>
  <si>
    <t>Report Prepare</t>
  </si>
  <si>
    <t>Testing Firm</t>
  </si>
  <si>
    <t>Testing Dates</t>
  </si>
  <si>
    <t>Condition Descr</t>
  </si>
  <si>
    <t>Content</t>
  </si>
  <si>
    <t>340C10</t>
  </si>
  <si>
    <t>340C11</t>
  </si>
  <si>
    <t>340C12</t>
  </si>
  <si>
    <t>Final Trial Burn Report for the Fluidized Bed Incinerator, Miles, Inc., New Martinsville, WV, ENSR Document No. 4690-009-400, September 1992</t>
  </si>
  <si>
    <t>Cond Descr</t>
  </si>
  <si>
    <t/>
  </si>
  <si>
    <t>Antimony</t>
  </si>
  <si>
    <t>nd</t>
  </si>
  <si>
    <t>Arsenic</t>
  </si>
  <si>
    <t>Barium</t>
  </si>
  <si>
    <t>Beryllium</t>
  </si>
  <si>
    <t>Cadmium</t>
  </si>
  <si>
    <t>Chromium</t>
  </si>
  <si>
    <t>1 high outlier run for Cr R1</t>
  </si>
  <si>
    <t>Lead</t>
  </si>
  <si>
    <t>Mercury</t>
  </si>
  <si>
    <t>Silver</t>
  </si>
  <si>
    <t>Thallium</t>
  </si>
  <si>
    <t>Halogens</t>
  </si>
  <si>
    <t>Metals</t>
  </si>
  <si>
    <t>Carbon Tetrachloride</t>
  </si>
  <si>
    <t>Chlorobenzene</t>
  </si>
  <si>
    <t>TDI Residue</t>
  </si>
  <si>
    <t>Waste water sludge</t>
  </si>
  <si>
    <t>Mixed organic liquids</t>
  </si>
  <si>
    <t>Feedrate</t>
  </si>
  <si>
    <t>Feedrate wet</t>
  </si>
  <si>
    <t>Heating value</t>
  </si>
  <si>
    <t>wt %</t>
  </si>
  <si>
    <t>ppmw</t>
  </si>
  <si>
    <t>use this one</t>
  </si>
  <si>
    <t>Condition Description</t>
  </si>
  <si>
    <t>Combustor Class</t>
  </si>
  <si>
    <t>Combustor Type</t>
  </si>
  <si>
    <t>Carbon used in new demo testing.  Not part of regular system</t>
  </si>
  <si>
    <t>Stack Gas Emissions 1</t>
  </si>
  <si>
    <t>Stack Gas Emissions 2</t>
  </si>
  <si>
    <t>Feedstreams 2</t>
  </si>
  <si>
    <t>Feedstreams 1</t>
  </si>
  <si>
    <t>WVD056866312</t>
  </si>
  <si>
    <t>34010</t>
  </si>
  <si>
    <t>34011</t>
  </si>
  <si>
    <t>Fluid Bed Temperature</t>
  </si>
  <si>
    <t>ESP Temperature</t>
  </si>
  <si>
    <t>Process Information 2</t>
  </si>
  <si>
    <t>Carbon added upstream of wet scrubber, downstream of ESP.  2-stage wet scrubber</t>
  </si>
  <si>
    <t>340C50</t>
  </si>
  <si>
    <t>Investigation of PCDD/PCDF Emissions from the Fluidized Bed Incinerator with and without Carbon Injection, December 1998</t>
  </si>
  <si>
    <t>Trial burn, MAX LIQUID FEED AND ASH INPUT</t>
  </si>
  <si>
    <t>Trial burn, MAX HEAT INPUT</t>
  </si>
  <si>
    <t>E1</t>
  </si>
  <si>
    <t>E2</t>
  </si>
  <si>
    <t>Cond Dates</t>
  </si>
  <si>
    <t>Number of Sister Facilities</t>
  </si>
  <si>
    <t>APCS Detailed Acronym</t>
  </si>
  <si>
    <t>APCS General Class</t>
  </si>
  <si>
    <t>ESP, CI, LEWS</t>
  </si>
  <si>
    <t>Liq, solid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</si>
  <si>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</si>
  <si>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</si>
  <si>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</si>
  <si>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</si>
  <si>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</si>
  <si>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</si>
  <si>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</si>
  <si>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</si>
  <si>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</si>
  <si>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c11</t>
  </si>
  <si>
    <t>df c12</t>
  </si>
  <si>
    <t>Onsite incinerator</t>
  </si>
  <si>
    <t xml:space="preserve">Fluidized bed </t>
  </si>
  <si>
    <t>HC (RA)</t>
  </si>
  <si>
    <t>Feedstream Number</t>
  </si>
  <si>
    <t>Feed Class</t>
  </si>
  <si>
    <t>F1</t>
  </si>
  <si>
    <t>Solid HW</t>
  </si>
  <si>
    <t>F2</t>
  </si>
  <si>
    <t>Liq HW</t>
  </si>
  <si>
    <t>F3</t>
  </si>
  <si>
    <t>F4</t>
  </si>
  <si>
    <t>F5</t>
  </si>
  <si>
    <t>F6</t>
  </si>
  <si>
    <t>F7</t>
  </si>
  <si>
    <t>Wastewater Sludge</t>
  </si>
  <si>
    <t>Sludge HW</t>
  </si>
  <si>
    <t>F8</t>
  </si>
  <si>
    <t>Feed Class 2</t>
  </si>
  <si>
    <t>Full ND</t>
  </si>
  <si>
    <t>Total Chlorine</t>
  </si>
  <si>
    <t>Old 1992 PCDD/PCDF testing, as reported in new carbon injection evaluation testing report</t>
  </si>
  <si>
    <t>df c50</t>
  </si>
  <si>
    <t>As reported in Investigation of PCDD/PCDF Emissions from the Fluidized Bed Incinerator with and without Carbon Injection, December 1998 (as reported in) possibly also same as above 1992 trial burn</t>
  </si>
  <si>
    <t>Results of PCDD/PCDF testing in 1992</t>
  </si>
  <si>
    <t>N</t>
  </si>
  <si>
    <t>Mixed organic liq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</si>
</sst>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mm/dd/yy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20" applyFont="1">
      <alignment/>
      <protection/>
    </xf>
    <xf numFmtId="0" fontId="3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NumberFormat="1" applyFont="1" applyBorder="1">
      <alignment/>
      <protection/>
    </xf>
    <xf numFmtId="166" fontId="0" fillId="0" borderId="0" xfId="20" applyNumberFormat="1" applyFont="1" applyBorder="1">
      <alignment/>
      <protection/>
    </xf>
    <xf numFmtId="165" fontId="0" fillId="0" borderId="0" xfId="20" applyNumberFormat="1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NumberFormat="1" applyFont="1" applyFill="1" applyBorder="1">
      <alignment/>
      <protection/>
    </xf>
    <xf numFmtId="0" fontId="3" fillId="0" borderId="0" xfId="20" applyFont="1" applyBorder="1">
      <alignment/>
      <protection/>
    </xf>
    <xf numFmtId="0" fontId="0" fillId="0" borderId="0" xfId="20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0" fillId="0" borderId="0" xfId="20" applyFont="1" applyAlignment="1">
      <alignment vertical="top" wrapText="1"/>
      <protection/>
    </xf>
    <xf numFmtId="0" fontId="0" fillId="0" borderId="0" xfId="20" applyFont="1" applyAlignment="1">
      <alignment horizontal="left" vertical="top" wrapText="1"/>
      <protection/>
    </xf>
    <xf numFmtId="177" fontId="0" fillId="0" borderId="0" xfId="20" applyNumberFormat="1" applyFont="1">
      <alignment/>
      <protection/>
    </xf>
    <xf numFmtId="17" fontId="0" fillId="0" borderId="0" xfId="0" applyNumberFormat="1" applyFont="1" applyAlignment="1">
      <alignment horizontal="left"/>
    </xf>
    <xf numFmtId="164" fontId="0" fillId="0" borderId="0" xfId="20" applyNumberFormat="1" applyFont="1" applyAlignment="1">
      <alignment horizontal="left"/>
      <protection/>
    </xf>
    <xf numFmtId="17" fontId="0" fillId="0" borderId="0" xfId="20" applyNumberFormat="1" applyFont="1" applyAlignment="1">
      <alignment horizontal="left"/>
      <protection/>
    </xf>
    <xf numFmtId="14" fontId="0" fillId="0" borderId="0" xfId="20" applyNumberFormat="1" applyFont="1" applyAlignment="1">
      <alignment horizontal="left"/>
      <protection/>
    </xf>
    <xf numFmtId="1" fontId="0" fillId="0" borderId="0" xfId="0" applyNumberFormat="1" applyFont="1" applyBorder="1" applyAlignment="1">
      <alignment horizontal="right"/>
    </xf>
    <xf numFmtId="0" fontId="3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center"/>
      <protection/>
    </xf>
    <xf numFmtId="165" fontId="0" fillId="0" borderId="0" xfId="20" applyNumberFormat="1" applyFont="1" applyFill="1" applyBorder="1">
      <alignment/>
      <protection/>
    </xf>
    <xf numFmtId="1" fontId="0" fillId="0" borderId="0" xfId="20" applyNumberFormat="1" applyFont="1" applyFill="1" applyBorder="1">
      <alignment/>
      <protection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340 ol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B12" sqref="B12"/>
    </sheetView>
  </sheetViews>
  <sheetFormatPr defaultColWidth="9.140625" defaultRowHeight="12.75"/>
  <sheetData>
    <row r="1" ht="12.75">
      <c r="A1" t="s">
        <v>209</v>
      </c>
    </row>
    <row r="2" ht="12.75">
      <c r="A2" t="s">
        <v>210</v>
      </c>
    </row>
    <row r="3" ht="12.75">
      <c r="A3" t="s">
        <v>211</v>
      </c>
    </row>
    <row r="4" ht="12.75">
      <c r="A4" t="s">
        <v>212</v>
      </c>
    </row>
    <row r="5" ht="12.75">
      <c r="A5" t="s">
        <v>213</v>
      </c>
    </row>
    <row r="6" ht="12.75">
      <c r="A6" t="s">
        <v>214</v>
      </c>
    </row>
    <row r="7" ht="12.75">
      <c r="A7" t="s">
        <v>215</v>
      </c>
    </row>
    <row r="8" ht="12.75">
      <c r="A8" t="s">
        <v>216</v>
      </c>
    </row>
    <row r="9" ht="12.75">
      <c r="A9" t="s">
        <v>217</v>
      </c>
    </row>
    <row r="10" ht="12.75">
      <c r="A10" t="s">
        <v>218</v>
      </c>
    </row>
    <row r="11" ht="12.75">
      <c r="A11" t="s">
        <v>219</v>
      </c>
    </row>
    <row r="12" ht="12.75">
      <c r="A12" t="s">
        <v>241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zoomScale="75" zoomScaleNormal="75" workbookViewId="0" topLeftCell="A1">
      <pane ySplit="1320" topLeftCell="BM23" activePane="bottomLeft" state="split"/>
      <selection pane="topLeft" activeCell="J1" sqref="J1:S16384"/>
      <selection pane="bottomLeft" activeCell="Q7" sqref="Q7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5.140625" style="0" customWidth="1"/>
    <col min="5" max="5" width="9.421875" style="0" customWidth="1"/>
    <col min="6" max="6" width="9.8515625" style="0" customWidth="1"/>
    <col min="8" max="8" width="9.8515625" style="0" customWidth="1"/>
    <col min="9" max="9" width="8.421875" style="53" customWidth="1"/>
  </cols>
  <sheetData>
    <row r="1" spans="1:9" ht="12.75">
      <c r="A1" s="43" t="s">
        <v>66</v>
      </c>
      <c r="B1" s="29"/>
      <c r="C1" s="29"/>
      <c r="D1" s="29"/>
      <c r="E1" s="36"/>
      <c r="F1" s="37"/>
      <c r="G1" s="36"/>
      <c r="H1" s="37"/>
      <c r="I1" s="40"/>
    </row>
    <row r="2" spans="1:9" ht="12.75">
      <c r="A2" s="29" t="s">
        <v>244</v>
      </c>
      <c r="B2" s="29"/>
      <c r="C2" s="29"/>
      <c r="D2" s="29"/>
      <c r="E2" s="36"/>
      <c r="F2" s="37"/>
      <c r="G2" s="36"/>
      <c r="H2" s="37"/>
      <c r="I2" s="40"/>
    </row>
    <row r="3" spans="1:9" ht="12.75">
      <c r="A3" s="29" t="s">
        <v>20</v>
      </c>
      <c r="B3" s="29"/>
      <c r="C3" s="11" t="s">
        <v>142</v>
      </c>
      <c r="D3" s="11"/>
      <c r="E3" s="36"/>
      <c r="F3" s="37"/>
      <c r="G3" s="36"/>
      <c r="H3" s="37"/>
      <c r="I3" s="40"/>
    </row>
    <row r="4" spans="1:9" ht="12.75">
      <c r="A4" s="29" t="s">
        <v>21</v>
      </c>
      <c r="B4" s="29"/>
      <c r="C4" s="11" t="s">
        <v>151</v>
      </c>
      <c r="D4" s="11"/>
      <c r="E4" s="38"/>
      <c r="F4" s="39"/>
      <c r="G4" s="38"/>
      <c r="H4" s="39"/>
      <c r="I4" s="40"/>
    </row>
    <row r="5" spans="1:9" ht="12.75">
      <c r="A5" s="29" t="s">
        <v>22</v>
      </c>
      <c r="B5" s="29"/>
      <c r="C5" s="14" t="str">
        <f>cond!C10</f>
        <v>Baseline test</v>
      </c>
      <c r="D5" s="14"/>
      <c r="E5" s="14"/>
      <c r="F5" s="14"/>
      <c r="G5" s="14"/>
      <c r="H5" s="14"/>
      <c r="I5" s="48"/>
    </row>
    <row r="6" spans="1:9" ht="12.75">
      <c r="A6" s="29"/>
      <c r="B6" s="29"/>
      <c r="C6" s="31"/>
      <c r="D6" s="31"/>
      <c r="E6" s="40"/>
      <c r="F6" s="37"/>
      <c r="G6" s="40"/>
      <c r="H6" s="37"/>
      <c r="I6" s="40"/>
    </row>
    <row r="7" spans="1:9" ht="12.75">
      <c r="A7" s="29"/>
      <c r="B7" s="29"/>
      <c r="C7" s="31" t="s">
        <v>23</v>
      </c>
      <c r="D7" s="31"/>
      <c r="E7" s="41" t="s">
        <v>53</v>
      </c>
      <c r="F7" s="41"/>
      <c r="G7" s="41"/>
      <c r="H7" s="41"/>
      <c r="I7" s="41" t="s">
        <v>143</v>
      </c>
    </row>
    <row r="8" spans="1:9" ht="12.75">
      <c r="A8" s="29"/>
      <c r="B8" s="29"/>
      <c r="C8" s="31" t="s">
        <v>24</v>
      </c>
      <c r="D8" s="29"/>
      <c r="E8" s="40" t="s">
        <v>25</v>
      </c>
      <c r="F8" s="39" t="s">
        <v>26</v>
      </c>
      <c r="G8" s="40" t="s">
        <v>25</v>
      </c>
      <c r="H8" s="39" t="s">
        <v>26</v>
      </c>
      <c r="I8" s="40"/>
    </row>
    <row r="9" spans="1:9" ht="12.75">
      <c r="A9" s="29"/>
      <c r="B9" s="29"/>
      <c r="C9" s="31"/>
      <c r="D9" s="29"/>
      <c r="E9" s="40" t="s">
        <v>238</v>
      </c>
      <c r="F9" s="40" t="s">
        <v>238</v>
      </c>
      <c r="G9" s="40" t="s">
        <v>65</v>
      </c>
      <c r="H9" s="39" t="s">
        <v>65</v>
      </c>
      <c r="I9" s="40"/>
    </row>
    <row r="10" spans="1:9" ht="12.75">
      <c r="A10" s="29" t="s">
        <v>94</v>
      </c>
      <c r="B10" s="29"/>
      <c r="C10" s="29"/>
      <c r="D10" s="29"/>
      <c r="E10" s="36"/>
      <c r="F10" s="37"/>
      <c r="G10" s="36"/>
      <c r="H10" s="37"/>
      <c r="I10" s="40"/>
    </row>
    <row r="11" spans="1:9" ht="12.75">
      <c r="A11" s="29"/>
      <c r="B11" s="29" t="s">
        <v>28</v>
      </c>
      <c r="C11" s="31">
        <v>1</v>
      </c>
      <c r="E11">
        <v>240</v>
      </c>
      <c r="F11" s="34">
        <f aca="true" t="shared" si="0" ref="F11:F35">IF(E11="","",E11*$C11)</f>
        <v>240</v>
      </c>
      <c r="G11" s="34">
        <f aca="true" t="shared" si="1" ref="G11:G35">IF(E11=0,"",IF(D11="nd",E11/2,E11))</f>
        <v>240</v>
      </c>
      <c r="H11" s="34">
        <f aca="true" t="shared" si="2" ref="H11:H35">IF(G11="","",G11*$C11)</f>
        <v>240</v>
      </c>
      <c r="I11"/>
    </row>
    <row r="12" spans="1:9" ht="12.75">
      <c r="A12" s="29"/>
      <c r="B12" s="29" t="s">
        <v>85</v>
      </c>
      <c r="C12" s="31">
        <v>0</v>
      </c>
      <c r="E12">
        <v>4100</v>
      </c>
      <c r="F12" s="42">
        <f t="shared" si="0"/>
        <v>0</v>
      </c>
      <c r="G12" s="42">
        <f>IF(E12=0,"",IF(D12="nd",E12/2,E12))</f>
        <v>4100</v>
      </c>
      <c r="H12" s="42">
        <f t="shared" si="2"/>
        <v>0</v>
      </c>
      <c r="I12"/>
    </row>
    <row r="13" spans="1:9" ht="12.75">
      <c r="A13" s="29"/>
      <c r="B13" s="29" t="s">
        <v>29</v>
      </c>
      <c r="C13" s="31">
        <v>0.5</v>
      </c>
      <c r="E13">
        <v>990</v>
      </c>
      <c r="F13" s="34">
        <f t="shared" si="0"/>
        <v>495</v>
      </c>
      <c r="G13" s="34">
        <f t="shared" si="1"/>
        <v>990</v>
      </c>
      <c r="H13" s="34">
        <f t="shared" si="2"/>
        <v>495</v>
      </c>
      <c r="I13"/>
    </row>
    <row r="14" spans="1:9" ht="12.75">
      <c r="A14" s="29"/>
      <c r="B14" s="29" t="s">
        <v>86</v>
      </c>
      <c r="C14" s="31">
        <v>0</v>
      </c>
      <c r="E14">
        <v>8200</v>
      </c>
      <c r="F14" s="42">
        <f t="shared" si="0"/>
        <v>0</v>
      </c>
      <c r="G14" s="42">
        <f>IF(E14=0,"",IF(D14="nd",E14/2,E14))</f>
        <v>8200</v>
      </c>
      <c r="H14" s="42">
        <f t="shared" si="2"/>
        <v>0</v>
      </c>
      <c r="I14"/>
    </row>
    <row r="15" spans="1:9" ht="12.75">
      <c r="A15" s="29"/>
      <c r="B15" s="29" t="s">
        <v>30</v>
      </c>
      <c r="C15" s="31">
        <v>0.1</v>
      </c>
      <c r="E15">
        <v>620</v>
      </c>
      <c r="F15" s="34">
        <f t="shared" si="0"/>
        <v>62</v>
      </c>
      <c r="G15" s="34">
        <f t="shared" si="1"/>
        <v>620</v>
      </c>
      <c r="H15" s="34">
        <f t="shared" si="2"/>
        <v>62</v>
      </c>
      <c r="I15"/>
    </row>
    <row r="16" spans="1:9" ht="12.75">
      <c r="A16" s="29"/>
      <c r="B16" s="29" t="s">
        <v>31</v>
      </c>
      <c r="C16" s="31">
        <v>0.1</v>
      </c>
      <c r="E16">
        <v>1100</v>
      </c>
      <c r="F16" s="34">
        <f t="shared" si="0"/>
        <v>110</v>
      </c>
      <c r="G16" s="34">
        <f t="shared" si="1"/>
        <v>1100</v>
      </c>
      <c r="H16" s="34">
        <f t="shared" si="2"/>
        <v>110</v>
      </c>
      <c r="I16"/>
    </row>
    <row r="17" spans="1:9" ht="12.75">
      <c r="A17" s="29"/>
      <c r="B17" s="29" t="s">
        <v>32</v>
      </c>
      <c r="C17" s="31">
        <v>0.1</v>
      </c>
      <c r="E17">
        <v>720</v>
      </c>
      <c r="F17" s="34">
        <f t="shared" si="0"/>
        <v>72</v>
      </c>
      <c r="G17" s="34">
        <f t="shared" si="1"/>
        <v>720</v>
      </c>
      <c r="H17" s="34">
        <f t="shared" si="2"/>
        <v>72</v>
      </c>
      <c r="I17"/>
    </row>
    <row r="18" spans="1:9" ht="12.75">
      <c r="A18" s="29"/>
      <c r="B18" s="29" t="s">
        <v>87</v>
      </c>
      <c r="C18" s="31">
        <v>0</v>
      </c>
      <c r="E18">
        <v>10000</v>
      </c>
      <c r="F18" s="42">
        <f t="shared" si="0"/>
        <v>0</v>
      </c>
      <c r="G18" s="42">
        <f>IF(E18=0,"",IF(D18="nd",E18/2,E18))</f>
        <v>10000</v>
      </c>
      <c r="H18" s="42">
        <f t="shared" si="2"/>
        <v>0</v>
      </c>
      <c r="I18"/>
    </row>
    <row r="19" spans="1:9" ht="12.75">
      <c r="A19" s="29"/>
      <c r="B19" s="29" t="s">
        <v>33</v>
      </c>
      <c r="C19" s="31">
        <v>0.01</v>
      </c>
      <c r="E19">
        <v>3200</v>
      </c>
      <c r="F19" s="34">
        <f t="shared" si="0"/>
        <v>32</v>
      </c>
      <c r="G19" s="34">
        <f t="shared" si="1"/>
        <v>3200</v>
      </c>
      <c r="H19" s="34">
        <f t="shared" si="2"/>
        <v>32</v>
      </c>
      <c r="I19"/>
    </row>
    <row r="20" spans="1:9" ht="12.75">
      <c r="A20" s="29"/>
      <c r="B20" s="29" t="s">
        <v>88</v>
      </c>
      <c r="C20" s="31">
        <v>0</v>
      </c>
      <c r="E20">
        <v>6800</v>
      </c>
      <c r="F20" s="42">
        <f t="shared" si="0"/>
        <v>0</v>
      </c>
      <c r="G20" s="42">
        <f>IF(E20=0,"",IF(D20="nd",E20/2,E20))</f>
        <v>6800</v>
      </c>
      <c r="H20" s="42">
        <f t="shared" si="2"/>
        <v>0</v>
      </c>
      <c r="I20"/>
    </row>
    <row r="21" spans="1:9" ht="12.75">
      <c r="A21" s="29"/>
      <c r="B21" s="29" t="s">
        <v>34</v>
      </c>
      <c r="C21" s="31">
        <v>0.001</v>
      </c>
      <c r="E21">
        <v>10000</v>
      </c>
      <c r="F21" s="34">
        <f t="shared" si="0"/>
        <v>10</v>
      </c>
      <c r="G21" s="34">
        <f t="shared" si="1"/>
        <v>10000</v>
      </c>
      <c r="H21" s="34">
        <f t="shared" si="2"/>
        <v>10</v>
      </c>
      <c r="I21"/>
    </row>
    <row r="22" spans="1:9" ht="12.75">
      <c r="A22" s="29"/>
      <c r="B22" s="29" t="s">
        <v>35</v>
      </c>
      <c r="C22" s="31">
        <v>0.1</v>
      </c>
      <c r="E22">
        <v>1900</v>
      </c>
      <c r="F22" s="34">
        <f t="shared" si="0"/>
        <v>190</v>
      </c>
      <c r="G22" s="34">
        <f t="shared" si="1"/>
        <v>1900</v>
      </c>
      <c r="H22" s="34">
        <f t="shared" si="2"/>
        <v>190</v>
      </c>
      <c r="I22"/>
    </row>
    <row r="23" spans="1:9" ht="12.75">
      <c r="A23" s="29"/>
      <c r="B23" s="29" t="s">
        <v>89</v>
      </c>
      <c r="C23" s="31">
        <v>0</v>
      </c>
      <c r="E23">
        <v>100000</v>
      </c>
      <c r="F23" s="42">
        <f t="shared" si="0"/>
        <v>0</v>
      </c>
      <c r="G23" s="42">
        <f>IF(E23=0,"",IF(D23="nd",E23/2,E23))</f>
        <v>100000</v>
      </c>
      <c r="H23" s="42">
        <f t="shared" si="2"/>
        <v>0</v>
      </c>
      <c r="I23"/>
    </row>
    <row r="24" spans="1:9" ht="12.75">
      <c r="A24" s="29"/>
      <c r="B24" s="29" t="s">
        <v>36</v>
      </c>
      <c r="C24" s="31">
        <v>0.05</v>
      </c>
      <c r="E24">
        <v>6300</v>
      </c>
      <c r="F24" s="42">
        <f t="shared" si="0"/>
        <v>315</v>
      </c>
      <c r="G24" s="42">
        <f t="shared" si="1"/>
        <v>6300</v>
      </c>
      <c r="H24" s="42">
        <f t="shared" si="2"/>
        <v>315</v>
      </c>
      <c r="I24"/>
    </row>
    <row r="25" spans="1:9" ht="12.75">
      <c r="A25" s="29"/>
      <c r="B25" s="29" t="s">
        <v>37</v>
      </c>
      <c r="C25" s="31">
        <v>0.5</v>
      </c>
      <c r="E25">
        <v>7900</v>
      </c>
      <c r="F25" s="42">
        <f t="shared" si="0"/>
        <v>3950</v>
      </c>
      <c r="G25" s="42">
        <f t="shared" si="1"/>
        <v>7900</v>
      </c>
      <c r="H25" s="42">
        <f t="shared" si="2"/>
        <v>3950</v>
      </c>
      <c r="I25"/>
    </row>
    <row r="26" spans="1:9" ht="12.75">
      <c r="A26" s="29"/>
      <c r="B26" s="29" t="s">
        <v>90</v>
      </c>
      <c r="C26" s="31">
        <v>0</v>
      </c>
      <c r="E26">
        <v>130000</v>
      </c>
      <c r="F26" s="42">
        <f t="shared" si="0"/>
        <v>0</v>
      </c>
      <c r="G26" s="42">
        <f>IF(E26=0,"",IF(D26="nd",E26/2,E26))</f>
        <v>130000</v>
      </c>
      <c r="H26" s="42">
        <f t="shared" si="2"/>
        <v>0</v>
      </c>
      <c r="I26"/>
    </row>
    <row r="27" spans="1:9" ht="12.75">
      <c r="A27" s="29"/>
      <c r="B27" s="29" t="s">
        <v>38</v>
      </c>
      <c r="C27" s="31">
        <v>0.1</v>
      </c>
      <c r="E27">
        <v>12000</v>
      </c>
      <c r="F27" s="42">
        <f t="shared" si="0"/>
        <v>1200</v>
      </c>
      <c r="G27" s="42">
        <f t="shared" si="1"/>
        <v>12000</v>
      </c>
      <c r="H27" s="42">
        <f t="shared" si="2"/>
        <v>1200</v>
      </c>
      <c r="I27"/>
    </row>
    <row r="28" spans="1:9" ht="12.75">
      <c r="A28" s="29"/>
      <c r="B28" s="29" t="s">
        <v>39</v>
      </c>
      <c r="C28" s="31">
        <v>0.1</v>
      </c>
      <c r="E28">
        <v>14000</v>
      </c>
      <c r="F28" s="42">
        <f t="shared" si="0"/>
        <v>1400</v>
      </c>
      <c r="G28" s="42">
        <f t="shared" si="1"/>
        <v>14000</v>
      </c>
      <c r="H28" s="42">
        <f t="shared" si="2"/>
        <v>1400</v>
      </c>
      <c r="I28"/>
    </row>
    <row r="29" spans="1:9" ht="12.75">
      <c r="A29" s="29"/>
      <c r="B29" s="29" t="s">
        <v>40</v>
      </c>
      <c r="C29" s="31">
        <v>0.1</v>
      </c>
      <c r="E29">
        <v>14000</v>
      </c>
      <c r="F29" s="42">
        <f t="shared" si="0"/>
        <v>1400</v>
      </c>
      <c r="G29" s="42">
        <f t="shared" si="1"/>
        <v>14000</v>
      </c>
      <c r="H29" s="42">
        <f t="shared" si="2"/>
        <v>1400</v>
      </c>
      <c r="I29"/>
    </row>
    <row r="30" spans="1:9" ht="12.75">
      <c r="A30" s="29"/>
      <c r="B30" s="29" t="s">
        <v>41</v>
      </c>
      <c r="C30" s="31">
        <v>0.1</v>
      </c>
      <c r="E30">
        <v>3400</v>
      </c>
      <c r="F30" s="42">
        <f t="shared" si="0"/>
        <v>340</v>
      </c>
      <c r="G30" s="42">
        <f t="shared" si="1"/>
        <v>3400</v>
      </c>
      <c r="H30" s="42">
        <f t="shared" si="2"/>
        <v>340</v>
      </c>
      <c r="I30"/>
    </row>
    <row r="31" spans="1:9" ht="12.75">
      <c r="A31" s="29"/>
      <c r="B31" s="29" t="s">
        <v>91</v>
      </c>
      <c r="C31" s="31">
        <v>0</v>
      </c>
      <c r="E31">
        <v>140000</v>
      </c>
      <c r="F31" s="42">
        <f t="shared" si="0"/>
        <v>0</v>
      </c>
      <c r="G31" s="42">
        <f>IF(E31=0,"",IF(D31="nd",E31/2,E31))</f>
        <v>140000</v>
      </c>
      <c r="H31" s="42">
        <f t="shared" si="2"/>
        <v>0</v>
      </c>
      <c r="I31"/>
    </row>
    <row r="32" spans="1:9" ht="12.75">
      <c r="A32" s="29"/>
      <c r="B32" s="29" t="s">
        <v>42</v>
      </c>
      <c r="C32" s="31">
        <v>0.01</v>
      </c>
      <c r="E32">
        <v>63000</v>
      </c>
      <c r="F32" s="42">
        <f t="shared" si="0"/>
        <v>630</v>
      </c>
      <c r="G32" s="42">
        <f t="shared" si="1"/>
        <v>63000</v>
      </c>
      <c r="H32" s="42">
        <f t="shared" si="2"/>
        <v>630</v>
      </c>
      <c r="I32"/>
    </row>
    <row r="33" spans="1:9" ht="12.75">
      <c r="A33" s="29"/>
      <c r="B33" s="29" t="s">
        <v>43</v>
      </c>
      <c r="C33" s="31">
        <v>0.01</v>
      </c>
      <c r="E33">
        <v>4600</v>
      </c>
      <c r="F33" s="42">
        <f t="shared" si="0"/>
        <v>46</v>
      </c>
      <c r="G33" s="42">
        <f t="shared" si="1"/>
        <v>4600</v>
      </c>
      <c r="H33" s="42">
        <f t="shared" si="2"/>
        <v>46</v>
      </c>
      <c r="I33"/>
    </row>
    <row r="34" spans="1:9" ht="12.75">
      <c r="A34" s="29"/>
      <c r="B34" s="29" t="s">
        <v>92</v>
      </c>
      <c r="C34" s="31">
        <v>0</v>
      </c>
      <c r="E34">
        <v>95000</v>
      </c>
      <c r="F34" s="42">
        <f t="shared" si="0"/>
        <v>0</v>
      </c>
      <c r="G34" s="42">
        <f>IF(E34=0,"",IF(D34="nd",E34/2,E34))</f>
        <v>95000</v>
      </c>
      <c r="H34" s="42">
        <f t="shared" si="2"/>
        <v>0</v>
      </c>
      <c r="I34"/>
    </row>
    <row r="35" spans="1:9" ht="12.75">
      <c r="A35" s="29"/>
      <c r="B35" s="29" t="s">
        <v>44</v>
      </c>
      <c r="C35" s="31">
        <v>0.001</v>
      </c>
      <c r="E35">
        <v>31000</v>
      </c>
      <c r="F35" s="42">
        <f t="shared" si="0"/>
        <v>31</v>
      </c>
      <c r="G35" s="42">
        <f t="shared" si="1"/>
        <v>31000</v>
      </c>
      <c r="H35" s="42">
        <f t="shared" si="2"/>
        <v>31</v>
      </c>
      <c r="I35"/>
    </row>
    <row r="36" spans="1:9" ht="12.75">
      <c r="A36" s="29"/>
      <c r="B36" s="29"/>
      <c r="C36" s="29"/>
      <c r="D36" s="29"/>
      <c r="E36" s="34"/>
      <c r="F36" s="37"/>
      <c r="G36" s="34"/>
      <c r="H36" s="37"/>
      <c r="I36" s="54"/>
    </row>
    <row r="37" spans="1:9" ht="12.75">
      <c r="A37" s="29"/>
      <c r="B37" s="29" t="s">
        <v>45</v>
      </c>
      <c r="C37" s="29"/>
      <c r="D37" s="29"/>
      <c r="E37" s="34"/>
      <c r="F37">
        <v>115.369</v>
      </c>
      <c r="G37">
        <v>115.369</v>
      </c>
      <c r="H37">
        <v>115.369</v>
      </c>
      <c r="I37"/>
    </row>
    <row r="38" spans="1:9" ht="12.75">
      <c r="A38" s="29"/>
      <c r="B38" s="29" t="s">
        <v>57</v>
      </c>
      <c r="C38" s="29"/>
      <c r="D38" s="29"/>
      <c r="E38" s="34"/>
      <c r="F38">
        <v>8.77</v>
      </c>
      <c r="G38">
        <v>8.77</v>
      </c>
      <c r="H38">
        <v>8.77</v>
      </c>
      <c r="I38"/>
    </row>
    <row r="39" spans="1:9" ht="12.75">
      <c r="A39" s="29"/>
      <c r="B39" s="29"/>
      <c r="C39" s="29"/>
      <c r="D39" s="29"/>
      <c r="E39" s="34"/>
      <c r="F39" s="14"/>
      <c r="G39" s="34"/>
      <c r="H39" s="14"/>
      <c r="I39" s="48"/>
    </row>
    <row r="40" spans="1:9" ht="12.75">
      <c r="A40" s="29"/>
      <c r="B40" s="29" t="s">
        <v>93</v>
      </c>
      <c r="C40" s="37"/>
      <c r="D40" s="37"/>
      <c r="E40" s="32"/>
      <c r="F40" s="33">
        <f>SUM(F11:F35)/1000</f>
        <v>10.523</v>
      </c>
      <c r="G40" s="32">
        <f>SUM(G35,G34,G31,G26,G23,G21,G20,G18,G14,G12)/1000</f>
        <v>535.1</v>
      </c>
      <c r="H40" s="33">
        <f>SUM(H11:H35)/1000</f>
        <v>10.523</v>
      </c>
      <c r="I40" s="39"/>
    </row>
    <row r="41" spans="1:9" ht="12.75">
      <c r="A41" s="29"/>
      <c r="B41" s="29" t="s">
        <v>46</v>
      </c>
      <c r="C41" s="37"/>
      <c r="D41" s="32">
        <f>(F41-H41)*2/F41*100</f>
        <v>0</v>
      </c>
      <c r="E41" s="34"/>
      <c r="F41" s="33">
        <f>(F40/F37/0.0283*(21-7)/(21-F38))</f>
        <v>3.6894836088957055</v>
      </c>
      <c r="G41" s="33">
        <f>(G40/G37/0.0283*(21-7)/(21-G38))</f>
        <v>187.61215234439723</v>
      </c>
      <c r="H41" s="33">
        <f>(H40/H37/0.0283*(21-7)/(21-H38))</f>
        <v>3.6894836088957055</v>
      </c>
      <c r="I41" s="39"/>
    </row>
    <row r="42" spans="1:9" ht="12.75">
      <c r="A42" s="29"/>
      <c r="B42" s="29"/>
      <c r="C42" s="29"/>
      <c r="D42" s="29"/>
      <c r="E42" s="33"/>
      <c r="F42" s="37"/>
      <c r="G42" s="33"/>
      <c r="H42" s="37"/>
      <c r="I42" s="55"/>
    </row>
    <row r="43" spans="1:9" ht="12.75">
      <c r="A43" s="34"/>
      <c r="B43" s="29" t="s">
        <v>58</v>
      </c>
      <c r="C43" s="37">
        <f>AVERAGE(H41)</f>
        <v>3.6894836088957055</v>
      </c>
      <c r="D43" s="34"/>
      <c r="E43" s="34"/>
      <c r="F43" s="37"/>
      <c r="G43" s="34"/>
      <c r="H43" s="37"/>
      <c r="I43" s="54"/>
    </row>
    <row r="44" spans="1:9" ht="12.75">
      <c r="A44" s="29"/>
      <c r="B44" s="29" t="s">
        <v>59</v>
      </c>
      <c r="C44" s="32">
        <f>AVERAGE(G41)</f>
        <v>187.61215234439723</v>
      </c>
      <c r="D44" s="29"/>
      <c r="E44" s="36"/>
      <c r="F44" s="37"/>
      <c r="G44" s="36"/>
      <c r="H44" s="37"/>
      <c r="I44" s="40"/>
    </row>
    <row r="85" spans="1:7" ht="12.75">
      <c r="A85" s="2"/>
      <c r="B85" s="2"/>
      <c r="C85" s="2"/>
      <c r="D85" s="2"/>
      <c r="E85" s="7"/>
      <c r="G85" s="7"/>
    </row>
    <row r="86" spans="1:9" ht="12.75">
      <c r="A86" s="2"/>
      <c r="B86" s="2"/>
      <c r="C86" s="3"/>
      <c r="D86" s="3"/>
      <c r="E86" s="4"/>
      <c r="F86" s="7"/>
      <c r="G86" s="4"/>
      <c r="H86" s="7"/>
      <c r="I86" s="56"/>
    </row>
    <row r="87" spans="1:9" ht="12.75">
      <c r="A87" s="2"/>
      <c r="B87" s="2"/>
      <c r="C87" s="3"/>
      <c r="D87" s="3"/>
      <c r="E87" s="7"/>
      <c r="F87" s="3"/>
      <c r="G87" s="5"/>
      <c r="H87" s="3"/>
      <c r="I87" s="5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7"/>
  <sheetViews>
    <sheetView zoomScale="75" zoomScaleNormal="75" workbookViewId="0" topLeftCell="A1">
      <selection activeCell="R14" sqref="R14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8515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3" customWidth="1"/>
    <col min="11" max="11" width="9.28125" style="0" customWidth="1"/>
    <col min="13" max="13" width="9.28125" style="0" customWidth="1"/>
  </cols>
  <sheetData>
    <row r="1" spans="1:13" ht="12.75">
      <c r="A1" s="43" t="s">
        <v>66</v>
      </c>
      <c r="B1" s="29"/>
      <c r="C1" s="29"/>
      <c r="D1" s="29"/>
      <c r="E1" s="36"/>
      <c r="F1" s="37"/>
      <c r="G1" s="36"/>
      <c r="H1" s="37"/>
      <c r="I1" s="40"/>
      <c r="J1" s="36"/>
      <c r="K1" s="36"/>
      <c r="L1" s="36"/>
      <c r="M1" s="36"/>
    </row>
    <row r="2" spans="1:13" ht="12.75">
      <c r="A2" s="29" t="s">
        <v>244</v>
      </c>
      <c r="B2" s="29"/>
      <c r="C2" s="29"/>
      <c r="D2" s="29"/>
      <c r="E2" s="36"/>
      <c r="F2" s="37"/>
      <c r="G2" s="36"/>
      <c r="H2" s="37"/>
      <c r="I2" s="40"/>
      <c r="J2" s="36"/>
      <c r="K2" s="36"/>
      <c r="L2" s="36"/>
      <c r="M2" s="36"/>
    </row>
    <row r="3" spans="1:13" ht="12.75">
      <c r="A3" s="29" t="s">
        <v>20</v>
      </c>
      <c r="B3" s="29"/>
      <c r="C3" s="11" t="s">
        <v>142</v>
      </c>
      <c r="D3" s="11"/>
      <c r="E3" s="36"/>
      <c r="F3" s="37"/>
      <c r="G3" s="36"/>
      <c r="H3" s="37"/>
      <c r="I3" s="40"/>
      <c r="J3" s="36"/>
      <c r="K3" s="36"/>
      <c r="L3" s="36"/>
      <c r="M3" s="36"/>
    </row>
    <row r="4" spans="1:13" ht="12.75">
      <c r="A4" s="29" t="s">
        <v>21</v>
      </c>
      <c r="B4" s="29"/>
      <c r="C4" s="11" t="s">
        <v>152</v>
      </c>
      <c r="D4" s="11"/>
      <c r="E4" s="38"/>
      <c r="F4" s="39"/>
      <c r="G4" s="38"/>
      <c r="H4" s="39"/>
      <c r="I4" s="40"/>
      <c r="J4" s="38"/>
      <c r="K4" s="38"/>
      <c r="L4" s="38"/>
      <c r="M4" s="38"/>
    </row>
    <row r="5" spans="1:13" ht="12.75">
      <c r="A5" s="29" t="s">
        <v>22</v>
      </c>
      <c r="B5" s="29"/>
      <c r="C5" s="14" t="str">
        <f>cond!C20</f>
        <v>Carbon injected rate 1</v>
      </c>
      <c r="D5" s="14"/>
      <c r="E5" s="14"/>
      <c r="F5" s="14"/>
      <c r="G5" s="14"/>
      <c r="H5" s="14"/>
      <c r="I5" s="48"/>
      <c r="J5" s="14"/>
      <c r="K5" s="36"/>
      <c r="L5" s="14"/>
      <c r="M5" s="36"/>
    </row>
    <row r="6" spans="1:13" ht="12.75">
      <c r="A6" s="29"/>
      <c r="B6" s="29"/>
      <c r="C6" s="31"/>
      <c r="D6" s="31"/>
      <c r="E6" s="40"/>
      <c r="F6" s="37"/>
      <c r="G6" s="40"/>
      <c r="H6" s="37"/>
      <c r="I6" s="40"/>
      <c r="J6" s="40"/>
      <c r="K6" s="36"/>
      <c r="L6" s="40"/>
      <c r="M6" s="36"/>
    </row>
    <row r="7" spans="1:13" ht="12.75">
      <c r="A7" s="29"/>
      <c r="B7" s="29"/>
      <c r="C7" s="31" t="s">
        <v>23</v>
      </c>
      <c r="D7" s="31"/>
      <c r="E7" s="41" t="s">
        <v>53</v>
      </c>
      <c r="F7" s="41"/>
      <c r="G7" s="41"/>
      <c r="H7" s="41"/>
      <c r="I7" s="13"/>
      <c r="J7" s="41" t="s">
        <v>98</v>
      </c>
      <c r="K7" s="41"/>
      <c r="L7" s="41"/>
      <c r="M7" s="41"/>
    </row>
    <row r="8" spans="1:13" ht="12.75">
      <c r="A8" s="29"/>
      <c r="B8" s="29"/>
      <c r="C8" s="31" t="s">
        <v>24</v>
      </c>
      <c r="D8" s="29"/>
      <c r="E8" s="40" t="s">
        <v>25</v>
      </c>
      <c r="F8" s="39" t="s">
        <v>26</v>
      </c>
      <c r="G8" s="40" t="s">
        <v>25</v>
      </c>
      <c r="H8" s="39" t="s">
        <v>26</v>
      </c>
      <c r="I8" s="40"/>
      <c r="J8" s="40" t="s">
        <v>25</v>
      </c>
      <c r="K8" s="40" t="s">
        <v>27</v>
      </c>
      <c r="L8" s="40" t="s">
        <v>25</v>
      </c>
      <c r="M8" s="40" t="s">
        <v>27</v>
      </c>
    </row>
    <row r="9" spans="1:13" ht="12.75">
      <c r="A9" s="29"/>
      <c r="B9" s="29"/>
      <c r="C9" s="31"/>
      <c r="D9" s="29"/>
      <c r="E9" s="40" t="s">
        <v>238</v>
      </c>
      <c r="F9" s="40" t="s">
        <v>238</v>
      </c>
      <c r="G9" s="40" t="s">
        <v>65</v>
      </c>
      <c r="H9" s="39" t="s">
        <v>65</v>
      </c>
      <c r="I9" s="40"/>
      <c r="J9" s="40" t="s">
        <v>238</v>
      </c>
      <c r="K9" s="40" t="s">
        <v>238</v>
      </c>
      <c r="L9" s="40" t="s">
        <v>65</v>
      </c>
      <c r="M9" s="39" t="s">
        <v>65</v>
      </c>
    </row>
    <row r="10" spans="1:13" ht="12.75">
      <c r="A10" s="29" t="s">
        <v>94</v>
      </c>
      <c r="B10" s="29"/>
      <c r="C10" s="29"/>
      <c r="D10" s="29"/>
      <c r="E10" s="36"/>
      <c r="F10" s="37"/>
      <c r="G10" s="36"/>
      <c r="H10" s="37"/>
      <c r="I10" s="40"/>
      <c r="J10" s="36"/>
      <c r="K10" s="36"/>
      <c r="L10" s="36"/>
      <c r="M10" s="36"/>
    </row>
    <row r="11" spans="1:13" ht="12.75">
      <c r="A11" s="29"/>
      <c r="B11" s="29" t="s">
        <v>28</v>
      </c>
      <c r="C11" s="31">
        <v>1</v>
      </c>
      <c r="E11">
        <v>32</v>
      </c>
      <c r="F11" s="34">
        <f aca="true" t="shared" si="0" ref="F11:F35">IF(E11="","",E11*$C11)</f>
        <v>32</v>
      </c>
      <c r="G11" s="34">
        <f aca="true" t="shared" si="1" ref="G11:G35">IF(E11=0,"",IF(D11="nd",E11/2,E11))</f>
        <v>32</v>
      </c>
      <c r="H11" s="34">
        <f aca="true" t="shared" si="2" ref="H11:H35">IF(G11="","",G11*$C11)</f>
        <v>32</v>
      </c>
      <c r="I11"/>
      <c r="J11">
        <v>45</v>
      </c>
      <c r="K11" s="34">
        <f aca="true" t="shared" si="3" ref="K11:K35">IF(J11="","",J11*$C11)</f>
        <v>45</v>
      </c>
      <c r="L11" s="34">
        <f>IF(J11=0,"",IF(I11="nd",J11/2,J11))</f>
        <v>45</v>
      </c>
      <c r="M11" s="34">
        <f aca="true" t="shared" si="4" ref="M11:M35">IF(L11="","",L11*$C11)</f>
        <v>45</v>
      </c>
    </row>
    <row r="12" spans="1:13" ht="12.75">
      <c r="A12" s="29"/>
      <c r="B12" s="29" t="s">
        <v>85</v>
      </c>
      <c r="C12" s="31">
        <v>0</v>
      </c>
      <c r="E12">
        <v>500</v>
      </c>
      <c r="F12" s="42">
        <f t="shared" si="0"/>
        <v>0</v>
      </c>
      <c r="G12" s="42">
        <f>IF(E12=0,"",IF(D12="nd",E12/2,E12))</f>
        <v>500</v>
      </c>
      <c r="H12" s="42">
        <f t="shared" si="2"/>
        <v>0</v>
      </c>
      <c r="I12"/>
      <c r="J12">
        <v>670</v>
      </c>
      <c r="K12" s="34">
        <f t="shared" si="3"/>
        <v>0</v>
      </c>
      <c r="L12" s="42">
        <f>IF(J12=0,"",IF(I12="nd",J12/2,J12))</f>
        <v>670</v>
      </c>
      <c r="M12" s="34">
        <f t="shared" si="4"/>
        <v>0</v>
      </c>
    </row>
    <row r="13" spans="1:13" ht="12.75">
      <c r="A13" s="29"/>
      <c r="B13" s="29" t="s">
        <v>29</v>
      </c>
      <c r="C13" s="31">
        <v>0.5</v>
      </c>
      <c r="E13">
        <v>120</v>
      </c>
      <c r="F13" s="34">
        <f t="shared" si="0"/>
        <v>60</v>
      </c>
      <c r="G13" s="34">
        <f t="shared" si="1"/>
        <v>120</v>
      </c>
      <c r="H13" s="34">
        <f t="shared" si="2"/>
        <v>60</v>
      </c>
      <c r="I13"/>
      <c r="J13">
        <v>180</v>
      </c>
      <c r="K13" s="34">
        <f t="shared" si="3"/>
        <v>90</v>
      </c>
      <c r="L13" s="34">
        <f aca="true" t="shared" si="5" ref="L13:L35">IF(J13=0,"",IF(I13="nd",J13/2,J13))</f>
        <v>180</v>
      </c>
      <c r="M13" s="34">
        <f t="shared" si="4"/>
        <v>90</v>
      </c>
    </row>
    <row r="14" spans="1:13" ht="12.75">
      <c r="A14" s="29"/>
      <c r="B14" s="29" t="s">
        <v>86</v>
      </c>
      <c r="C14" s="31">
        <v>0</v>
      </c>
      <c r="E14">
        <v>1000</v>
      </c>
      <c r="F14" s="42">
        <f t="shared" si="0"/>
        <v>0</v>
      </c>
      <c r="G14" s="42">
        <f>IF(E14=0,"",IF(D14="nd",E14/2,E14))</f>
        <v>1000</v>
      </c>
      <c r="H14" s="42">
        <f t="shared" si="2"/>
        <v>0</v>
      </c>
      <c r="I14"/>
      <c r="J14">
        <v>1500</v>
      </c>
      <c r="K14" s="34">
        <f t="shared" si="3"/>
        <v>0</v>
      </c>
      <c r="L14" s="42">
        <f>IF(J14=0,"",IF(I14="nd",J14/2,J14))</f>
        <v>1500</v>
      </c>
      <c r="M14" s="34">
        <f t="shared" si="4"/>
        <v>0</v>
      </c>
    </row>
    <row r="15" spans="1:13" ht="12.75">
      <c r="A15" s="29"/>
      <c r="B15" s="29" t="s">
        <v>30</v>
      </c>
      <c r="C15" s="31">
        <v>0.1</v>
      </c>
      <c r="E15">
        <v>87</v>
      </c>
      <c r="F15" s="34">
        <f t="shared" si="0"/>
        <v>8.700000000000001</v>
      </c>
      <c r="G15" s="34">
        <f t="shared" si="1"/>
        <v>87</v>
      </c>
      <c r="H15" s="34">
        <f t="shared" si="2"/>
        <v>8.700000000000001</v>
      </c>
      <c r="I15"/>
      <c r="J15">
        <v>130</v>
      </c>
      <c r="K15" s="34">
        <f t="shared" si="3"/>
        <v>13</v>
      </c>
      <c r="L15" s="34">
        <f t="shared" si="5"/>
        <v>130</v>
      </c>
      <c r="M15" s="34">
        <f t="shared" si="4"/>
        <v>13</v>
      </c>
    </row>
    <row r="16" spans="1:13" ht="12.75">
      <c r="A16" s="29"/>
      <c r="B16" s="29" t="s">
        <v>31</v>
      </c>
      <c r="C16" s="31">
        <v>0.1</v>
      </c>
      <c r="E16">
        <v>150</v>
      </c>
      <c r="F16" s="34">
        <f t="shared" si="0"/>
        <v>15</v>
      </c>
      <c r="G16" s="34">
        <f t="shared" si="1"/>
        <v>150</v>
      </c>
      <c r="H16" s="34">
        <f t="shared" si="2"/>
        <v>15</v>
      </c>
      <c r="I16"/>
      <c r="J16">
        <v>200</v>
      </c>
      <c r="K16" s="34">
        <f t="shared" si="3"/>
        <v>20</v>
      </c>
      <c r="L16" s="34">
        <f t="shared" si="5"/>
        <v>200</v>
      </c>
      <c r="M16" s="34">
        <f t="shared" si="4"/>
        <v>20</v>
      </c>
    </row>
    <row r="17" spans="1:13" ht="12.75">
      <c r="A17" s="29"/>
      <c r="B17" s="29" t="s">
        <v>32</v>
      </c>
      <c r="C17" s="31">
        <v>0.1</v>
      </c>
      <c r="E17">
        <v>110</v>
      </c>
      <c r="F17" s="34">
        <f t="shared" si="0"/>
        <v>11</v>
      </c>
      <c r="G17" s="34">
        <f t="shared" si="1"/>
        <v>110</v>
      </c>
      <c r="H17" s="34">
        <f t="shared" si="2"/>
        <v>11</v>
      </c>
      <c r="I17"/>
      <c r="J17">
        <v>150</v>
      </c>
      <c r="K17" s="34">
        <f t="shared" si="3"/>
        <v>15</v>
      </c>
      <c r="L17" s="34">
        <f t="shared" si="5"/>
        <v>150</v>
      </c>
      <c r="M17" s="34">
        <f t="shared" si="4"/>
        <v>15</v>
      </c>
    </row>
    <row r="18" spans="1:13" ht="12.75">
      <c r="A18" s="29"/>
      <c r="B18" s="29" t="s">
        <v>87</v>
      </c>
      <c r="C18" s="31">
        <v>0</v>
      </c>
      <c r="E18">
        <v>1600</v>
      </c>
      <c r="F18" s="42">
        <f t="shared" si="0"/>
        <v>0</v>
      </c>
      <c r="G18" s="42">
        <f>IF(E18=0,"",IF(D18="nd",E18/2,E18))</f>
        <v>1600</v>
      </c>
      <c r="H18" s="42">
        <f t="shared" si="2"/>
        <v>0</v>
      </c>
      <c r="I18"/>
      <c r="J18">
        <v>2100</v>
      </c>
      <c r="K18" s="34">
        <f t="shared" si="3"/>
        <v>0</v>
      </c>
      <c r="L18" s="42">
        <f>IF(J18=0,"",IF(I18="nd",J18/2,J18))</f>
        <v>2100</v>
      </c>
      <c r="M18" s="34">
        <f t="shared" si="4"/>
        <v>0</v>
      </c>
    </row>
    <row r="19" spans="1:13" ht="12.75">
      <c r="A19" s="29"/>
      <c r="B19" s="29" t="s">
        <v>33</v>
      </c>
      <c r="C19" s="31">
        <v>0.01</v>
      </c>
      <c r="E19">
        <v>510</v>
      </c>
      <c r="F19" s="34">
        <f t="shared" si="0"/>
        <v>5.1000000000000005</v>
      </c>
      <c r="G19" s="34">
        <f t="shared" si="1"/>
        <v>510</v>
      </c>
      <c r="H19" s="34">
        <f t="shared" si="2"/>
        <v>5.1000000000000005</v>
      </c>
      <c r="I19"/>
      <c r="J19">
        <v>680</v>
      </c>
      <c r="K19" s="34">
        <f t="shared" si="3"/>
        <v>6.8</v>
      </c>
      <c r="L19" s="34">
        <f t="shared" si="5"/>
        <v>680</v>
      </c>
      <c r="M19" s="34">
        <f t="shared" si="4"/>
        <v>6.8</v>
      </c>
    </row>
    <row r="20" spans="1:13" ht="12.75">
      <c r="A20" s="29"/>
      <c r="B20" s="29" t="s">
        <v>88</v>
      </c>
      <c r="C20" s="31">
        <v>0</v>
      </c>
      <c r="E20">
        <v>1000</v>
      </c>
      <c r="F20" s="42">
        <f t="shared" si="0"/>
        <v>0</v>
      </c>
      <c r="G20" s="42">
        <f>IF(E20=0,"",IF(D20="nd",E20/2,E20))</f>
        <v>1000</v>
      </c>
      <c r="H20" s="42">
        <f t="shared" si="2"/>
        <v>0</v>
      </c>
      <c r="I20"/>
      <c r="J20">
        <v>1400</v>
      </c>
      <c r="K20" s="34">
        <f t="shared" si="3"/>
        <v>0</v>
      </c>
      <c r="L20" s="42">
        <f>IF(J20=0,"",IF(I20="nd",J20/2,J20))</f>
        <v>1400</v>
      </c>
      <c r="M20" s="34">
        <f t="shared" si="4"/>
        <v>0</v>
      </c>
    </row>
    <row r="21" spans="1:13" ht="12.75">
      <c r="A21" s="29"/>
      <c r="B21" s="29" t="s">
        <v>34</v>
      </c>
      <c r="C21" s="31">
        <v>0.001</v>
      </c>
      <c r="E21">
        <v>1800</v>
      </c>
      <c r="F21" s="34">
        <f t="shared" si="0"/>
        <v>1.8</v>
      </c>
      <c r="G21" s="34">
        <f t="shared" si="1"/>
        <v>1800</v>
      </c>
      <c r="H21" s="34">
        <f t="shared" si="2"/>
        <v>1.8</v>
      </c>
      <c r="I21"/>
      <c r="J21">
        <v>2500</v>
      </c>
      <c r="K21" s="34">
        <f t="shared" si="3"/>
        <v>2.5</v>
      </c>
      <c r="L21" s="42">
        <f t="shared" si="5"/>
        <v>2500</v>
      </c>
      <c r="M21" s="34">
        <f t="shared" si="4"/>
        <v>2.5</v>
      </c>
    </row>
    <row r="22" spans="1:13" ht="12.75">
      <c r="A22" s="29"/>
      <c r="B22" s="29" t="s">
        <v>35</v>
      </c>
      <c r="C22" s="31">
        <v>0.1</v>
      </c>
      <c r="E22">
        <v>290</v>
      </c>
      <c r="F22" s="34">
        <f t="shared" si="0"/>
        <v>29</v>
      </c>
      <c r="G22" s="34">
        <f t="shared" si="1"/>
        <v>290</v>
      </c>
      <c r="H22" s="34">
        <f t="shared" si="2"/>
        <v>29</v>
      </c>
      <c r="I22"/>
      <c r="J22">
        <v>350</v>
      </c>
      <c r="K22" s="34">
        <f t="shared" si="3"/>
        <v>35</v>
      </c>
      <c r="L22" s="42">
        <f t="shared" si="5"/>
        <v>350</v>
      </c>
      <c r="M22" s="34">
        <f t="shared" si="4"/>
        <v>35</v>
      </c>
    </row>
    <row r="23" spans="1:13" ht="12.75">
      <c r="A23" s="29"/>
      <c r="B23" s="29" t="s">
        <v>89</v>
      </c>
      <c r="C23" s="31">
        <v>0</v>
      </c>
      <c r="E23">
        <v>13000</v>
      </c>
      <c r="F23" s="42">
        <f t="shared" si="0"/>
        <v>0</v>
      </c>
      <c r="G23" s="42">
        <f>IF(E23=0,"",IF(D23="nd",E23/2,E23))</f>
        <v>13000</v>
      </c>
      <c r="H23" s="42">
        <f t="shared" si="2"/>
        <v>0</v>
      </c>
      <c r="I23"/>
      <c r="J23">
        <v>17000</v>
      </c>
      <c r="K23" s="34">
        <f t="shared" si="3"/>
        <v>0</v>
      </c>
      <c r="L23" s="42">
        <f>IF(J23=0,"",IF(I23="nd",J23/2,J23))</f>
        <v>17000</v>
      </c>
      <c r="M23" s="34">
        <f t="shared" si="4"/>
        <v>0</v>
      </c>
    </row>
    <row r="24" spans="1:13" ht="12.75">
      <c r="A24" s="29"/>
      <c r="B24" s="29" t="s">
        <v>36</v>
      </c>
      <c r="C24" s="31">
        <v>0.05</v>
      </c>
      <c r="E24">
        <v>880</v>
      </c>
      <c r="F24" s="42">
        <f t="shared" si="0"/>
        <v>44</v>
      </c>
      <c r="G24" s="42">
        <f t="shared" si="1"/>
        <v>880</v>
      </c>
      <c r="H24" s="42">
        <f t="shared" si="2"/>
        <v>44</v>
      </c>
      <c r="I24"/>
      <c r="J24">
        <v>1200</v>
      </c>
      <c r="K24" s="34">
        <f t="shared" si="3"/>
        <v>60</v>
      </c>
      <c r="L24" s="42">
        <f t="shared" si="5"/>
        <v>1200</v>
      </c>
      <c r="M24" s="34">
        <f t="shared" si="4"/>
        <v>60</v>
      </c>
    </row>
    <row r="25" spans="1:13" ht="12.75">
      <c r="A25" s="29"/>
      <c r="B25" s="29" t="s">
        <v>37</v>
      </c>
      <c r="C25" s="31">
        <v>0.5</v>
      </c>
      <c r="E25">
        <v>1200</v>
      </c>
      <c r="F25" s="42">
        <f t="shared" si="0"/>
        <v>600</v>
      </c>
      <c r="G25" s="42">
        <f t="shared" si="1"/>
        <v>1200</v>
      </c>
      <c r="H25" s="42">
        <f t="shared" si="2"/>
        <v>600</v>
      </c>
      <c r="I25"/>
      <c r="J25">
        <v>1500</v>
      </c>
      <c r="K25" s="34">
        <f t="shared" si="3"/>
        <v>750</v>
      </c>
      <c r="L25" s="42">
        <f t="shared" si="5"/>
        <v>1500</v>
      </c>
      <c r="M25" s="34">
        <f t="shared" si="4"/>
        <v>750</v>
      </c>
    </row>
    <row r="26" spans="1:13" ht="12.75">
      <c r="A26" s="29"/>
      <c r="B26" s="29" t="s">
        <v>90</v>
      </c>
      <c r="C26" s="31">
        <v>0</v>
      </c>
      <c r="E26">
        <v>17000</v>
      </c>
      <c r="F26" s="42">
        <f t="shared" si="0"/>
        <v>0</v>
      </c>
      <c r="G26" s="42">
        <f>IF(E26=0,"",IF(D26="nd",E26/2,E26))</f>
        <v>17000</v>
      </c>
      <c r="H26" s="42">
        <f t="shared" si="2"/>
        <v>0</v>
      </c>
      <c r="I26"/>
      <c r="J26">
        <v>24000</v>
      </c>
      <c r="K26" s="34">
        <f t="shared" si="3"/>
        <v>0</v>
      </c>
      <c r="L26" s="42">
        <f>IF(J26=0,"",IF(I26="nd",J26/2,J26))</f>
        <v>24000</v>
      </c>
      <c r="M26" s="34">
        <f t="shared" si="4"/>
        <v>0</v>
      </c>
    </row>
    <row r="27" spans="1:13" ht="12.75">
      <c r="A27" s="29"/>
      <c r="B27" s="29" t="s">
        <v>38</v>
      </c>
      <c r="C27" s="31">
        <v>0.1</v>
      </c>
      <c r="E27">
        <v>1700</v>
      </c>
      <c r="F27" s="42">
        <f t="shared" si="0"/>
        <v>170</v>
      </c>
      <c r="G27" s="42">
        <f t="shared" si="1"/>
        <v>1700</v>
      </c>
      <c r="H27" s="42">
        <f t="shared" si="2"/>
        <v>170</v>
      </c>
      <c r="I27"/>
      <c r="J27">
        <v>2400</v>
      </c>
      <c r="K27" s="34">
        <f t="shared" si="3"/>
        <v>240</v>
      </c>
      <c r="L27" s="42">
        <f t="shared" si="5"/>
        <v>2400</v>
      </c>
      <c r="M27" s="34">
        <f t="shared" si="4"/>
        <v>240</v>
      </c>
    </row>
    <row r="28" spans="1:13" ht="12.75">
      <c r="A28" s="29"/>
      <c r="B28" s="29" t="s">
        <v>39</v>
      </c>
      <c r="C28" s="31">
        <v>0.1</v>
      </c>
      <c r="E28">
        <v>1900</v>
      </c>
      <c r="F28" s="42">
        <f t="shared" si="0"/>
        <v>190</v>
      </c>
      <c r="G28" s="42">
        <f t="shared" si="1"/>
        <v>1900</v>
      </c>
      <c r="H28" s="42">
        <f t="shared" si="2"/>
        <v>190</v>
      </c>
      <c r="I28"/>
      <c r="J28">
        <v>2700</v>
      </c>
      <c r="K28" s="34">
        <f t="shared" si="3"/>
        <v>270</v>
      </c>
      <c r="L28" s="42">
        <f t="shared" si="5"/>
        <v>2700</v>
      </c>
      <c r="M28" s="34">
        <f t="shared" si="4"/>
        <v>270</v>
      </c>
    </row>
    <row r="29" spans="1:13" ht="12.75">
      <c r="A29" s="29"/>
      <c r="B29" s="29" t="s">
        <v>40</v>
      </c>
      <c r="C29" s="31">
        <v>0.1</v>
      </c>
      <c r="E29">
        <v>2200</v>
      </c>
      <c r="F29" s="42">
        <f t="shared" si="0"/>
        <v>220</v>
      </c>
      <c r="G29" s="42">
        <f t="shared" si="1"/>
        <v>2200</v>
      </c>
      <c r="H29" s="42">
        <f t="shared" si="2"/>
        <v>220</v>
      </c>
      <c r="I29"/>
      <c r="J29">
        <v>2400</v>
      </c>
      <c r="K29" s="34">
        <f t="shared" si="3"/>
        <v>240</v>
      </c>
      <c r="L29" s="42">
        <f t="shared" si="5"/>
        <v>2400</v>
      </c>
      <c r="M29" s="34">
        <f t="shared" si="4"/>
        <v>240</v>
      </c>
    </row>
    <row r="30" spans="1:13" ht="12.75">
      <c r="A30" s="29"/>
      <c r="B30" s="29" t="s">
        <v>41</v>
      </c>
      <c r="C30" s="31">
        <v>0.1</v>
      </c>
      <c r="E30">
        <v>480</v>
      </c>
      <c r="F30" s="42">
        <f t="shared" si="0"/>
        <v>48</v>
      </c>
      <c r="G30" s="42">
        <f t="shared" si="1"/>
        <v>480</v>
      </c>
      <c r="H30" s="42">
        <f t="shared" si="2"/>
        <v>48</v>
      </c>
      <c r="I30"/>
      <c r="J30">
        <v>580</v>
      </c>
      <c r="K30" s="34">
        <f t="shared" si="3"/>
        <v>58</v>
      </c>
      <c r="L30" s="42">
        <f t="shared" si="5"/>
        <v>580</v>
      </c>
      <c r="M30" s="34">
        <f t="shared" si="4"/>
        <v>58</v>
      </c>
    </row>
    <row r="31" spans="1:13" ht="12.75">
      <c r="A31" s="29"/>
      <c r="B31" s="29" t="s">
        <v>91</v>
      </c>
      <c r="C31" s="31">
        <v>0</v>
      </c>
      <c r="E31">
        <v>18000</v>
      </c>
      <c r="F31" s="42">
        <f t="shared" si="0"/>
        <v>0</v>
      </c>
      <c r="G31" s="42">
        <f>IF(E31=0,"",IF(D31="nd",E31/2,E31))</f>
        <v>18000</v>
      </c>
      <c r="H31" s="42">
        <f t="shared" si="2"/>
        <v>0</v>
      </c>
      <c r="I31"/>
      <c r="J31">
        <v>25000</v>
      </c>
      <c r="K31" s="34">
        <f t="shared" si="3"/>
        <v>0</v>
      </c>
      <c r="L31" s="42">
        <f>IF(J31=0,"",IF(I31="nd",J31/2,J31))</f>
        <v>25000</v>
      </c>
      <c r="M31" s="34">
        <f t="shared" si="4"/>
        <v>0</v>
      </c>
    </row>
    <row r="32" spans="1:13" ht="12.75">
      <c r="A32" s="29"/>
      <c r="B32" s="29" t="s">
        <v>42</v>
      </c>
      <c r="C32" s="31">
        <v>0.01</v>
      </c>
      <c r="E32">
        <v>8000</v>
      </c>
      <c r="F32" s="42">
        <f t="shared" si="0"/>
        <v>80</v>
      </c>
      <c r="G32" s="42">
        <f t="shared" si="1"/>
        <v>8000</v>
      </c>
      <c r="H32" s="42">
        <f t="shared" si="2"/>
        <v>80</v>
      </c>
      <c r="I32"/>
      <c r="J32">
        <v>11000</v>
      </c>
      <c r="K32" s="34">
        <f t="shared" si="3"/>
        <v>110</v>
      </c>
      <c r="L32" s="42">
        <f t="shared" si="5"/>
        <v>11000</v>
      </c>
      <c r="M32" s="34">
        <f t="shared" si="4"/>
        <v>110</v>
      </c>
    </row>
    <row r="33" spans="1:13" ht="12.75">
      <c r="A33" s="29"/>
      <c r="B33" s="29" t="s">
        <v>43</v>
      </c>
      <c r="C33" s="31">
        <v>0.01</v>
      </c>
      <c r="E33">
        <v>690</v>
      </c>
      <c r="F33" s="42">
        <f t="shared" si="0"/>
        <v>6.9</v>
      </c>
      <c r="G33" s="42">
        <f t="shared" si="1"/>
        <v>690</v>
      </c>
      <c r="H33" s="42">
        <f t="shared" si="2"/>
        <v>6.9</v>
      </c>
      <c r="I33"/>
      <c r="J33">
        <v>830</v>
      </c>
      <c r="K33" s="34">
        <f t="shared" si="3"/>
        <v>8.3</v>
      </c>
      <c r="L33" s="42">
        <f t="shared" si="5"/>
        <v>830</v>
      </c>
      <c r="M33" s="34">
        <f t="shared" si="4"/>
        <v>8.3</v>
      </c>
    </row>
    <row r="34" spans="1:13" ht="12.75">
      <c r="A34" s="29"/>
      <c r="B34" s="29" t="s">
        <v>92</v>
      </c>
      <c r="C34" s="31">
        <v>0</v>
      </c>
      <c r="E34">
        <v>12000</v>
      </c>
      <c r="F34" s="42">
        <f t="shared" si="0"/>
        <v>0</v>
      </c>
      <c r="G34" s="42">
        <f>IF(E34=0,"",IF(D34="nd",E34/2,E34))</f>
        <v>12000</v>
      </c>
      <c r="H34" s="42">
        <f t="shared" si="2"/>
        <v>0</v>
      </c>
      <c r="I34"/>
      <c r="J34">
        <v>17000</v>
      </c>
      <c r="K34" s="34">
        <f t="shared" si="3"/>
        <v>0</v>
      </c>
      <c r="L34" s="42">
        <f>IF(J34=0,"",IF(I34="nd",J34/2,J34))</f>
        <v>17000</v>
      </c>
      <c r="M34" s="34">
        <f t="shared" si="4"/>
        <v>0</v>
      </c>
    </row>
    <row r="35" spans="1:13" ht="12.75">
      <c r="A35" s="29"/>
      <c r="B35" s="29" t="s">
        <v>44</v>
      </c>
      <c r="C35" s="31">
        <v>0.001</v>
      </c>
      <c r="E35">
        <v>3900</v>
      </c>
      <c r="F35" s="42">
        <f t="shared" si="0"/>
        <v>3.9</v>
      </c>
      <c r="G35" s="42">
        <f t="shared" si="1"/>
        <v>3900</v>
      </c>
      <c r="H35" s="42">
        <f t="shared" si="2"/>
        <v>3.9</v>
      </c>
      <c r="I35"/>
      <c r="J35">
        <v>4800</v>
      </c>
      <c r="K35" s="34">
        <f t="shared" si="3"/>
        <v>4.8</v>
      </c>
      <c r="L35" s="42">
        <f t="shared" si="5"/>
        <v>4800</v>
      </c>
      <c r="M35" s="34">
        <f t="shared" si="4"/>
        <v>4.8</v>
      </c>
    </row>
    <row r="36" spans="1:13" ht="12.75">
      <c r="A36" s="29"/>
      <c r="B36" s="29"/>
      <c r="C36" s="29"/>
      <c r="D36" s="29"/>
      <c r="E36" s="34"/>
      <c r="F36" s="37"/>
      <c r="G36" s="34"/>
      <c r="H36" s="37"/>
      <c r="I36" s="54"/>
      <c r="J36" s="14"/>
      <c r="K36" s="32"/>
      <c r="L36" s="32"/>
      <c r="M36" s="32"/>
    </row>
    <row r="37" spans="1:13" ht="12.75">
      <c r="A37" s="29"/>
      <c r="B37" s="29" t="s">
        <v>45</v>
      </c>
      <c r="C37" s="29"/>
      <c r="D37" s="29"/>
      <c r="E37" s="34"/>
      <c r="F37">
        <v>108.819</v>
      </c>
      <c r="G37">
        <v>108.819</v>
      </c>
      <c r="H37">
        <v>108.819</v>
      </c>
      <c r="I37"/>
      <c r="K37">
        <v>115.312</v>
      </c>
      <c r="L37">
        <v>115.312</v>
      </c>
      <c r="M37">
        <v>115.312</v>
      </c>
    </row>
    <row r="38" spans="1:13" ht="12.75">
      <c r="A38" s="29"/>
      <c r="B38" s="29" t="s">
        <v>57</v>
      </c>
      <c r="C38" s="29"/>
      <c r="D38" s="29"/>
      <c r="E38" s="34"/>
      <c r="F38">
        <v>8.6</v>
      </c>
      <c r="G38">
        <v>8.6</v>
      </c>
      <c r="H38">
        <v>8.6</v>
      </c>
      <c r="I38"/>
      <c r="K38">
        <v>8.47</v>
      </c>
      <c r="L38">
        <v>8.47</v>
      </c>
      <c r="M38">
        <v>8.47</v>
      </c>
    </row>
    <row r="39" spans="1:13" ht="12.75">
      <c r="A39" s="29"/>
      <c r="B39" s="29"/>
      <c r="C39" s="29"/>
      <c r="D39" s="29"/>
      <c r="E39" s="34"/>
      <c r="F39" s="14"/>
      <c r="G39" s="34"/>
      <c r="H39" s="14"/>
      <c r="I39" s="48"/>
      <c r="J39" s="34"/>
      <c r="K39" s="35"/>
      <c r="L39" s="32"/>
      <c r="M39" s="35"/>
    </row>
    <row r="40" spans="1:13" ht="12.75">
      <c r="A40" s="29"/>
      <c r="B40" s="29" t="s">
        <v>93</v>
      </c>
      <c r="C40" s="37"/>
      <c r="D40" s="37"/>
      <c r="E40" s="32"/>
      <c r="F40" s="33">
        <f>SUM(F11:F35)/1000</f>
        <v>1.5254</v>
      </c>
      <c r="G40" s="32">
        <f>SUM(G35,G34,G31,G26,G23,G21,G20,G18,G14,G12)/1000</f>
        <v>69.8</v>
      </c>
      <c r="H40" s="33">
        <f>SUM(H11:H35)/1000</f>
        <v>1.5254</v>
      </c>
      <c r="I40" s="39"/>
      <c r="J40" s="32"/>
      <c r="K40" s="33">
        <f>SUM(K11:K35)/1000</f>
        <v>1.9684</v>
      </c>
      <c r="L40" s="32">
        <f>SUM(L35,L34,L31,L26,L23,L21,L20,L18,L14,L12)/1000</f>
        <v>95.97</v>
      </c>
      <c r="M40" s="33">
        <f>SUM(M11:M35)/1000</f>
        <v>1.9684</v>
      </c>
    </row>
    <row r="41" spans="1:13" ht="12.75">
      <c r="A41" s="29"/>
      <c r="B41" s="29" t="s">
        <v>46</v>
      </c>
      <c r="C41" s="37"/>
      <c r="D41" s="32">
        <f>(F41-H41)*2/F41*100</f>
        <v>0</v>
      </c>
      <c r="E41" s="34"/>
      <c r="F41" s="33">
        <f>(F40/F37/0.0283*(21-7)/(21-F38))</f>
        <v>0.5592409006116693</v>
      </c>
      <c r="G41" s="33">
        <f>(G40/G37/0.0283*(21-7)/(21-G38))</f>
        <v>25.590018921394066</v>
      </c>
      <c r="H41" s="33">
        <f>(H40/H37/0.0283*(21-7)/(21-H38))</f>
        <v>0.5592409006116693</v>
      </c>
      <c r="I41" s="39"/>
      <c r="J41" s="34"/>
      <c r="K41" s="33">
        <f>K40/K37/0.0283*(21-7)/(21-K38)</f>
        <v>0.6739526430117717</v>
      </c>
      <c r="L41" s="33">
        <f>(L40/L37/0.0283*(21-7)/(21-L38))</f>
        <v>32.85878640004051</v>
      </c>
      <c r="M41" s="33">
        <f>M40/M37/0.0283*(21-7)/(21-M38)</f>
        <v>0.6739526430117717</v>
      </c>
    </row>
    <row r="42" spans="1:13" ht="12.75">
      <c r="A42" s="29"/>
      <c r="B42" s="29"/>
      <c r="C42" s="29"/>
      <c r="D42" s="29"/>
      <c r="E42" s="33"/>
      <c r="F42" s="37"/>
      <c r="G42" s="33"/>
      <c r="H42" s="37"/>
      <c r="I42" s="55"/>
      <c r="J42" s="33"/>
      <c r="K42" s="33"/>
      <c r="L42" s="33"/>
      <c r="M42" s="33"/>
    </row>
    <row r="43" spans="1:13" ht="12.75">
      <c r="A43" s="34"/>
      <c r="B43" s="29" t="s">
        <v>58</v>
      </c>
      <c r="C43" s="37">
        <f>AVERAGE(H41,M41)</f>
        <v>0.6165967718117205</v>
      </c>
      <c r="D43" s="34"/>
      <c r="E43" s="34"/>
      <c r="F43" s="37"/>
      <c r="G43" s="34"/>
      <c r="H43" s="37"/>
      <c r="I43" s="54"/>
      <c r="J43" s="34"/>
      <c r="K43" s="34"/>
      <c r="L43" s="34"/>
      <c r="M43" s="34"/>
    </row>
    <row r="44" spans="1:13" ht="12.75">
      <c r="A44" s="29"/>
      <c r="B44" s="29" t="s">
        <v>59</v>
      </c>
      <c r="C44" s="37">
        <f>AVERAGE(G41,L41)</f>
        <v>29.22440266071729</v>
      </c>
      <c r="D44" s="29"/>
      <c r="E44" s="36"/>
      <c r="F44" s="37"/>
      <c r="G44" s="36"/>
      <c r="H44" s="37"/>
      <c r="I44" s="40"/>
      <c r="J44" s="36"/>
      <c r="K44" s="36"/>
      <c r="L44" s="36"/>
      <c r="M44" s="36"/>
    </row>
    <row r="85" spans="1:13" ht="12.75">
      <c r="A85" s="2"/>
      <c r="B85" s="2"/>
      <c r="C85" s="2"/>
      <c r="D85" s="2"/>
      <c r="E85" s="7"/>
      <c r="G85" s="7"/>
      <c r="J85" s="7"/>
      <c r="K85" s="6"/>
      <c r="L85" s="4"/>
      <c r="M85" s="6"/>
    </row>
    <row r="86" spans="1:13" ht="12.75">
      <c r="A86" s="2"/>
      <c r="B86" s="2"/>
      <c r="C86" s="3"/>
      <c r="D86" s="3"/>
      <c r="E86" s="4"/>
      <c r="F86" s="7"/>
      <c r="G86" s="4"/>
      <c r="H86" s="7"/>
      <c r="I86" s="56"/>
      <c r="J86" s="4"/>
      <c r="K86" s="4"/>
      <c r="L86" s="4"/>
      <c r="M86" s="4"/>
    </row>
    <row r="87" spans="1:13" ht="12.75">
      <c r="A87" s="2"/>
      <c r="B87" s="2"/>
      <c r="C87" s="3"/>
      <c r="D87" s="3"/>
      <c r="E87" s="7"/>
      <c r="F87" s="3"/>
      <c r="G87" s="5"/>
      <c r="H87" s="3"/>
      <c r="I87" s="56"/>
      <c r="J87" s="7"/>
      <c r="K87" s="3"/>
      <c r="L87" s="4"/>
      <c r="M87" s="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zoomScale="75" zoomScaleNormal="75" workbookViewId="0" topLeftCell="A1">
      <selection activeCell="M45" sqref="M4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6.57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3" customWidth="1"/>
    <col min="11" max="11" width="9.28125" style="0" customWidth="1"/>
    <col min="13" max="13" width="9.28125" style="0" customWidth="1"/>
  </cols>
  <sheetData>
    <row r="1" spans="1:13" ht="12.75">
      <c r="A1" s="43" t="s">
        <v>66</v>
      </c>
      <c r="B1" s="29"/>
      <c r="C1" s="29"/>
      <c r="D1" s="29"/>
      <c r="E1" s="36"/>
      <c r="F1" s="37"/>
      <c r="G1" s="36"/>
      <c r="H1" s="37"/>
      <c r="I1" s="40"/>
      <c r="J1" s="36"/>
      <c r="K1" s="36"/>
      <c r="L1" s="36"/>
      <c r="M1" s="36"/>
    </row>
    <row r="2" spans="1:13" ht="12.75">
      <c r="A2" s="29" t="s">
        <v>244</v>
      </c>
      <c r="B2" s="29"/>
      <c r="C2" s="29"/>
      <c r="D2" s="29"/>
      <c r="E2" s="36"/>
      <c r="F2" s="37"/>
      <c r="G2" s="36"/>
      <c r="H2" s="37"/>
      <c r="I2" s="40"/>
      <c r="J2" s="36"/>
      <c r="K2" s="36"/>
      <c r="L2" s="36"/>
      <c r="M2" s="36"/>
    </row>
    <row r="3" spans="1:13" ht="12.75">
      <c r="A3" s="29" t="s">
        <v>20</v>
      </c>
      <c r="B3" s="29"/>
      <c r="C3" s="11" t="s">
        <v>142</v>
      </c>
      <c r="D3" s="11"/>
      <c r="E3" s="36"/>
      <c r="F3" s="37"/>
      <c r="G3" s="36"/>
      <c r="H3" s="37"/>
      <c r="I3" s="40"/>
      <c r="J3" s="36"/>
      <c r="K3" s="36"/>
      <c r="L3" s="36"/>
      <c r="M3" s="36"/>
    </row>
    <row r="4" spans="1:13" ht="12.75">
      <c r="A4" s="29" t="s">
        <v>21</v>
      </c>
      <c r="B4" s="29"/>
      <c r="C4" s="11" t="s">
        <v>153</v>
      </c>
      <c r="D4" s="11"/>
      <c r="E4" s="38"/>
      <c r="F4" s="39"/>
      <c r="G4" s="38"/>
      <c r="H4" s="39"/>
      <c r="I4" s="40"/>
      <c r="J4" s="38"/>
      <c r="K4" s="38"/>
      <c r="L4" s="38"/>
      <c r="M4" s="38"/>
    </row>
    <row r="5" spans="1:13" ht="12.75">
      <c r="A5" s="29" t="s">
        <v>22</v>
      </c>
      <c r="B5" s="29"/>
      <c r="C5" s="14" t="str">
        <f>cond!C30</f>
        <v>Carbon injected rate 2</v>
      </c>
      <c r="D5" s="14"/>
      <c r="E5" s="14"/>
      <c r="F5" s="14"/>
      <c r="G5" s="14"/>
      <c r="H5" s="14"/>
      <c r="I5" s="48"/>
      <c r="J5" s="14"/>
      <c r="K5" s="36"/>
      <c r="L5" s="14"/>
      <c r="M5" s="36"/>
    </row>
    <row r="6" spans="1:13" ht="12.75">
      <c r="A6" s="29"/>
      <c r="B6" s="29"/>
      <c r="C6" s="31"/>
      <c r="D6" s="31"/>
      <c r="E6" s="40"/>
      <c r="F6" s="37"/>
      <c r="G6" s="40"/>
      <c r="H6" s="37"/>
      <c r="I6" s="40"/>
      <c r="J6" s="40"/>
      <c r="K6" s="36"/>
      <c r="L6" s="40"/>
      <c r="M6" s="36"/>
    </row>
    <row r="7" spans="1:13" ht="12.75">
      <c r="A7" s="29"/>
      <c r="B7" s="29"/>
      <c r="C7" s="31" t="s">
        <v>23</v>
      </c>
      <c r="D7" s="31"/>
      <c r="E7" s="41" t="s">
        <v>53</v>
      </c>
      <c r="F7" s="41"/>
      <c r="G7" s="41"/>
      <c r="H7" s="41"/>
      <c r="I7" s="13"/>
      <c r="J7" s="41" t="s">
        <v>98</v>
      </c>
      <c r="K7" s="41"/>
      <c r="L7" s="41"/>
      <c r="M7" s="41"/>
    </row>
    <row r="8" spans="1:13" ht="12.75">
      <c r="A8" s="29"/>
      <c r="B8" s="29"/>
      <c r="C8" s="31" t="s">
        <v>24</v>
      </c>
      <c r="D8" s="29"/>
      <c r="E8" s="40" t="s">
        <v>25</v>
      </c>
      <c r="F8" s="39" t="s">
        <v>26</v>
      </c>
      <c r="G8" s="40" t="s">
        <v>25</v>
      </c>
      <c r="H8" s="39" t="s">
        <v>26</v>
      </c>
      <c r="I8" s="40"/>
      <c r="J8" s="40" t="s">
        <v>25</v>
      </c>
      <c r="K8" s="40" t="s">
        <v>27</v>
      </c>
      <c r="L8" s="40" t="s">
        <v>25</v>
      </c>
      <c r="M8" s="40" t="s">
        <v>27</v>
      </c>
    </row>
    <row r="9" spans="1:13" ht="12.75">
      <c r="A9" s="29"/>
      <c r="B9" s="29"/>
      <c r="C9" s="31"/>
      <c r="D9" s="29"/>
      <c r="E9" s="40" t="s">
        <v>238</v>
      </c>
      <c r="F9" s="40" t="s">
        <v>238</v>
      </c>
      <c r="G9" s="40" t="s">
        <v>65</v>
      </c>
      <c r="H9" s="39" t="s">
        <v>65</v>
      </c>
      <c r="I9" s="40"/>
      <c r="J9" s="40" t="s">
        <v>238</v>
      </c>
      <c r="K9" s="40" t="s">
        <v>238</v>
      </c>
      <c r="L9" s="40" t="s">
        <v>65</v>
      </c>
      <c r="M9" s="39" t="s">
        <v>65</v>
      </c>
    </row>
    <row r="10" spans="1:13" ht="12.75">
      <c r="A10" s="29" t="s">
        <v>94</v>
      </c>
      <c r="B10" s="29"/>
      <c r="C10" s="29"/>
      <c r="D10" s="29"/>
      <c r="E10" s="36"/>
      <c r="F10" s="37"/>
      <c r="G10" s="36"/>
      <c r="H10" s="37"/>
      <c r="I10" s="40"/>
      <c r="J10" s="36"/>
      <c r="K10" s="36"/>
      <c r="L10" s="36"/>
      <c r="M10" s="36"/>
    </row>
    <row r="11" spans="1:13" ht="12.75">
      <c r="A11" s="29"/>
      <c r="B11" s="29" t="s">
        <v>28</v>
      </c>
      <c r="C11" s="31">
        <v>1</v>
      </c>
      <c r="E11">
        <v>31</v>
      </c>
      <c r="F11" s="34">
        <f aca="true" t="shared" si="0" ref="F11:F35">IF(E11="","",E11*$C11)</f>
        <v>31</v>
      </c>
      <c r="G11" s="34">
        <f aca="true" t="shared" si="1" ref="G11:G35">IF(E11=0,"",IF(D11="nd",E11/2,E11))</f>
        <v>31</v>
      </c>
      <c r="H11" s="34">
        <f aca="true" t="shared" si="2" ref="H11:H35">IF(G11="","",G11*$C11)</f>
        <v>31</v>
      </c>
      <c r="I11"/>
      <c r="J11">
        <v>11</v>
      </c>
      <c r="K11" s="34">
        <f aca="true" t="shared" si="3" ref="K11:K35">IF(J11="","",J11*$C11)</f>
        <v>11</v>
      </c>
      <c r="L11" s="34">
        <f>IF(J11=0,"",IF(I11="nd",J11/2,J11))</f>
        <v>11</v>
      </c>
      <c r="M11" s="34">
        <f aca="true" t="shared" si="4" ref="M11:M35">IF(L11="","",L11*$C11)</f>
        <v>11</v>
      </c>
    </row>
    <row r="12" spans="1:13" ht="12.75">
      <c r="A12" s="29"/>
      <c r="B12" s="29" t="s">
        <v>85</v>
      </c>
      <c r="C12" s="31">
        <v>0</v>
      </c>
      <c r="E12">
        <v>510</v>
      </c>
      <c r="F12" s="42">
        <f t="shared" si="0"/>
        <v>0</v>
      </c>
      <c r="G12" s="42">
        <f>IF(E12=0,"",IF(D12="nd",E12/2,E12))</f>
        <v>510</v>
      </c>
      <c r="H12" s="42">
        <f t="shared" si="2"/>
        <v>0</v>
      </c>
      <c r="I12"/>
      <c r="J12">
        <v>210</v>
      </c>
      <c r="K12" s="34">
        <f t="shared" si="3"/>
        <v>0</v>
      </c>
      <c r="L12" s="42">
        <f>IF(J12=0,"",IF(I12="nd",J12/2,J12))</f>
        <v>210</v>
      </c>
      <c r="M12" s="34">
        <f t="shared" si="4"/>
        <v>0</v>
      </c>
    </row>
    <row r="13" spans="1:13" ht="12.75">
      <c r="A13" s="29"/>
      <c r="B13" s="29" t="s">
        <v>29</v>
      </c>
      <c r="C13" s="31">
        <v>0.5</v>
      </c>
      <c r="E13">
        <v>120</v>
      </c>
      <c r="F13" s="34">
        <f t="shared" si="0"/>
        <v>60</v>
      </c>
      <c r="G13" s="34">
        <f t="shared" si="1"/>
        <v>120</v>
      </c>
      <c r="H13" s="34">
        <f t="shared" si="2"/>
        <v>60</v>
      </c>
      <c r="I13"/>
      <c r="J13">
        <v>36</v>
      </c>
      <c r="K13" s="34">
        <f t="shared" si="3"/>
        <v>18</v>
      </c>
      <c r="L13" s="34">
        <f aca="true" t="shared" si="5" ref="L13:L35">IF(J13=0,"",IF(I13="nd",J13/2,J13))</f>
        <v>36</v>
      </c>
      <c r="M13" s="34">
        <f t="shared" si="4"/>
        <v>18</v>
      </c>
    </row>
    <row r="14" spans="1:13" ht="12.75">
      <c r="A14" s="29"/>
      <c r="B14" s="29" t="s">
        <v>86</v>
      </c>
      <c r="C14" s="31">
        <v>0</v>
      </c>
      <c r="E14">
        <v>1100</v>
      </c>
      <c r="F14" s="42">
        <f t="shared" si="0"/>
        <v>0</v>
      </c>
      <c r="G14" s="42">
        <f>IF(E14=0,"",IF(D14="nd",E14/2,E14))</f>
        <v>1100</v>
      </c>
      <c r="H14" s="42">
        <f t="shared" si="2"/>
        <v>0</v>
      </c>
      <c r="I14"/>
      <c r="J14">
        <v>400</v>
      </c>
      <c r="K14" s="34">
        <f t="shared" si="3"/>
        <v>0</v>
      </c>
      <c r="L14" s="42">
        <f>IF(J14=0,"",IF(I14="nd",J14/2,J14))</f>
        <v>400</v>
      </c>
      <c r="M14" s="34">
        <f t="shared" si="4"/>
        <v>0</v>
      </c>
    </row>
    <row r="15" spans="1:13" ht="12.75">
      <c r="A15" s="29"/>
      <c r="B15" s="29" t="s">
        <v>30</v>
      </c>
      <c r="C15" s="31">
        <v>0.1</v>
      </c>
      <c r="E15">
        <v>95</v>
      </c>
      <c r="F15" s="34">
        <f t="shared" si="0"/>
        <v>9.5</v>
      </c>
      <c r="G15" s="34">
        <f t="shared" si="1"/>
        <v>95</v>
      </c>
      <c r="H15" s="34">
        <f t="shared" si="2"/>
        <v>9.5</v>
      </c>
      <c r="I15"/>
      <c r="J15">
        <v>35</v>
      </c>
      <c r="K15" s="34">
        <f t="shared" si="3"/>
        <v>3.5</v>
      </c>
      <c r="L15" s="34">
        <f t="shared" si="5"/>
        <v>35</v>
      </c>
      <c r="M15" s="34">
        <f t="shared" si="4"/>
        <v>3.5</v>
      </c>
    </row>
    <row r="16" spans="1:13" ht="12.75">
      <c r="A16" s="29"/>
      <c r="B16" s="29" t="s">
        <v>31</v>
      </c>
      <c r="C16" s="31">
        <v>0.1</v>
      </c>
      <c r="E16">
        <v>140</v>
      </c>
      <c r="F16" s="34">
        <f t="shared" si="0"/>
        <v>14</v>
      </c>
      <c r="G16" s="34">
        <f t="shared" si="1"/>
        <v>140</v>
      </c>
      <c r="H16" s="34">
        <f t="shared" si="2"/>
        <v>14</v>
      </c>
      <c r="I16"/>
      <c r="J16">
        <v>70</v>
      </c>
      <c r="K16" s="34">
        <f t="shared" si="3"/>
        <v>7</v>
      </c>
      <c r="L16" s="34">
        <f t="shared" si="5"/>
        <v>70</v>
      </c>
      <c r="M16" s="34">
        <f t="shared" si="4"/>
        <v>7</v>
      </c>
    </row>
    <row r="17" spans="1:13" ht="12.75">
      <c r="A17" s="29"/>
      <c r="B17" s="29" t="s">
        <v>32</v>
      </c>
      <c r="C17" s="31">
        <v>0.1</v>
      </c>
      <c r="E17">
        <v>73</v>
      </c>
      <c r="F17" s="34">
        <f t="shared" si="0"/>
        <v>7.300000000000001</v>
      </c>
      <c r="G17" s="34">
        <f t="shared" si="1"/>
        <v>73</v>
      </c>
      <c r="H17" s="34">
        <f t="shared" si="2"/>
        <v>7.300000000000001</v>
      </c>
      <c r="I17"/>
      <c r="J17">
        <v>47</v>
      </c>
      <c r="K17" s="34">
        <f t="shared" si="3"/>
        <v>4.7</v>
      </c>
      <c r="L17" s="34">
        <f t="shared" si="5"/>
        <v>47</v>
      </c>
      <c r="M17" s="34">
        <f t="shared" si="4"/>
        <v>4.7</v>
      </c>
    </row>
    <row r="18" spans="1:13" ht="12.75">
      <c r="A18" s="29"/>
      <c r="B18" s="29" t="s">
        <v>87</v>
      </c>
      <c r="C18" s="31">
        <v>0</v>
      </c>
      <c r="E18">
        <v>1500</v>
      </c>
      <c r="F18" s="42">
        <f t="shared" si="0"/>
        <v>0</v>
      </c>
      <c r="G18" s="42">
        <f>IF(E18=0,"",IF(D18="nd",E18/2,E18))</f>
        <v>1500</v>
      </c>
      <c r="H18" s="42">
        <f t="shared" si="2"/>
        <v>0</v>
      </c>
      <c r="I18"/>
      <c r="J18">
        <v>710</v>
      </c>
      <c r="K18" s="34">
        <f t="shared" si="3"/>
        <v>0</v>
      </c>
      <c r="L18" s="42">
        <f>IF(J18=0,"",IF(I18="nd",J18/2,J18))</f>
        <v>710</v>
      </c>
      <c r="M18" s="34">
        <f t="shared" si="4"/>
        <v>0</v>
      </c>
    </row>
    <row r="19" spans="1:13" ht="12.75">
      <c r="A19" s="29"/>
      <c r="B19" s="29" t="s">
        <v>33</v>
      </c>
      <c r="C19" s="31">
        <v>0.01</v>
      </c>
      <c r="E19">
        <v>370</v>
      </c>
      <c r="F19" s="34">
        <f t="shared" si="0"/>
        <v>3.7</v>
      </c>
      <c r="G19" s="34">
        <f t="shared" si="1"/>
        <v>370</v>
      </c>
      <c r="H19" s="34">
        <f t="shared" si="2"/>
        <v>3.7</v>
      </c>
      <c r="I19"/>
      <c r="J19">
        <v>240</v>
      </c>
      <c r="K19" s="34">
        <f t="shared" si="3"/>
        <v>2.4</v>
      </c>
      <c r="L19" s="34">
        <f t="shared" si="5"/>
        <v>240</v>
      </c>
      <c r="M19" s="34">
        <f t="shared" si="4"/>
        <v>2.4</v>
      </c>
    </row>
    <row r="20" spans="1:13" ht="12.75">
      <c r="A20" s="29"/>
      <c r="B20" s="29" t="s">
        <v>88</v>
      </c>
      <c r="C20" s="31">
        <v>0</v>
      </c>
      <c r="E20">
        <v>810</v>
      </c>
      <c r="F20" s="42">
        <f t="shared" si="0"/>
        <v>0</v>
      </c>
      <c r="G20" s="42">
        <f>IF(E20=0,"",IF(D20="nd",E20/2,E20))</f>
        <v>810</v>
      </c>
      <c r="H20" s="42">
        <f t="shared" si="2"/>
        <v>0</v>
      </c>
      <c r="I20"/>
      <c r="J20">
        <v>470</v>
      </c>
      <c r="K20" s="34">
        <f t="shared" si="3"/>
        <v>0</v>
      </c>
      <c r="L20" s="42">
        <f>IF(J20=0,"",IF(I20="nd",J20/2,J20))</f>
        <v>470</v>
      </c>
      <c r="M20" s="34">
        <f t="shared" si="4"/>
        <v>0</v>
      </c>
    </row>
    <row r="21" spans="1:13" ht="12.75">
      <c r="A21" s="29"/>
      <c r="B21" s="29" t="s">
        <v>34</v>
      </c>
      <c r="C21" s="31">
        <v>0.001</v>
      </c>
      <c r="E21">
        <v>800</v>
      </c>
      <c r="F21" s="34">
        <f t="shared" si="0"/>
        <v>0.8</v>
      </c>
      <c r="G21" s="34">
        <f t="shared" si="1"/>
        <v>800</v>
      </c>
      <c r="H21" s="34">
        <f t="shared" si="2"/>
        <v>0.8</v>
      </c>
      <c r="I21"/>
      <c r="J21">
        <v>700</v>
      </c>
      <c r="K21" s="34">
        <f t="shared" si="3"/>
        <v>0.7000000000000001</v>
      </c>
      <c r="L21" s="42">
        <f t="shared" si="5"/>
        <v>700</v>
      </c>
      <c r="M21" s="34">
        <f t="shared" si="4"/>
        <v>0.7000000000000001</v>
      </c>
    </row>
    <row r="22" spans="1:13" ht="12.75">
      <c r="A22" s="29"/>
      <c r="B22" s="29" t="s">
        <v>35</v>
      </c>
      <c r="C22" s="31">
        <v>0.1</v>
      </c>
      <c r="E22">
        <v>290</v>
      </c>
      <c r="F22" s="34">
        <f t="shared" si="0"/>
        <v>29</v>
      </c>
      <c r="G22" s="34">
        <f t="shared" si="1"/>
        <v>290</v>
      </c>
      <c r="H22" s="34">
        <f t="shared" si="2"/>
        <v>29</v>
      </c>
      <c r="I22"/>
      <c r="J22">
        <v>150</v>
      </c>
      <c r="K22" s="34">
        <f t="shared" si="3"/>
        <v>15</v>
      </c>
      <c r="L22" s="42">
        <f t="shared" si="5"/>
        <v>150</v>
      </c>
      <c r="M22" s="34">
        <f t="shared" si="4"/>
        <v>15</v>
      </c>
    </row>
    <row r="23" spans="1:13" ht="12.75">
      <c r="A23" s="29"/>
      <c r="B23" s="29" t="s">
        <v>89</v>
      </c>
      <c r="C23" s="31">
        <v>0</v>
      </c>
      <c r="E23">
        <v>12000</v>
      </c>
      <c r="F23" s="42">
        <f t="shared" si="0"/>
        <v>0</v>
      </c>
      <c r="G23" s="42">
        <f>IF(E23=0,"",IF(D23="nd",E23/2,E23))</f>
        <v>12000</v>
      </c>
      <c r="H23" s="42">
        <f t="shared" si="2"/>
        <v>0</v>
      </c>
      <c r="I23"/>
      <c r="J23">
        <v>5800</v>
      </c>
      <c r="K23" s="34">
        <f t="shared" si="3"/>
        <v>0</v>
      </c>
      <c r="L23" s="42">
        <f>IF(J23=0,"",IF(I23="nd",J23/2,J23))</f>
        <v>5800</v>
      </c>
      <c r="M23" s="34">
        <f t="shared" si="4"/>
        <v>0</v>
      </c>
    </row>
    <row r="24" spans="1:13" ht="12.75">
      <c r="A24" s="29"/>
      <c r="B24" s="29" t="s">
        <v>36</v>
      </c>
      <c r="C24" s="31">
        <v>0.05</v>
      </c>
      <c r="E24">
        <v>830</v>
      </c>
      <c r="F24" s="42">
        <f t="shared" si="0"/>
        <v>41.5</v>
      </c>
      <c r="G24" s="42">
        <f t="shared" si="1"/>
        <v>830</v>
      </c>
      <c r="H24" s="42">
        <f t="shared" si="2"/>
        <v>41.5</v>
      </c>
      <c r="I24"/>
      <c r="J24">
        <v>310</v>
      </c>
      <c r="K24" s="34">
        <f t="shared" si="3"/>
        <v>15.5</v>
      </c>
      <c r="L24" s="42">
        <f t="shared" si="5"/>
        <v>310</v>
      </c>
      <c r="M24" s="34">
        <f t="shared" si="4"/>
        <v>15.5</v>
      </c>
    </row>
    <row r="25" spans="1:13" ht="12.75">
      <c r="A25" s="29"/>
      <c r="B25" s="29" t="s">
        <v>37</v>
      </c>
      <c r="C25" s="31">
        <v>0.5</v>
      </c>
      <c r="E25">
        <v>1200</v>
      </c>
      <c r="F25" s="42">
        <f t="shared" si="0"/>
        <v>600</v>
      </c>
      <c r="G25" s="42">
        <f t="shared" si="1"/>
        <v>1200</v>
      </c>
      <c r="H25" s="42">
        <f t="shared" si="2"/>
        <v>600</v>
      </c>
      <c r="I25"/>
      <c r="J25">
        <v>480</v>
      </c>
      <c r="K25" s="34">
        <f t="shared" si="3"/>
        <v>240</v>
      </c>
      <c r="L25" s="42">
        <f t="shared" si="5"/>
        <v>480</v>
      </c>
      <c r="M25" s="34">
        <f t="shared" si="4"/>
        <v>240</v>
      </c>
    </row>
    <row r="26" spans="1:13" ht="12.75">
      <c r="A26" s="29"/>
      <c r="B26" s="29" t="s">
        <v>90</v>
      </c>
      <c r="C26" s="31">
        <v>0</v>
      </c>
      <c r="E26">
        <v>18000</v>
      </c>
      <c r="F26" s="42">
        <f t="shared" si="0"/>
        <v>0</v>
      </c>
      <c r="G26" s="42">
        <f>IF(E26=0,"",IF(D26="nd",E26/2,E26))</f>
        <v>18000</v>
      </c>
      <c r="H26" s="42">
        <f t="shared" si="2"/>
        <v>0</v>
      </c>
      <c r="I26"/>
      <c r="J26">
        <v>6800</v>
      </c>
      <c r="K26" s="34">
        <f t="shared" si="3"/>
        <v>0</v>
      </c>
      <c r="L26" s="42">
        <f>IF(J26=0,"",IF(I26="nd",J26/2,J26))</f>
        <v>6800</v>
      </c>
      <c r="M26" s="34">
        <f t="shared" si="4"/>
        <v>0</v>
      </c>
    </row>
    <row r="27" spans="1:13" ht="12.75">
      <c r="A27" s="29"/>
      <c r="B27" s="29" t="s">
        <v>38</v>
      </c>
      <c r="C27" s="31">
        <v>0.1</v>
      </c>
      <c r="E27">
        <v>1700</v>
      </c>
      <c r="F27" s="42">
        <f t="shared" si="0"/>
        <v>170</v>
      </c>
      <c r="G27" s="42">
        <f t="shared" si="1"/>
        <v>1700</v>
      </c>
      <c r="H27" s="42">
        <f t="shared" si="2"/>
        <v>170</v>
      </c>
      <c r="I27"/>
      <c r="J27">
        <v>580</v>
      </c>
      <c r="K27" s="34">
        <f t="shared" si="3"/>
        <v>58</v>
      </c>
      <c r="L27" s="42">
        <f t="shared" si="5"/>
        <v>580</v>
      </c>
      <c r="M27" s="34">
        <f t="shared" si="4"/>
        <v>58</v>
      </c>
    </row>
    <row r="28" spans="1:13" ht="12.75">
      <c r="A28" s="29"/>
      <c r="B28" s="29" t="s">
        <v>39</v>
      </c>
      <c r="C28" s="31">
        <v>0.1</v>
      </c>
      <c r="E28">
        <v>1900</v>
      </c>
      <c r="F28" s="42">
        <f t="shared" si="0"/>
        <v>190</v>
      </c>
      <c r="G28" s="42">
        <f t="shared" si="1"/>
        <v>1900</v>
      </c>
      <c r="H28" s="42">
        <f t="shared" si="2"/>
        <v>190</v>
      </c>
      <c r="I28"/>
      <c r="J28">
        <v>660</v>
      </c>
      <c r="K28" s="34">
        <f t="shared" si="3"/>
        <v>66</v>
      </c>
      <c r="L28" s="42">
        <f t="shared" si="5"/>
        <v>660</v>
      </c>
      <c r="M28" s="34">
        <f t="shared" si="4"/>
        <v>66</v>
      </c>
    </row>
    <row r="29" spans="1:13" ht="12.75">
      <c r="A29" s="29"/>
      <c r="B29" s="29" t="s">
        <v>40</v>
      </c>
      <c r="C29" s="31">
        <v>0.1</v>
      </c>
      <c r="E29">
        <v>1700</v>
      </c>
      <c r="F29" s="42">
        <f t="shared" si="0"/>
        <v>170</v>
      </c>
      <c r="G29" s="42">
        <f t="shared" si="1"/>
        <v>1700</v>
      </c>
      <c r="H29" s="42">
        <f t="shared" si="2"/>
        <v>170</v>
      </c>
      <c r="I29"/>
      <c r="J29">
        <v>880</v>
      </c>
      <c r="K29" s="34">
        <f t="shared" si="3"/>
        <v>88</v>
      </c>
      <c r="L29" s="42">
        <f t="shared" si="5"/>
        <v>880</v>
      </c>
      <c r="M29" s="34">
        <f t="shared" si="4"/>
        <v>88</v>
      </c>
    </row>
    <row r="30" spans="1:13" ht="12.75">
      <c r="A30" s="29"/>
      <c r="B30" s="29" t="s">
        <v>41</v>
      </c>
      <c r="C30" s="31">
        <v>0.1</v>
      </c>
      <c r="E30">
        <v>390</v>
      </c>
      <c r="F30" s="42">
        <f t="shared" si="0"/>
        <v>39</v>
      </c>
      <c r="G30" s="42">
        <f t="shared" si="1"/>
        <v>390</v>
      </c>
      <c r="H30" s="42">
        <f t="shared" si="2"/>
        <v>39</v>
      </c>
      <c r="I30"/>
      <c r="J30">
        <v>220</v>
      </c>
      <c r="K30" s="34">
        <f t="shared" si="3"/>
        <v>22</v>
      </c>
      <c r="L30" s="42">
        <f t="shared" si="5"/>
        <v>220</v>
      </c>
      <c r="M30" s="34">
        <f t="shared" si="4"/>
        <v>22</v>
      </c>
    </row>
    <row r="31" spans="1:13" ht="12.75">
      <c r="A31" s="29"/>
      <c r="B31" s="29" t="s">
        <v>91</v>
      </c>
      <c r="C31" s="31">
        <v>0</v>
      </c>
      <c r="E31">
        <v>18000</v>
      </c>
      <c r="F31" s="42">
        <f t="shared" si="0"/>
        <v>0</v>
      </c>
      <c r="G31" s="42">
        <f>IF(E31=0,"",IF(D31="nd",E31/2,E31))</f>
        <v>18000</v>
      </c>
      <c r="H31" s="42">
        <f t="shared" si="2"/>
        <v>0</v>
      </c>
      <c r="I31"/>
      <c r="J31">
        <v>6700</v>
      </c>
      <c r="K31" s="34">
        <f t="shared" si="3"/>
        <v>0</v>
      </c>
      <c r="L31" s="42">
        <f>IF(J31=0,"",IF(I31="nd",J31/2,J31))</f>
        <v>6700</v>
      </c>
      <c r="M31" s="34">
        <f t="shared" si="4"/>
        <v>0</v>
      </c>
    </row>
    <row r="32" spans="1:13" ht="12.75">
      <c r="A32" s="29"/>
      <c r="B32" s="29" t="s">
        <v>42</v>
      </c>
      <c r="C32" s="31">
        <v>0.01</v>
      </c>
      <c r="E32">
        <v>6000</v>
      </c>
      <c r="F32" s="42">
        <f t="shared" si="0"/>
        <v>60</v>
      </c>
      <c r="G32" s="42">
        <f t="shared" si="1"/>
        <v>6000</v>
      </c>
      <c r="H32" s="42">
        <f t="shared" si="2"/>
        <v>60</v>
      </c>
      <c r="I32"/>
      <c r="J32">
        <v>2900</v>
      </c>
      <c r="K32" s="34">
        <f t="shared" si="3"/>
        <v>29</v>
      </c>
      <c r="L32" s="42">
        <f t="shared" si="5"/>
        <v>2900</v>
      </c>
      <c r="M32" s="34">
        <f t="shared" si="4"/>
        <v>29</v>
      </c>
    </row>
    <row r="33" spans="1:13" ht="12.75">
      <c r="A33" s="29"/>
      <c r="B33" s="29" t="s">
        <v>43</v>
      </c>
      <c r="C33" s="31">
        <v>0.01</v>
      </c>
      <c r="E33">
        <v>450</v>
      </c>
      <c r="F33" s="42">
        <f t="shared" si="0"/>
        <v>4.5</v>
      </c>
      <c r="G33" s="42">
        <f t="shared" si="1"/>
        <v>450</v>
      </c>
      <c r="H33" s="42">
        <f t="shared" si="2"/>
        <v>4.5</v>
      </c>
      <c r="I33"/>
      <c r="J33">
        <v>260</v>
      </c>
      <c r="K33" s="34">
        <f t="shared" si="3"/>
        <v>2.6</v>
      </c>
      <c r="L33" s="42">
        <f t="shared" si="5"/>
        <v>260</v>
      </c>
      <c r="M33" s="34">
        <f t="shared" si="4"/>
        <v>2.6</v>
      </c>
    </row>
    <row r="34" spans="1:13" ht="12.75">
      <c r="A34" s="29"/>
      <c r="B34" s="29" t="s">
        <v>92</v>
      </c>
      <c r="C34" s="31">
        <v>0</v>
      </c>
      <c r="E34">
        <v>9400</v>
      </c>
      <c r="F34" s="42">
        <f t="shared" si="0"/>
        <v>0</v>
      </c>
      <c r="G34" s="42">
        <f>IF(E34=0,"",IF(D34="nd",E34/2,E34))</f>
        <v>9400</v>
      </c>
      <c r="H34" s="42">
        <f t="shared" si="2"/>
        <v>0</v>
      </c>
      <c r="I34"/>
      <c r="J34">
        <v>4600</v>
      </c>
      <c r="K34" s="34">
        <f t="shared" si="3"/>
        <v>0</v>
      </c>
      <c r="L34" s="42">
        <f>IF(J34=0,"",IF(I34="nd",J34/2,J34))</f>
        <v>4600</v>
      </c>
      <c r="M34" s="34">
        <f t="shared" si="4"/>
        <v>0</v>
      </c>
    </row>
    <row r="35" spans="1:13" ht="12.75">
      <c r="A35" s="29"/>
      <c r="B35" s="29" t="s">
        <v>44</v>
      </c>
      <c r="C35" s="31">
        <v>0.001</v>
      </c>
      <c r="E35">
        <v>1600</v>
      </c>
      <c r="F35" s="42">
        <f t="shared" si="0"/>
        <v>1.6</v>
      </c>
      <c r="G35" s="42">
        <f t="shared" si="1"/>
        <v>1600</v>
      </c>
      <c r="H35" s="42">
        <f t="shared" si="2"/>
        <v>1.6</v>
      </c>
      <c r="I35"/>
      <c r="J35">
        <v>1200</v>
      </c>
      <c r="K35" s="34">
        <f t="shared" si="3"/>
        <v>1.2</v>
      </c>
      <c r="L35" s="42">
        <f t="shared" si="5"/>
        <v>1200</v>
      </c>
      <c r="M35" s="34">
        <f t="shared" si="4"/>
        <v>1.2</v>
      </c>
    </row>
    <row r="36" spans="1:13" ht="12.75">
      <c r="A36" s="29"/>
      <c r="B36" s="29"/>
      <c r="C36" s="29"/>
      <c r="D36" s="29"/>
      <c r="E36" s="34"/>
      <c r="F36" s="37"/>
      <c r="G36" s="34"/>
      <c r="H36" s="37"/>
      <c r="I36" s="54"/>
      <c r="J36" s="14"/>
      <c r="K36" s="32"/>
      <c r="L36" s="32"/>
      <c r="M36" s="32"/>
    </row>
    <row r="37" spans="1:13" ht="12.75">
      <c r="A37" s="29"/>
      <c r="B37" s="29" t="s">
        <v>45</v>
      </c>
      <c r="C37" s="29"/>
      <c r="D37" s="29"/>
      <c r="E37" s="34"/>
      <c r="F37">
        <v>113.941</v>
      </c>
      <c r="G37">
        <v>113.941</v>
      </c>
      <c r="H37">
        <v>113.941</v>
      </c>
      <c r="I37"/>
      <c r="K37">
        <v>111.916</v>
      </c>
      <c r="L37">
        <v>111.916</v>
      </c>
      <c r="M37">
        <v>111.916</v>
      </c>
    </row>
    <row r="38" spans="1:13" ht="12.75">
      <c r="A38" s="29"/>
      <c r="B38" s="29" t="s">
        <v>57</v>
      </c>
      <c r="C38" s="29"/>
      <c r="D38" s="29"/>
      <c r="E38" s="34"/>
      <c r="F38">
        <v>8.97</v>
      </c>
      <c r="G38">
        <v>8.97</v>
      </c>
      <c r="H38">
        <v>8.97</v>
      </c>
      <c r="I38"/>
      <c r="K38">
        <v>10.17</v>
      </c>
      <c r="L38">
        <v>10.17</v>
      </c>
      <c r="M38">
        <v>10.17</v>
      </c>
    </row>
    <row r="39" spans="1:13" ht="12.75">
      <c r="A39" s="29"/>
      <c r="B39" s="29"/>
      <c r="C39" s="29"/>
      <c r="D39" s="29"/>
      <c r="E39" s="34"/>
      <c r="F39" s="14"/>
      <c r="G39" s="34"/>
      <c r="H39" s="14"/>
      <c r="I39" s="48"/>
      <c r="J39" s="34"/>
      <c r="K39" s="35"/>
      <c r="L39" s="32"/>
      <c r="M39" s="35"/>
    </row>
    <row r="40" spans="1:13" ht="12.75">
      <c r="A40" s="29"/>
      <c r="B40" s="29" t="s">
        <v>93</v>
      </c>
      <c r="C40" s="37"/>
      <c r="D40" s="37"/>
      <c r="E40" s="32"/>
      <c r="F40" s="33">
        <f>SUM(F11:F35)/1000</f>
        <v>1.4319</v>
      </c>
      <c r="G40" s="32">
        <f>SUM(G35,G34,G31,G26,G23,G21,G20,G18,G14,G12)/1000</f>
        <v>63.72</v>
      </c>
      <c r="H40" s="33">
        <f>SUM(H11:H35)/1000</f>
        <v>1.4319</v>
      </c>
      <c r="I40" s="39"/>
      <c r="J40" s="32"/>
      <c r="K40" s="33">
        <f>SUM(K11:K35)/1000</f>
        <v>0.5846</v>
      </c>
      <c r="L40" s="32">
        <f>SUM(L35,L34,L31,L26,L23,L21,L20,L18,L14,L12)/1000</f>
        <v>27.59</v>
      </c>
      <c r="M40" s="33">
        <f>SUM(M11:M35)/1000</f>
        <v>0.5846</v>
      </c>
    </row>
    <row r="41" spans="1:13" ht="12.75">
      <c r="A41" s="29"/>
      <c r="B41" s="29" t="s">
        <v>46</v>
      </c>
      <c r="C41" s="37"/>
      <c r="D41" s="32">
        <f>(F41-H41)*2/F41*100</f>
        <v>0</v>
      </c>
      <c r="E41" s="34"/>
      <c r="F41" s="33">
        <f>(F40/F37/0.0283*(21-7)/(21-F38))</f>
        <v>0.5167834955373964</v>
      </c>
      <c r="G41" s="33">
        <f>(G40/G37/0.0283*(21-7)/(21-G38))</f>
        <v>22.997027959803685</v>
      </c>
      <c r="H41" s="33">
        <f>(H40/H37/0.0283*(21-7)/(21-H38))</f>
        <v>0.5167834955373964</v>
      </c>
      <c r="I41" s="32">
        <f>(K41-M41)*2/K41*100</f>
        <v>0</v>
      </c>
      <c r="J41" s="34"/>
      <c r="K41" s="33">
        <f>K40/K37/0.0283*(21-7)/(21-K38)</f>
        <v>0.23860512901128317</v>
      </c>
      <c r="L41" s="33">
        <f>(L40/L37/0.0283*(21-7)/(21-L38))</f>
        <v>11.260888657922173</v>
      </c>
      <c r="M41" s="33">
        <f>M40/M37/0.0283*(21-7)/(21-M38)</f>
        <v>0.23860512901128317</v>
      </c>
    </row>
    <row r="42" spans="1:13" ht="12.75">
      <c r="A42" s="29"/>
      <c r="B42" s="29"/>
      <c r="C42" s="29"/>
      <c r="D42" s="29"/>
      <c r="E42" s="33"/>
      <c r="F42" s="37"/>
      <c r="G42" s="33"/>
      <c r="H42" s="37"/>
      <c r="I42" s="55"/>
      <c r="J42" s="33"/>
      <c r="K42" s="33"/>
      <c r="L42" s="33"/>
      <c r="M42" s="33"/>
    </row>
    <row r="43" spans="1:13" ht="12.75">
      <c r="A43" s="34"/>
      <c r="B43" s="29" t="s">
        <v>58</v>
      </c>
      <c r="C43" s="33">
        <f>AVERAGE(H41,M41)</f>
        <v>0.3776943122743398</v>
      </c>
      <c r="D43" s="34"/>
      <c r="E43" s="34"/>
      <c r="F43" s="37"/>
      <c r="G43" s="34"/>
      <c r="H43" s="37"/>
      <c r="I43" s="54"/>
      <c r="J43" s="34"/>
      <c r="K43" s="34"/>
      <c r="L43" s="34"/>
      <c r="M43" s="34"/>
    </row>
    <row r="44" spans="1:13" ht="12.75">
      <c r="A44" s="29"/>
      <c r="B44" s="29" t="s">
        <v>59</v>
      </c>
      <c r="C44" s="33">
        <f>AVERAGE(G41,L41)</f>
        <v>17.128958308862927</v>
      </c>
      <c r="D44" s="29"/>
      <c r="E44" s="36"/>
      <c r="F44" s="37"/>
      <c r="G44" s="36"/>
      <c r="H44" s="37"/>
      <c r="I44" s="40"/>
      <c r="J44" s="36"/>
      <c r="K44" s="36"/>
      <c r="L44" s="36"/>
      <c r="M44" s="36"/>
    </row>
    <row r="85" spans="1:13" ht="12.75">
      <c r="A85" s="2"/>
      <c r="B85" s="2"/>
      <c r="C85" s="2"/>
      <c r="D85" s="2"/>
      <c r="E85" s="7"/>
      <c r="G85" s="7"/>
      <c r="J85" s="7"/>
      <c r="K85" s="6"/>
      <c r="L85" s="4"/>
      <c r="M85" s="6"/>
    </row>
    <row r="86" spans="1:13" ht="12.75">
      <c r="A86" s="2"/>
      <c r="B86" s="2"/>
      <c r="C86" s="3"/>
      <c r="D86" s="3"/>
      <c r="E86" s="4"/>
      <c r="F86" s="7"/>
      <c r="G86" s="4"/>
      <c r="H86" s="7"/>
      <c r="I86" s="56"/>
      <c r="J86" s="4"/>
      <c r="K86" s="4"/>
      <c r="L86" s="4"/>
      <c r="M86" s="4"/>
    </row>
    <row r="87" spans="1:13" ht="12.75">
      <c r="A87" s="2"/>
      <c r="B87" s="2"/>
      <c r="C87" s="3"/>
      <c r="D87" s="3"/>
      <c r="E87" s="7"/>
      <c r="F87" s="3"/>
      <c r="G87" s="5"/>
      <c r="H87" s="3"/>
      <c r="I87" s="56"/>
      <c r="J87" s="7"/>
      <c r="K87" s="3"/>
      <c r="L87" s="4"/>
      <c r="M87" s="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H2" sqref="H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8515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3" customWidth="1"/>
    <col min="11" max="11" width="9.28125" style="0" customWidth="1"/>
    <col min="13" max="13" width="9.28125" style="0" customWidth="1"/>
    <col min="14" max="14" width="2.8515625" style="0" customWidth="1"/>
    <col min="17" max="17" width="9.00390625" style="0" customWidth="1"/>
  </cols>
  <sheetData>
    <row r="1" spans="1:17" ht="12.75">
      <c r="A1" s="43" t="s">
        <v>66</v>
      </c>
      <c r="B1" s="29"/>
      <c r="C1" s="29"/>
      <c r="D1" s="29"/>
      <c r="E1" s="36"/>
      <c r="F1" s="37"/>
      <c r="G1" s="36"/>
      <c r="H1" s="37"/>
      <c r="I1" s="40"/>
      <c r="J1" s="36"/>
      <c r="K1" s="36"/>
      <c r="L1" s="36"/>
      <c r="M1" s="36"/>
      <c r="N1" s="36"/>
      <c r="O1" s="36"/>
      <c r="P1" s="36"/>
      <c r="Q1" s="36"/>
    </row>
    <row r="2" spans="1:17" ht="12.75">
      <c r="A2" s="29" t="s">
        <v>244</v>
      </c>
      <c r="B2" s="29"/>
      <c r="C2" s="29"/>
      <c r="D2" s="29"/>
      <c r="E2" s="36"/>
      <c r="F2" s="37"/>
      <c r="G2" s="36"/>
      <c r="H2" s="37"/>
      <c r="I2" s="40"/>
      <c r="J2" s="36"/>
      <c r="K2" s="36"/>
      <c r="L2" s="36"/>
      <c r="M2" s="36"/>
      <c r="N2" s="36"/>
      <c r="O2" s="36"/>
      <c r="P2" s="36"/>
      <c r="Q2" s="36"/>
    </row>
    <row r="3" spans="1:17" ht="12.75">
      <c r="A3" s="29" t="s">
        <v>20</v>
      </c>
      <c r="B3" s="29"/>
      <c r="C3" s="11" t="s">
        <v>142</v>
      </c>
      <c r="D3" s="11"/>
      <c r="E3" s="36"/>
      <c r="F3" s="37"/>
      <c r="G3" s="36"/>
      <c r="H3" s="37"/>
      <c r="I3" s="40"/>
      <c r="J3" s="36"/>
      <c r="K3" s="36"/>
      <c r="L3" s="36"/>
      <c r="M3" s="36"/>
      <c r="N3" s="36"/>
      <c r="O3" s="36"/>
      <c r="P3" s="36"/>
      <c r="Q3" s="36"/>
    </row>
    <row r="4" spans="1:17" ht="12.75">
      <c r="A4" s="29" t="s">
        <v>21</v>
      </c>
      <c r="B4" s="29"/>
      <c r="C4" s="11" t="s">
        <v>197</v>
      </c>
      <c r="D4" s="11"/>
      <c r="E4" s="38"/>
      <c r="F4" s="39"/>
      <c r="G4" s="38"/>
      <c r="H4" s="39"/>
      <c r="I4" s="40"/>
      <c r="J4" s="38"/>
      <c r="K4" s="38"/>
      <c r="L4" s="38"/>
      <c r="M4" s="38"/>
      <c r="N4" s="38"/>
      <c r="O4" s="38"/>
      <c r="P4" s="38"/>
      <c r="Q4" s="38"/>
    </row>
    <row r="5" spans="1:17" ht="12.75">
      <c r="A5" s="29" t="s">
        <v>22</v>
      </c>
      <c r="B5" s="29"/>
      <c r="C5" s="14" t="s">
        <v>240</v>
      </c>
      <c r="D5" s="14"/>
      <c r="E5" s="14"/>
      <c r="F5" s="14"/>
      <c r="G5" s="14"/>
      <c r="H5" s="14"/>
      <c r="I5" s="48"/>
      <c r="J5" s="14"/>
      <c r="K5" s="36"/>
      <c r="L5" s="14"/>
      <c r="M5" s="36"/>
      <c r="N5" s="36"/>
      <c r="O5" s="36"/>
      <c r="P5" s="36"/>
      <c r="Q5" s="36"/>
    </row>
    <row r="6" spans="1:17" ht="12.75">
      <c r="A6" s="29"/>
      <c r="B6" s="29"/>
      <c r="C6" s="31"/>
      <c r="D6" s="31"/>
      <c r="E6" s="40"/>
      <c r="F6" s="37"/>
      <c r="G6" s="40"/>
      <c r="H6" s="37"/>
      <c r="I6" s="40"/>
      <c r="J6" s="40"/>
      <c r="K6" s="36"/>
      <c r="L6" s="40"/>
      <c r="M6" s="36"/>
      <c r="N6" s="36"/>
      <c r="O6" s="40"/>
      <c r="P6" s="40"/>
      <c r="Q6" s="36"/>
    </row>
    <row r="7" spans="1:14" ht="12.75">
      <c r="A7" s="29"/>
      <c r="B7" s="29"/>
      <c r="C7" s="31" t="s">
        <v>23</v>
      </c>
      <c r="D7" s="31"/>
      <c r="E7" s="41" t="s">
        <v>53</v>
      </c>
      <c r="F7" s="41"/>
      <c r="G7" s="41"/>
      <c r="H7" s="41"/>
      <c r="I7" s="13"/>
      <c r="J7" s="41" t="s">
        <v>98</v>
      </c>
      <c r="K7" s="41"/>
      <c r="L7" s="41"/>
      <c r="M7" s="41"/>
      <c r="N7" s="13"/>
    </row>
    <row r="8" spans="1:14" ht="12.75">
      <c r="A8" s="29"/>
      <c r="B8" s="29"/>
      <c r="C8" s="31" t="s">
        <v>24</v>
      </c>
      <c r="D8" s="29"/>
      <c r="E8" s="40" t="s">
        <v>25</v>
      </c>
      <c r="F8" s="39" t="s">
        <v>26</v>
      </c>
      <c r="G8" s="40" t="s">
        <v>25</v>
      </c>
      <c r="H8" s="39" t="s">
        <v>26</v>
      </c>
      <c r="I8" s="40"/>
      <c r="J8" s="40" t="s">
        <v>25</v>
      </c>
      <c r="K8" s="40" t="s">
        <v>27</v>
      </c>
      <c r="L8" s="40" t="s">
        <v>25</v>
      </c>
      <c r="M8" s="40" t="s">
        <v>27</v>
      </c>
      <c r="N8" s="36"/>
    </row>
    <row r="9" spans="1:14" ht="12.75">
      <c r="A9" s="29"/>
      <c r="B9" s="29"/>
      <c r="C9" s="31"/>
      <c r="D9" s="29"/>
      <c r="E9" s="40" t="s">
        <v>238</v>
      </c>
      <c r="F9" s="40" t="s">
        <v>238</v>
      </c>
      <c r="G9" s="40" t="s">
        <v>65</v>
      </c>
      <c r="H9" s="39" t="s">
        <v>65</v>
      </c>
      <c r="I9" s="40"/>
      <c r="J9" s="40" t="s">
        <v>238</v>
      </c>
      <c r="K9" s="40" t="s">
        <v>238</v>
      </c>
      <c r="L9" s="40" t="s">
        <v>65</v>
      </c>
      <c r="M9" s="39" t="s">
        <v>65</v>
      </c>
      <c r="N9" s="36"/>
    </row>
    <row r="10" spans="1:17" ht="12.75">
      <c r="A10" s="29" t="s">
        <v>94</v>
      </c>
      <c r="B10" s="29"/>
      <c r="C10" s="29"/>
      <c r="D10" s="29"/>
      <c r="E10" s="36"/>
      <c r="F10" s="37"/>
      <c r="G10" s="36"/>
      <c r="H10" s="37"/>
      <c r="I10" s="40"/>
      <c r="J10" s="36"/>
      <c r="K10" s="36"/>
      <c r="L10" s="36"/>
      <c r="M10" s="36"/>
      <c r="N10" s="36"/>
      <c r="O10" s="32"/>
      <c r="P10" s="36"/>
      <c r="Q10" s="36"/>
    </row>
    <row r="11" spans="1:17" ht="12.75">
      <c r="A11" s="29"/>
      <c r="B11" s="29" t="s">
        <v>28</v>
      </c>
      <c r="C11" s="31">
        <v>1</v>
      </c>
      <c r="F11" s="34">
        <f aca="true" t="shared" si="0" ref="F11:F35">IF(E11="","",E11*$C11)</f>
      </c>
      <c r="G11" s="34">
        <f aca="true" t="shared" si="1" ref="G11:G35">IF(E11=0,"",IF(D11="nd",E11/2,E11))</f>
      </c>
      <c r="H11" s="34">
        <f aca="true" t="shared" si="2" ref="H11:H35">IF(G11="","",G11*$C11)</f>
      </c>
      <c r="I11"/>
      <c r="K11" s="34">
        <f aca="true" t="shared" si="3" ref="K11:K35">IF(J11="","",J11*$C11)</f>
      </c>
      <c r="L11" s="34">
        <f>IF(J11=0,"",IF(I11="nd",J11/2,J11))</f>
      </c>
      <c r="M11" s="34">
        <f aca="true" t="shared" si="4" ref="M11:M35">IF(L11="","",L11*$C11)</f>
      </c>
      <c r="P11" s="42">
        <f>IF(O11=0,"",IF(N11="nd",O11/2,O11))</f>
      </c>
      <c r="Q11" s="42">
        <f aca="true" t="shared" si="5" ref="Q11:Q35">IF(P11="","",P11*$C11)</f>
      </c>
    </row>
    <row r="12" spans="1:17" ht="12.75">
      <c r="A12" s="29"/>
      <c r="B12" s="29" t="s">
        <v>85</v>
      </c>
      <c r="C12" s="31">
        <v>0</v>
      </c>
      <c r="F12" s="42">
        <f t="shared" si="0"/>
      </c>
      <c r="G12" s="42">
        <f>IF(E12=0,"",IF(D12="nd",E12/2,E12))</f>
      </c>
      <c r="H12" s="42">
        <f t="shared" si="2"/>
      </c>
      <c r="I12"/>
      <c r="K12" s="34">
        <f t="shared" si="3"/>
      </c>
      <c r="L12" s="42">
        <f>IF(J12=0,"",IF(I12="nd",J12/2,J12))</f>
      </c>
      <c r="M12" s="34">
        <f t="shared" si="4"/>
      </c>
      <c r="P12" s="42">
        <f>IF(O12=0,"",IF(N12="nd",O12/2,O12))</f>
      </c>
      <c r="Q12" s="42">
        <f>IF(P12="","",P12*$C12)</f>
      </c>
    </row>
    <row r="13" spans="1:17" ht="12.75">
      <c r="A13" s="29"/>
      <c r="B13" s="29" t="s">
        <v>29</v>
      </c>
      <c r="C13" s="31">
        <v>0.5</v>
      </c>
      <c r="F13" s="34">
        <f t="shared" si="0"/>
      </c>
      <c r="G13" s="34">
        <f t="shared" si="1"/>
      </c>
      <c r="H13" s="34">
        <f t="shared" si="2"/>
      </c>
      <c r="I13"/>
      <c r="K13" s="34">
        <f t="shared" si="3"/>
      </c>
      <c r="L13" s="34">
        <f aca="true" t="shared" si="6" ref="L13:L35">IF(J13=0,"",IF(I13="nd",J13/2,J13))</f>
      </c>
      <c r="M13" s="34">
        <f t="shared" si="4"/>
      </c>
      <c r="P13" s="42">
        <f aca="true" t="shared" si="7" ref="P13:P35">IF(O13=0,"",IF(N13="nd",O13/2,O13))</f>
      </c>
      <c r="Q13" s="42">
        <f t="shared" si="5"/>
      </c>
    </row>
    <row r="14" spans="1:17" ht="12.75">
      <c r="A14" s="29"/>
      <c r="B14" s="29" t="s">
        <v>86</v>
      </c>
      <c r="C14" s="31">
        <v>0</v>
      </c>
      <c r="F14" s="42">
        <f t="shared" si="0"/>
      </c>
      <c r="G14" s="42">
        <f>IF(E14=0,"",IF(D14="nd",E14/2,E14))</f>
      </c>
      <c r="H14" s="42">
        <f t="shared" si="2"/>
      </c>
      <c r="I14"/>
      <c r="K14" s="34">
        <f t="shared" si="3"/>
      </c>
      <c r="L14" s="42">
        <f>IF(J14=0,"",IF(I14="nd",J14/2,J14))</f>
      </c>
      <c r="M14" s="34">
        <f t="shared" si="4"/>
      </c>
      <c r="P14" s="42">
        <f>IF(O14=0,"",IF(N14="nd",O14/2,O14))</f>
      </c>
      <c r="Q14" s="42">
        <f>IF(P14="","",P14*$C14)</f>
      </c>
    </row>
    <row r="15" spans="1:17" ht="12.75">
      <c r="A15" s="29"/>
      <c r="B15" s="29" t="s">
        <v>30</v>
      </c>
      <c r="C15" s="31">
        <v>0.1</v>
      </c>
      <c r="F15" s="34">
        <f t="shared" si="0"/>
      </c>
      <c r="G15" s="34">
        <f t="shared" si="1"/>
      </c>
      <c r="H15" s="34">
        <f t="shared" si="2"/>
      </c>
      <c r="I15"/>
      <c r="K15" s="34">
        <f t="shared" si="3"/>
      </c>
      <c r="L15" s="34">
        <f t="shared" si="6"/>
      </c>
      <c r="M15" s="34">
        <f t="shared" si="4"/>
      </c>
      <c r="P15" s="42">
        <f t="shared" si="7"/>
      </c>
      <c r="Q15" s="42">
        <f t="shared" si="5"/>
      </c>
    </row>
    <row r="16" spans="1:17" ht="12.75">
      <c r="A16" s="29"/>
      <c r="B16" s="29" t="s">
        <v>31</v>
      </c>
      <c r="C16" s="31">
        <v>0.1</v>
      </c>
      <c r="F16" s="34">
        <f t="shared" si="0"/>
      </c>
      <c r="G16" s="34">
        <f t="shared" si="1"/>
      </c>
      <c r="H16" s="34">
        <f t="shared" si="2"/>
      </c>
      <c r="I16"/>
      <c r="K16" s="34">
        <f t="shared" si="3"/>
      </c>
      <c r="L16" s="34">
        <f t="shared" si="6"/>
      </c>
      <c r="M16" s="34">
        <f t="shared" si="4"/>
      </c>
      <c r="P16" s="42">
        <f t="shared" si="7"/>
      </c>
      <c r="Q16" s="42">
        <f t="shared" si="5"/>
      </c>
    </row>
    <row r="17" spans="1:17" ht="12.75">
      <c r="A17" s="29"/>
      <c r="B17" s="29" t="s">
        <v>32</v>
      </c>
      <c r="C17" s="31">
        <v>0.1</v>
      </c>
      <c r="F17" s="34">
        <f t="shared" si="0"/>
      </c>
      <c r="G17" s="34">
        <f t="shared" si="1"/>
      </c>
      <c r="H17" s="34">
        <f t="shared" si="2"/>
      </c>
      <c r="I17"/>
      <c r="K17" s="34">
        <f t="shared" si="3"/>
      </c>
      <c r="L17" s="34">
        <f t="shared" si="6"/>
      </c>
      <c r="M17" s="34">
        <f t="shared" si="4"/>
      </c>
      <c r="P17" s="42">
        <f t="shared" si="7"/>
      </c>
      <c r="Q17" s="42">
        <f t="shared" si="5"/>
      </c>
    </row>
    <row r="18" spans="1:17" ht="12.75">
      <c r="A18" s="29"/>
      <c r="B18" s="29" t="s">
        <v>87</v>
      </c>
      <c r="C18" s="31">
        <v>0</v>
      </c>
      <c r="F18" s="42">
        <f t="shared" si="0"/>
      </c>
      <c r="G18" s="42">
        <f>IF(E18=0,"",IF(D18="nd",E18/2,E18))</f>
      </c>
      <c r="H18" s="42">
        <f t="shared" si="2"/>
      </c>
      <c r="I18"/>
      <c r="K18" s="34">
        <f t="shared" si="3"/>
      </c>
      <c r="L18" s="42">
        <f>IF(J18=0,"",IF(I18="nd",J18/2,J18))</f>
      </c>
      <c r="M18" s="34">
        <f t="shared" si="4"/>
      </c>
      <c r="P18" s="42">
        <f>IF(O18=0,"",IF(N18="nd",O18/2,O18))</f>
      </c>
      <c r="Q18" s="42">
        <f>IF(P18="","",P18*$C18)</f>
      </c>
    </row>
    <row r="19" spans="1:17" ht="12.75">
      <c r="A19" s="29"/>
      <c r="B19" s="29" t="s">
        <v>33</v>
      </c>
      <c r="C19" s="31">
        <v>0.01</v>
      </c>
      <c r="F19" s="34">
        <f t="shared" si="0"/>
      </c>
      <c r="G19" s="34">
        <f t="shared" si="1"/>
      </c>
      <c r="H19" s="34">
        <f t="shared" si="2"/>
      </c>
      <c r="I19"/>
      <c r="K19" s="34">
        <f t="shared" si="3"/>
      </c>
      <c r="L19" s="34">
        <f t="shared" si="6"/>
      </c>
      <c r="M19" s="34">
        <f t="shared" si="4"/>
      </c>
      <c r="P19" s="42">
        <f t="shared" si="7"/>
      </c>
      <c r="Q19" s="42">
        <f t="shared" si="5"/>
      </c>
    </row>
    <row r="20" spans="1:17" ht="12.75">
      <c r="A20" s="29"/>
      <c r="B20" s="29" t="s">
        <v>88</v>
      </c>
      <c r="C20" s="31">
        <v>0</v>
      </c>
      <c r="F20" s="42">
        <f t="shared" si="0"/>
      </c>
      <c r="G20" s="42">
        <f>IF(E20=0,"",IF(D20="nd",E20/2,E20))</f>
      </c>
      <c r="H20" s="42">
        <f t="shared" si="2"/>
      </c>
      <c r="I20"/>
      <c r="K20" s="34">
        <f t="shared" si="3"/>
      </c>
      <c r="L20" s="42">
        <f>IF(J20=0,"",IF(I20="nd",J20/2,J20))</f>
      </c>
      <c r="M20" s="34">
        <f t="shared" si="4"/>
      </c>
      <c r="P20" s="42">
        <f>IF(O20=0,"",IF(N20="nd",O20/2,O20))</f>
      </c>
      <c r="Q20" s="42">
        <f>IF(P20="","",P20*$C20)</f>
      </c>
    </row>
    <row r="21" spans="1:17" ht="12.75">
      <c r="A21" s="29"/>
      <c r="B21" s="29" t="s">
        <v>34</v>
      </c>
      <c r="C21" s="31">
        <v>0.001</v>
      </c>
      <c r="F21" s="34">
        <f t="shared" si="0"/>
      </c>
      <c r="G21" s="34">
        <f t="shared" si="1"/>
      </c>
      <c r="H21" s="34">
        <f t="shared" si="2"/>
      </c>
      <c r="I21"/>
      <c r="K21" s="34">
        <f t="shared" si="3"/>
      </c>
      <c r="L21" s="42">
        <f t="shared" si="6"/>
      </c>
      <c r="M21" s="34">
        <f t="shared" si="4"/>
      </c>
      <c r="P21" s="42">
        <f t="shared" si="7"/>
      </c>
      <c r="Q21" s="42">
        <f t="shared" si="5"/>
      </c>
    </row>
    <row r="22" spans="1:17" ht="12.75">
      <c r="A22" s="29"/>
      <c r="B22" s="29" t="s">
        <v>35</v>
      </c>
      <c r="C22" s="31">
        <v>0.1</v>
      </c>
      <c r="F22" s="34">
        <f t="shared" si="0"/>
      </c>
      <c r="G22" s="34">
        <f t="shared" si="1"/>
      </c>
      <c r="H22" s="34">
        <f t="shared" si="2"/>
      </c>
      <c r="I22"/>
      <c r="K22" s="34">
        <f t="shared" si="3"/>
      </c>
      <c r="L22" s="42">
        <f t="shared" si="6"/>
      </c>
      <c r="M22" s="34">
        <f t="shared" si="4"/>
      </c>
      <c r="P22" s="42">
        <f t="shared" si="7"/>
      </c>
      <c r="Q22" s="42">
        <f t="shared" si="5"/>
      </c>
    </row>
    <row r="23" spans="1:17" ht="12.75">
      <c r="A23" s="29"/>
      <c r="B23" s="29" t="s">
        <v>89</v>
      </c>
      <c r="C23" s="31">
        <v>0</v>
      </c>
      <c r="F23" s="42">
        <f t="shared" si="0"/>
      </c>
      <c r="G23" s="42">
        <f>IF(E23=0,"",IF(D23="nd",E23/2,E23))</f>
      </c>
      <c r="H23" s="42">
        <f t="shared" si="2"/>
      </c>
      <c r="I23"/>
      <c r="K23" s="34">
        <f t="shared" si="3"/>
      </c>
      <c r="L23" s="42">
        <f>IF(J23=0,"",IF(I23="nd",J23/2,J23))</f>
      </c>
      <c r="M23" s="34">
        <f t="shared" si="4"/>
      </c>
      <c r="P23" s="42">
        <f>IF(O23=0,"",IF(N23="nd",O23/2,O23))</f>
      </c>
      <c r="Q23" s="42">
        <f>IF(P23="","",P23*$C23)</f>
      </c>
    </row>
    <row r="24" spans="1:17" ht="12.75">
      <c r="A24" s="29"/>
      <c r="B24" s="29" t="s">
        <v>36</v>
      </c>
      <c r="C24" s="31">
        <v>0.05</v>
      </c>
      <c r="F24" s="42">
        <f t="shared" si="0"/>
      </c>
      <c r="G24" s="42">
        <f t="shared" si="1"/>
      </c>
      <c r="H24" s="42">
        <f t="shared" si="2"/>
      </c>
      <c r="I24"/>
      <c r="K24" s="34">
        <f t="shared" si="3"/>
      </c>
      <c r="L24" s="42">
        <f t="shared" si="6"/>
      </c>
      <c r="M24" s="34">
        <f t="shared" si="4"/>
      </c>
      <c r="P24" s="42">
        <f t="shared" si="7"/>
      </c>
      <c r="Q24" s="42">
        <f t="shared" si="5"/>
      </c>
    </row>
    <row r="25" spans="1:17" ht="12.75">
      <c r="A25" s="29"/>
      <c r="B25" s="29" t="s">
        <v>37</v>
      </c>
      <c r="C25" s="31">
        <v>0.5</v>
      </c>
      <c r="F25" s="42">
        <f t="shared" si="0"/>
      </c>
      <c r="G25" s="42">
        <f t="shared" si="1"/>
      </c>
      <c r="H25" s="42">
        <f t="shared" si="2"/>
      </c>
      <c r="I25"/>
      <c r="K25" s="34">
        <f t="shared" si="3"/>
      </c>
      <c r="L25" s="42">
        <f t="shared" si="6"/>
      </c>
      <c r="M25" s="34">
        <f t="shared" si="4"/>
      </c>
      <c r="P25" s="42">
        <f t="shared" si="7"/>
      </c>
      <c r="Q25" s="42">
        <f t="shared" si="5"/>
      </c>
    </row>
    <row r="26" spans="1:17" ht="12.75">
      <c r="A26" s="29"/>
      <c r="B26" s="29" t="s">
        <v>90</v>
      </c>
      <c r="C26" s="31">
        <v>0</v>
      </c>
      <c r="F26" s="42">
        <f t="shared" si="0"/>
      </c>
      <c r="G26" s="42">
        <f>IF(E26=0,"",IF(D26="nd",E26/2,E26))</f>
      </c>
      <c r="H26" s="42">
        <f t="shared" si="2"/>
      </c>
      <c r="I26"/>
      <c r="K26" s="34">
        <f t="shared" si="3"/>
      </c>
      <c r="L26" s="42">
        <f>IF(J26=0,"",IF(I26="nd",J26/2,J26))</f>
      </c>
      <c r="M26" s="34">
        <f t="shared" si="4"/>
      </c>
      <c r="P26" s="42">
        <f>IF(O26=0,"",IF(N26="nd",O26/2,O26))</f>
      </c>
      <c r="Q26" s="42">
        <f>IF(P26="","",P26*$C26)</f>
      </c>
    </row>
    <row r="27" spans="1:17" ht="12.75">
      <c r="A27" s="29"/>
      <c r="B27" s="29" t="s">
        <v>38</v>
      </c>
      <c r="C27" s="31">
        <v>0.1</v>
      </c>
      <c r="F27" s="42">
        <f t="shared" si="0"/>
      </c>
      <c r="G27" s="42">
        <f t="shared" si="1"/>
      </c>
      <c r="H27" s="42">
        <f t="shared" si="2"/>
      </c>
      <c r="I27"/>
      <c r="K27" s="34">
        <f t="shared" si="3"/>
      </c>
      <c r="L27" s="42">
        <f t="shared" si="6"/>
      </c>
      <c r="M27" s="34">
        <f t="shared" si="4"/>
      </c>
      <c r="P27" s="42">
        <f t="shared" si="7"/>
      </c>
      <c r="Q27" s="42">
        <f t="shared" si="5"/>
      </c>
    </row>
    <row r="28" spans="1:17" ht="12.75">
      <c r="A28" s="29"/>
      <c r="B28" s="29" t="s">
        <v>39</v>
      </c>
      <c r="C28" s="31">
        <v>0.1</v>
      </c>
      <c r="F28" s="42">
        <f t="shared" si="0"/>
      </c>
      <c r="G28" s="42">
        <f t="shared" si="1"/>
      </c>
      <c r="H28" s="42">
        <f t="shared" si="2"/>
      </c>
      <c r="I28"/>
      <c r="K28" s="34">
        <f t="shared" si="3"/>
      </c>
      <c r="L28" s="42">
        <f t="shared" si="6"/>
      </c>
      <c r="M28" s="34">
        <f t="shared" si="4"/>
      </c>
      <c r="P28" s="42">
        <f t="shared" si="7"/>
      </c>
      <c r="Q28" s="42">
        <f t="shared" si="5"/>
      </c>
    </row>
    <row r="29" spans="1:17" ht="12.75">
      <c r="A29" s="29"/>
      <c r="B29" s="29" t="s">
        <v>40</v>
      </c>
      <c r="C29" s="31">
        <v>0.1</v>
      </c>
      <c r="F29" s="42">
        <f t="shared" si="0"/>
      </c>
      <c r="G29" s="42">
        <f t="shared" si="1"/>
      </c>
      <c r="H29" s="42">
        <f t="shared" si="2"/>
      </c>
      <c r="I29"/>
      <c r="K29" s="34">
        <f t="shared" si="3"/>
      </c>
      <c r="L29" s="42">
        <f t="shared" si="6"/>
      </c>
      <c r="M29" s="34">
        <f t="shared" si="4"/>
      </c>
      <c r="P29" s="42">
        <f t="shared" si="7"/>
      </c>
      <c r="Q29" s="42">
        <f t="shared" si="5"/>
      </c>
    </row>
    <row r="30" spans="1:17" ht="12.75">
      <c r="A30" s="29"/>
      <c r="B30" s="29" t="s">
        <v>41</v>
      </c>
      <c r="C30" s="31">
        <v>0.1</v>
      </c>
      <c r="F30" s="42">
        <f t="shared" si="0"/>
      </c>
      <c r="G30" s="42">
        <f t="shared" si="1"/>
      </c>
      <c r="H30" s="42">
        <f t="shared" si="2"/>
      </c>
      <c r="I30"/>
      <c r="K30" s="34">
        <f t="shared" si="3"/>
      </c>
      <c r="L30" s="42">
        <f t="shared" si="6"/>
      </c>
      <c r="M30" s="34">
        <f t="shared" si="4"/>
      </c>
      <c r="P30" s="42">
        <f t="shared" si="7"/>
      </c>
      <c r="Q30" s="42">
        <f t="shared" si="5"/>
      </c>
    </row>
    <row r="31" spans="1:17" ht="12.75">
      <c r="A31" s="29"/>
      <c r="B31" s="29" t="s">
        <v>91</v>
      </c>
      <c r="C31" s="31">
        <v>0</v>
      </c>
      <c r="F31" s="42">
        <f t="shared" si="0"/>
      </c>
      <c r="G31" s="42">
        <f>IF(E31=0,"",IF(D31="nd",E31/2,E31))</f>
      </c>
      <c r="H31" s="42">
        <f t="shared" si="2"/>
      </c>
      <c r="I31"/>
      <c r="K31" s="34">
        <f t="shared" si="3"/>
      </c>
      <c r="L31" s="42">
        <f>IF(J31=0,"",IF(I31="nd",J31/2,J31))</f>
      </c>
      <c r="M31" s="34">
        <f t="shared" si="4"/>
      </c>
      <c r="P31" s="42">
        <f>IF(O31=0,"",IF(N31="nd",O31/2,O31))</f>
      </c>
      <c r="Q31" s="42">
        <f>IF(P31="","",P31*$C31)</f>
      </c>
    </row>
    <row r="32" spans="1:17" ht="12.75">
      <c r="A32" s="29"/>
      <c r="B32" s="29" t="s">
        <v>42</v>
      </c>
      <c r="C32" s="31">
        <v>0.01</v>
      </c>
      <c r="F32" s="42">
        <f t="shared" si="0"/>
      </c>
      <c r="G32" s="42">
        <f t="shared" si="1"/>
      </c>
      <c r="H32" s="42">
        <f t="shared" si="2"/>
      </c>
      <c r="I32"/>
      <c r="K32" s="34">
        <f t="shared" si="3"/>
      </c>
      <c r="L32" s="42">
        <f t="shared" si="6"/>
      </c>
      <c r="M32" s="34">
        <f t="shared" si="4"/>
      </c>
      <c r="P32" s="42">
        <f t="shared" si="7"/>
      </c>
      <c r="Q32" s="42">
        <f t="shared" si="5"/>
      </c>
    </row>
    <row r="33" spans="1:17" ht="12.75">
      <c r="A33" s="29"/>
      <c r="B33" s="29" t="s">
        <v>43</v>
      </c>
      <c r="C33" s="31">
        <v>0.01</v>
      </c>
      <c r="F33" s="42">
        <f t="shared" si="0"/>
      </c>
      <c r="G33" s="42">
        <f t="shared" si="1"/>
      </c>
      <c r="H33" s="42">
        <f t="shared" si="2"/>
      </c>
      <c r="I33"/>
      <c r="K33" s="34">
        <f t="shared" si="3"/>
      </c>
      <c r="L33" s="42">
        <f t="shared" si="6"/>
      </c>
      <c r="M33" s="34">
        <f t="shared" si="4"/>
      </c>
      <c r="P33" s="42">
        <f t="shared" si="7"/>
      </c>
      <c r="Q33" s="42">
        <f t="shared" si="5"/>
      </c>
    </row>
    <row r="34" spans="1:17" ht="12.75">
      <c r="A34" s="29"/>
      <c r="B34" s="29" t="s">
        <v>92</v>
      </c>
      <c r="C34" s="31">
        <v>0</v>
      </c>
      <c r="F34" s="42">
        <f t="shared" si="0"/>
      </c>
      <c r="G34" s="42">
        <f>IF(E34=0,"",IF(D34="nd",E34/2,E34))</f>
      </c>
      <c r="H34" s="42">
        <f t="shared" si="2"/>
      </c>
      <c r="I34"/>
      <c r="K34" s="34">
        <f t="shared" si="3"/>
      </c>
      <c r="L34" s="42">
        <f>IF(J34=0,"",IF(I34="nd",J34/2,J34))</f>
      </c>
      <c r="M34" s="34">
        <f t="shared" si="4"/>
      </c>
      <c r="P34" s="42">
        <f>IF(O34=0,"",IF(N34="nd",O34/2,O34))</f>
      </c>
      <c r="Q34" s="42">
        <f>IF(P34="","",P34*$C34)</f>
      </c>
    </row>
    <row r="35" spans="1:17" ht="12.75">
      <c r="A35" s="29"/>
      <c r="B35" s="29" t="s">
        <v>44</v>
      </c>
      <c r="C35" s="31">
        <v>0.001</v>
      </c>
      <c r="F35" s="42">
        <f t="shared" si="0"/>
      </c>
      <c r="G35" s="42">
        <f t="shared" si="1"/>
      </c>
      <c r="H35" s="42">
        <f t="shared" si="2"/>
      </c>
      <c r="I35"/>
      <c r="K35" s="34">
        <f t="shared" si="3"/>
      </c>
      <c r="L35" s="42">
        <f t="shared" si="6"/>
      </c>
      <c r="M35" s="34">
        <f t="shared" si="4"/>
      </c>
      <c r="P35" s="42">
        <f t="shared" si="7"/>
      </c>
      <c r="Q35" s="42">
        <f t="shared" si="5"/>
      </c>
    </row>
    <row r="36" spans="1:17" ht="12.75">
      <c r="A36" s="29"/>
      <c r="B36" s="29"/>
      <c r="C36" s="29"/>
      <c r="D36" s="29"/>
      <c r="E36" s="34"/>
      <c r="F36" s="37"/>
      <c r="G36" s="34"/>
      <c r="H36" s="37"/>
      <c r="I36" s="54"/>
      <c r="J36" s="14"/>
      <c r="K36" s="32"/>
      <c r="L36" s="32"/>
      <c r="M36" s="32"/>
      <c r="N36" s="34"/>
      <c r="O36" s="14"/>
      <c r="P36" s="34"/>
      <c r="Q36" s="36"/>
    </row>
    <row r="37" spans="1:17" ht="12.75">
      <c r="A37" s="29"/>
      <c r="B37" s="29" t="s">
        <v>45</v>
      </c>
      <c r="C37" s="29"/>
      <c r="D37" s="29"/>
      <c r="E37" s="34"/>
      <c r="I37"/>
      <c r="N37" s="34"/>
      <c r="O37" s="34"/>
      <c r="P37" s="34"/>
      <c r="Q37" s="34"/>
    </row>
    <row r="38" spans="1:17" ht="12.75">
      <c r="A38" s="29"/>
      <c r="B38" s="29" t="s">
        <v>57</v>
      </c>
      <c r="C38" s="29"/>
      <c r="D38" s="29"/>
      <c r="E38" s="34"/>
      <c r="I38"/>
      <c r="N38" s="34"/>
      <c r="O38" s="34"/>
      <c r="P38" s="34"/>
      <c r="Q38" s="34"/>
    </row>
    <row r="39" spans="1:17" ht="12.75">
      <c r="A39" s="29"/>
      <c r="B39" s="29"/>
      <c r="C39" s="29"/>
      <c r="D39" s="29"/>
      <c r="E39" s="34"/>
      <c r="I39"/>
      <c r="N39" s="34"/>
      <c r="O39" s="34"/>
      <c r="P39" s="34"/>
      <c r="Q39" s="34"/>
    </row>
    <row r="40" spans="1:17" ht="12.75">
      <c r="A40" s="29"/>
      <c r="B40" s="29" t="s">
        <v>93</v>
      </c>
      <c r="C40" s="37"/>
      <c r="D40" s="37"/>
      <c r="E40" s="32"/>
      <c r="I40"/>
      <c r="N40" s="37"/>
      <c r="O40" s="34"/>
      <c r="P40" s="32"/>
      <c r="Q40" s="34"/>
    </row>
    <row r="41" spans="1:17" ht="12.75">
      <c r="A41" s="29"/>
      <c r="B41" s="29" t="s">
        <v>46</v>
      </c>
      <c r="C41" s="37"/>
      <c r="D41" s="32"/>
      <c r="E41" s="34"/>
      <c r="F41" s="64"/>
      <c r="I41"/>
      <c r="N41" s="37"/>
      <c r="O41" s="34"/>
      <c r="P41" s="34"/>
      <c r="Q41" s="34"/>
    </row>
    <row r="42" spans="1:17" ht="12.75">
      <c r="A42" s="29"/>
      <c r="B42" s="29"/>
      <c r="C42" s="29"/>
      <c r="D42" s="29"/>
      <c r="E42" s="33"/>
      <c r="F42" s="37"/>
      <c r="G42" s="33"/>
      <c r="H42" s="37"/>
      <c r="I42" s="55"/>
      <c r="J42" s="33"/>
      <c r="K42" s="33"/>
      <c r="L42" s="33"/>
      <c r="M42" s="33"/>
      <c r="N42" s="33"/>
      <c r="O42" s="33"/>
      <c r="P42" s="33"/>
      <c r="Q42" s="36"/>
    </row>
    <row r="43" spans="1:17" ht="12.75">
      <c r="A43" s="34"/>
      <c r="B43" s="29" t="s">
        <v>58</v>
      </c>
      <c r="C43" s="32">
        <v>16</v>
      </c>
      <c r="D43" s="34"/>
      <c r="E43" s="34"/>
      <c r="F43" s="37"/>
      <c r="G43" s="34"/>
      <c r="H43" s="37"/>
      <c r="I43" s="54"/>
      <c r="J43" s="34"/>
      <c r="K43" s="34"/>
      <c r="L43" s="34"/>
      <c r="M43" s="34"/>
      <c r="N43" s="34"/>
      <c r="O43" s="34"/>
      <c r="P43" s="34"/>
      <c r="Q43" s="36"/>
    </row>
    <row r="44" spans="1:17" ht="12.75">
      <c r="A44" s="29"/>
      <c r="B44" s="29" t="s">
        <v>59</v>
      </c>
      <c r="C44" s="37"/>
      <c r="D44" s="29"/>
      <c r="E44" s="36"/>
      <c r="F44" s="37"/>
      <c r="G44" s="36"/>
      <c r="H44" s="37"/>
      <c r="I44" s="40"/>
      <c r="J44" s="36"/>
      <c r="K44" s="36"/>
      <c r="L44" s="36"/>
      <c r="M44" s="36"/>
      <c r="N44" s="36"/>
      <c r="O44" s="36"/>
      <c r="P44" s="36"/>
      <c r="Q44" s="36"/>
    </row>
    <row r="85" spans="1:17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</row>
    <row r="86" spans="1:17" ht="12.75">
      <c r="A86" s="2"/>
      <c r="B86" s="2"/>
      <c r="C86" s="3"/>
      <c r="D86" s="3"/>
      <c r="E86" s="4"/>
      <c r="F86" s="7"/>
      <c r="G86" s="4"/>
      <c r="H86" s="7"/>
      <c r="I86" s="56"/>
      <c r="J86" s="4"/>
      <c r="K86" s="4"/>
      <c r="L86" s="4"/>
      <c r="M86" s="4"/>
      <c r="N86" s="3"/>
      <c r="O86" s="7"/>
      <c r="P86" s="3"/>
      <c r="Q86" s="3"/>
    </row>
    <row r="87" spans="1:17" ht="12.75">
      <c r="A87" s="2"/>
      <c r="B87" s="2"/>
      <c r="C87" s="3"/>
      <c r="D87" s="3"/>
      <c r="E87" s="7"/>
      <c r="F87" s="3"/>
      <c r="G87" s="5"/>
      <c r="H87" s="3"/>
      <c r="I87" s="56"/>
      <c r="J87" s="7"/>
      <c r="K87" s="3"/>
      <c r="L87" s="4"/>
      <c r="M87" s="3"/>
      <c r="N87" s="3"/>
      <c r="O87" s="7"/>
      <c r="P87" s="5"/>
      <c r="Q87" s="5"/>
    </row>
  </sheetData>
  <printOptions headings="1" horizontalCentered="1"/>
  <pageMargins left="0.25" right="0.25" top="0.5" bottom="0.5" header="0.25" footer="0.25"/>
  <pageSetup horizontalDpi="1200" verticalDpi="1200" orientation="landscape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tabSelected="1" workbookViewId="0" topLeftCell="B1">
      <selection activeCell="C2" sqref="C2"/>
    </sheetView>
  </sheetViews>
  <sheetFormatPr defaultColWidth="9.140625" defaultRowHeight="12.75"/>
  <cols>
    <col min="1" max="1" width="3.140625" style="1" hidden="1" customWidth="1"/>
    <col min="2" max="2" width="25.421875" style="1" customWidth="1"/>
    <col min="3" max="3" width="58.421875" style="1" customWidth="1"/>
    <col min="4" max="16384" width="8.8515625" style="1" customWidth="1"/>
  </cols>
  <sheetData>
    <row r="1" spans="2:12" ht="12.75">
      <c r="B1" s="8" t="s">
        <v>72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2.75">
      <c r="B3" s="14" t="s">
        <v>96</v>
      </c>
      <c r="C3" s="15">
        <v>340</v>
      </c>
      <c r="D3" s="14"/>
      <c r="E3" s="14"/>
      <c r="F3" s="14"/>
      <c r="G3" s="14"/>
      <c r="H3" s="14"/>
      <c r="I3" s="14"/>
      <c r="J3" s="14"/>
      <c r="K3" s="14"/>
      <c r="L3" s="14"/>
    </row>
    <row r="4" spans="2:12" ht="12.75">
      <c r="B4" s="14" t="s">
        <v>0</v>
      </c>
      <c r="C4" s="14" t="s">
        <v>190</v>
      </c>
      <c r="D4" s="14"/>
      <c r="E4" s="14"/>
      <c r="F4" s="14"/>
      <c r="G4" s="14"/>
      <c r="H4" s="14"/>
      <c r="I4" s="14"/>
      <c r="J4" s="14"/>
      <c r="K4" s="14"/>
      <c r="L4" s="14"/>
    </row>
    <row r="5" spans="2:12" ht="12.75">
      <c r="B5" s="14" t="s">
        <v>1</v>
      </c>
      <c r="C5" s="14" t="s">
        <v>113</v>
      </c>
      <c r="D5" s="14"/>
      <c r="E5" s="14"/>
      <c r="F5" s="14"/>
      <c r="G5" s="14"/>
      <c r="H5" s="14"/>
      <c r="I5" s="14"/>
      <c r="J5" s="14"/>
      <c r="K5" s="14"/>
      <c r="L5" s="14"/>
    </row>
    <row r="6" spans="2:12" ht="12.75">
      <c r="B6" s="14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12.75">
      <c r="B7" s="14" t="s">
        <v>3</v>
      </c>
      <c r="C7" s="14" t="s">
        <v>114</v>
      </c>
      <c r="D7" s="14"/>
      <c r="E7" s="14"/>
      <c r="F7" s="14"/>
      <c r="G7" s="14"/>
      <c r="H7" s="14"/>
      <c r="I7" s="14"/>
      <c r="J7" s="14"/>
      <c r="K7" s="14"/>
      <c r="L7" s="14"/>
    </row>
    <row r="8" spans="2:12" ht="12.75">
      <c r="B8" s="14" t="s">
        <v>4</v>
      </c>
      <c r="C8" s="14" t="s">
        <v>115</v>
      </c>
      <c r="D8" s="14"/>
      <c r="E8" s="14"/>
      <c r="F8" s="14"/>
      <c r="G8" s="14"/>
      <c r="H8" s="14"/>
      <c r="I8" s="14"/>
      <c r="J8" s="14"/>
      <c r="K8" s="14"/>
      <c r="L8" s="14"/>
    </row>
    <row r="9" spans="2:12" ht="12.75">
      <c r="B9" s="14" t="s">
        <v>5</v>
      </c>
      <c r="C9" s="14" t="s">
        <v>140</v>
      </c>
      <c r="D9" s="14"/>
      <c r="E9" s="14"/>
      <c r="F9" s="14"/>
      <c r="G9" s="14"/>
      <c r="H9" s="14"/>
      <c r="I9" s="14"/>
      <c r="J9" s="14"/>
      <c r="K9" s="14"/>
      <c r="L9" s="14"/>
    </row>
    <row r="10" spans="2:12" ht="12.75">
      <c r="B10" s="14" t="s">
        <v>6</v>
      </c>
      <c r="C10" s="14" t="s">
        <v>141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2.75">
      <c r="B11" s="14" t="s">
        <v>204</v>
      </c>
      <c r="C11" s="15">
        <v>0</v>
      </c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12.75">
      <c r="B12" s="14" t="s">
        <v>183</v>
      </c>
      <c r="C12" s="1" t="s">
        <v>220</v>
      </c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2.75">
      <c r="B13" s="14" t="s">
        <v>184</v>
      </c>
      <c r="C13" s="14" t="s">
        <v>221</v>
      </c>
      <c r="D13" s="14"/>
      <c r="E13" s="14"/>
      <c r="F13" s="14"/>
      <c r="G13" s="14"/>
      <c r="H13" s="14"/>
      <c r="I13" s="14"/>
      <c r="J13" s="14"/>
      <c r="K13" s="14"/>
      <c r="L13" s="14"/>
    </row>
    <row r="14" spans="2:12" s="45" customFormat="1" ht="12.75">
      <c r="B14" s="44" t="s">
        <v>62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2:12" s="45" customFormat="1" ht="12.7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2:12" s="45" customFormat="1" ht="12.75">
      <c r="B16" s="44" t="s">
        <v>69</v>
      </c>
      <c r="C16" s="46"/>
      <c r="D16" s="44"/>
      <c r="E16" s="44"/>
      <c r="F16" s="44"/>
      <c r="G16" s="44"/>
      <c r="H16" s="44"/>
      <c r="I16" s="44"/>
      <c r="J16" s="44"/>
      <c r="K16" s="44"/>
      <c r="L16" s="44"/>
    </row>
    <row r="17" spans="2:12" s="45" customFormat="1" ht="12.75">
      <c r="B17" s="14" t="s">
        <v>73</v>
      </c>
      <c r="C17" s="44"/>
      <c r="F17" s="44"/>
      <c r="G17" s="44"/>
      <c r="H17" s="44"/>
      <c r="I17" s="44"/>
      <c r="J17" s="44"/>
      <c r="K17" s="44"/>
      <c r="L17" s="44"/>
    </row>
    <row r="18" spans="2:12" s="45" customFormat="1" ht="12.75">
      <c r="B18" s="14" t="s">
        <v>205</v>
      </c>
      <c r="C18" s="44" t="s">
        <v>144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2:12" s="45" customFormat="1" ht="12.75">
      <c r="B19" s="14" t="s">
        <v>206</v>
      </c>
      <c r="C19" s="44" t="s">
        <v>207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25.5">
      <c r="B20" s="44" t="s">
        <v>7</v>
      </c>
      <c r="C20" s="44" t="s">
        <v>196</v>
      </c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12.75">
      <c r="B21" s="44"/>
      <c r="C21" s="44" t="s">
        <v>185</v>
      </c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12.75">
      <c r="B22" s="14" t="s">
        <v>67</v>
      </c>
      <c r="C22" s="14" t="s">
        <v>208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2:12" ht="12.75">
      <c r="B23" s="14" t="s">
        <v>74</v>
      </c>
      <c r="C23" s="50" t="s">
        <v>116</v>
      </c>
      <c r="D23" s="14"/>
      <c r="E23" s="14"/>
      <c r="F23" s="14"/>
      <c r="G23" s="14"/>
      <c r="H23" s="14"/>
      <c r="I23" s="14"/>
      <c r="J23" s="14"/>
      <c r="K23" s="14"/>
      <c r="L23" s="14"/>
    </row>
    <row r="24" spans="2:12" ht="12.75">
      <c r="B24" s="14" t="s">
        <v>68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ht="12.75">
      <c r="B26" s="14" t="s">
        <v>8</v>
      </c>
      <c r="C26" s="15"/>
      <c r="D26" s="14"/>
      <c r="E26" s="14"/>
      <c r="F26" s="14"/>
      <c r="G26" s="14"/>
      <c r="H26" s="14"/>
      <c r="I26" s="14"/>
      <c r="J26" s="14"/>
      <c r="K26" s="14"/>
      <c r="L26" s="14"/>
    </row>
    <row r="27" spans="2:12" ht="12.75">
      <c r="B27" s="14" t="s">
        <v>9</v>
      </c>
      <c r="C27" s="49">
        <v>3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12.75">
      <c r="B28" s="14" t="s">
        <v>10</v>
      </c>
      <c r="C28" s="15">
        <v>36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2:12" ht="12.75">
      <c r="B29" s="14" t="s">
        <v>70</v>
      </c>
      <c r="C29" s="16">
        <f>1800/60</f>
        <v>30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2:12" ht="14.25" customHeight="1">
      <c r="B30" s="14" t="s">
        <v>71</v>
      </c>
      <c r="C30" s="15">
        <v>150</v>
      </c>
      <c r="D30" s="14"/>
      <c r="E30" s="14"/>
      <c r="F30" s="14"/>
      <c r="G30" s="14"/>
      <c r="H30" s="14"/>
      <c r="I30" s="14"/>
      <c r="J30" s="14"/>
      <c r="K30" s="14"/>
      <c r="L30" s="14"/>
    </row>
    <row r="31" spans="2:12" ht="12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ht="12.75">
      <c r="B32" s="14" t="s">
        <v>11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ht="12.75">
      <c r="B33" s="14" t="s">
        <v>84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B1">
      <selection activeCell="B2" sqref="B2"/>
    </sheetView>
  </sheetViews>
  <sheetFormatPr defaultColWidth="9.140625" defaultRowHeight="12.75"/>
  <cols>
    <col min="1" max="1" width="7.140625" style="66" hidden="1" customWidth="1"/>
    <col min="2" max="2" width="17.7109375" style="66" customWidth="1"/>
    <col min="3" max="3" width="65.28125" style="78" customWidth="1"/>
    <col min="4" max="16384" width="9.140625" style="66" customWidth="1"/>
  </cols>
  <sheetData>
    <row r="1" ht="12.75">
      <c r="B1" s="67" t="s">
        <v>182</v>
      </c>
    </row>
    <row r="3" s="14" customFormat="1" ht="12.75">
      <c r="B3" s="8" t="s">
        <v>151</v>
      </c>
    </row>
    <row r="4" s="14" customFormat="1" ht="12.75">
      <c r="B4" s="8"/>
    </row>
    <row r="5" spans="2:3" s="14" customFormat="1" ht="25.5">
      <c r="B5" s="58" t="s">
        <v>145</v>
      </c>
      <c r="C5" s="50" t="s">
        <v>198</v>
      </c>
    </row>
    <row r="6" spans="2:3" s="14" customFormat="1" ht="12.75">
      <c r="B6" s="14" t="s">
        <v>146</v>
      </c>
      <c r="C6" s="14" t="s">
        <v>117</v>
      </c>
    </row>
    <row r="7" spans="2:3" s="14" customFormat="1" ht="12.75">
      <c r="B7" s="14" t="s">
        <v>147</v>
      </c>
      <c r="C7" s="14" t="s">
        <v>113</v>
      </c>
    </row>
    <row r="8" spans="2:3" s="14" customFormat="1" ht="12.75">
      <c r="B8" s="14" t="s">
        <v>148</v>
      </c>
      <c r="C8" s="17">
        <v>35983</v>
      </c>
    </row>
    <row r="9" spans="2:3" s="14" customFormat="1" ht="12.75">
      <c r="B9" s="14" t="s">
        <v>203</v>
      </c>
      <c r="C9" s="83">
        <v>35977</v>
      </c>
    </row>
    <row r="10" spans="2:3" s="14" customFormat="1" ht="12.75">
      <c r="B10" s="14" t="s">
        <v>149</v>
      </c>
      <c r="C10" s="14" t="s">
        <v>118</v>
      </c>
    </row>
    <row r="11" spans="2:3" s="14" customFormat="1" ht="12.75">
      <c r="B11" s="58" t="s">
        <v>150</v>
      </c>
      <c r="C11" s="51" t="s">
        <v>135</v>
      </c>
    </row>
    <row r="12" spans="2:3" s="14" customFormat="1" ht="12.75">
      <c r="B12" s="58"/>
      <c r="C12" s="51"/>
    </row>
    <row r="13" s="14" customFormat="1" ht="12.75">
      <c r="B13" s="8" t="s">
        <v>152</v>
      </c>
    </row>
    <row r="14" s="14" customFormat="1" ht="12.75">
      <c r="B14" s="8"/>
    </row>
    <row r="15" spans="2:3" s="14" customFormat="1" ht="25.5">
      <c r="B15" s="58" t="s">
        <v>145</v>
      </c>
      <c r="C15" s="50" t="s">
        <v>198</v>
      </c>
    </row>
    <row r="16" spans="2:3" s="14" customFormat="1" ht="12.75">
      <c r="B16" s="14" t="s">
        <v>146</v>
      </c>
      <c r="C16" s="14" t="s">
        <v>117</v>
      </c>
    </row>
    <row r="17" spans="2:3" s="14" customFormat="1" ht="12.75">
      <c r="B17" s="14" t="s">
        <v>147</v>
      </c>
      <c r="C17" s="14" t="s">
        <v>113</v>
      </c>
    </row>
    <row r="18" spans="2:3" s="14" customFormat="1" ht="12.75">
      <c r="B18" s="14" t="s">
        <v>148</v>
      </c>
      <c r="C18" s="17">
        <v>35984</v>
      </c>
    </row>
    <row r="19" spans="2:3" s="14" customFormat="1" ht="12.75">
      <c r="B19" s="14" t="s">
        <v>203</v>
      </c>
      <c r="C19" s="83">
        <v>35977</v>
      </c>
    </row>
    <row r="20" spans="2:3" s="14" customFormat="1" ht="12.75">
      <c r="B20" s="14" t="s">
        <v>149</v>
      </c>
      <c r="C20" s="17" t="s">
        <v>119</v>
      </c>
    </row>
    <row r="21" spans="2:3" s="14" customFormat="1" ht="12.75">
      <c r="B21" s="58" t="s">
        <v>150</v>
      </c>
      <c r="C21" s="51" t="s">
        <v>135</v>
      </c>
    </row>
    <row r="22" spans="2:3" s="14" customFormat="1" ht="12.75">
      <c r="B22" s="58"/>
      <c r="C22" s="51"/>
    </row>
    <row r="23" s="14" customFormat="1" ht="12.75">
      <c r="B23" s="8" t="s">
        <v>153</v>
      </c>
    </row>
    <row r="24" s="14" customFormat="1" ht="12.75">
      <c r="B24" s="8"/>
    </row>
    <row r="25" spans="2:3" s="14" customFormat="1" ht="25.5">
      <c r="B25" s="58" t="s">
        <v>145</v>
      </c>
      <c r="C25" s="50" t="s">
        <v>198</v>
      </c>
    </row>
    <row r="26" spans="2:3" s="14" customFormat="1" ht="12.75">
      <c r="B26" s="14" t="s">
        <v>146</v>
      </c>
      <c r="C26" s="14" t="s">
        <v>117</v>
      </c>
    </row>
    <row r="27" spans="2:3" s="14" customFormat="1" ht="12.75">
      <c r="B27" s="14" t="s">
        <v>147</v>
      </c>
      <c r="C27" s="14" t="s">
        <v>113</v>
      </c>
    </row>
    <row r="28" spans="2:3" s="14" customFormat="1" ht="12.75">
      <c r="B28" s="14" t="s">
        <v>148</v>
      </c>
      <c r="C28" s="17">
        <v>35985</v>
      </c>
    </row>
    <row r="29" spans="2:3" s="14" customFormat="1" ht="12.75">
      <c r="B29" s="14" t="s">
        <v>203</v>
      </c>
      <c r="C29" s="83">
        <v>35977</v>
      </c>
    </row>
    <row r="30" spans="2:3" s="14" customFormat="1" ht="12.75">
      <c r="B30" s="14" t="s">
        <v>149</v>
      </c>
      <c r="C30" s="17" t="s">
        <v>120</v>
      </c>
    </row>
    <row r="31" spans="2:3" s="14" customFormat="1" ht="12.75">
      <c r="B31" s="58" t="s">
        <v>150</v>
      </c>
      <c r="C31" s="51" t="s">
        <v>135</v>
      </c>
    </row>
    <row r="33" spans="2:3" ht="12.75">
      <c r="B33" s="67" t="s">
        <v>121</v>
      </c>
      <c r="C33" s="79"/>
    </row>
    <row r="35" spans="2:3" s="80" customFormat="1" ht="25.5">
      <c r="B35" s="80" t="s">
        <v>145</v>
      </c>
      <c r="C35" s="81" t="s">
        <v>154</v>
      </c>
    </row>
    <row r="36" spans="2:3" ht="12.75">
      <c r="B36" s="66" t="s">
        <v>146</v>
      </c>
      <c r="C36" s="78" t="s">
        <v>117</v>
      </c>
    </row>
    <row r="37" spans="2:3" ht="12.75">
      <c r="B37" s="66" t="s">
        <v>147</v>
      </c>
      <c r="C37" s="78" t="s">
        <v>117</v>
      </c>
    </row>
    <row r="38" spans="1:3" ht="12.75">
      <c r="A38" s="66" t="s">
        <v>121</v>
      </c>
      <c r="B38" s="66" t="s">
        <v>155</v>
      </c>
      <c r="C38" s="78" t="s">
        <v>199</v>
      </c>
    </row>
    <row r="39" spans="2:5" ht="12.75">
      <c r="B39" s="14" t="s">
        <v>148</v>
      </c>
      <c r="C39" s="84">
        <v>33745</v>
      </c>
      <c r="E39" s="82"/>
    </row>
    <row r="40" spans="2:5" ht="12.75">
      <c r="B40" s="14" t="s">
        <v>203</v>
      </c>
      <c r="C40" s="85">
        <v>33725</v>
      </c>
      <c r="E40" s="82"/>
    </row>
    <row r="41" ht="12.75">
      <c r="E41" s="82"/>
    </row>
    <row r="42" spans="2:5" ht="12.75">
      <c r="B42" s="67" t="s">
        <v>124</v>
      </c>
      <c r="C42" s="79"/>
      <c r="E42" s="82"/>
    </row>
    <row r="43" ht="12.75">
      <c r="E43" s="82"/>
    </row>
    <row r="44" spans="2:3" s="80" customFormat="1" ht="25.5">
      <c r="B44" s="80" t="s">
        <v>145</v>
      </c>
      <c r="C44" s="81" t="s">
        <v>154</v>
      </c>
    </row>
    <row r="45" spans="2:3" ht="12.75">
      <c r="B45" s="66" t="s">
        <v>146</v>
      </c>
      <c r="C45" s="78" t="s">
        <v>117</v>
      </c>
    </row>
    <row r="46" spans="2:3" ht="12.75">
      <c r="B46" s="66" t="s">
        <v>147</v>
      </c>
      <c r="C46" s="78" t="s">
        <v>117</v>
      </c>
    </row>
    <row r="47" spans="1:3" ht="12.75">
      <c r="A47" s="66" t="s">
        <v>124</v>
      </c>
      <c r="B47" s="66" t="s">
        <v>155</v>
      </c>
      <c r="C47" s="78" t="s">
        <v>200</v>
      </c>
    </row>
    <row r="48" spans="2:3" ht="12.75">
      <c r="B48" s="14" t="s">
        <v>148</v>
      </c>
      <c r="C48" s="84">
        <v>33746</v>
      </c>
    </row>
    <row r="49" spans="2:3" ht="12.75">
      <c r="B49" s="14" t="s">
        <v>203</v>
      </c>
      <c r="C49" s="85">
        <v>33725</v>
      </c>
    </row>
    <row r="51" ht="12.75">
      <c r="B51" s="67" t="s">
        <v>197</v>
      </c>
    </row>
    <row r="53" spans="2:3" s="80" customFormat="1" ht="38.25">
      <c r="B53" s="80" t="s">
        <v>145</v>
      </c>
      <c r="C53" s="50" t="s">
        <v>242</v>
      </c>
    </row>
    <row r="54" ht="12.75">
      <c r="B54" s="66" t="s">
        <v>146</v>
      </c>
    </row>
    <row r="55" ht="12.75">
      <c r="B55" s="66" t="s">
        <v>147</v>
      </c>
    </row>
    <row r="56" spans="2:3" ht="12.75">
      <c r="B56" s="66" t="s">
        <v>155</v>
      </c>
      <c r="C56" s="81" t="s">
        <v>243</v>
      </c>
    </row>
    <row r="57" spans="2:3" ht="12.75">
      <c r="B57" s="14" t="s">
        <v>148</v>
      </c>
      <c r="C57" s="84">
        <v>33604</v>
      </c>
    </row>
    <row r="58" spans="2:3" ht="12.75">
      <c r="B58" s="66" t="s">
        <v>203</v>
      </c>
      <c r="C58" s="86">
        <v>33604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6"/>
  <sheetViews>
    <sheetView workbookViewId="0" topLeftCell="B1">
      <selection activeCell="I27" sqref="I27"/>
    </sheetView>
  </sheetViews>
  <sheetFormatPr defaultColWidth="9.140625" defaultRowHeight="12.75"/>
  <cols>
    <col min="1" max="1" width="0.9921875" style="19" hidden="1" customWidth="1"/>
    <col min="2" max="2" width="21.140625" style="19" customWidth="1"/>
    <col min="3" max="3" width="7.140625" style="19" customWidth="1"/>
    <col min="4" max="4" width="8.8515625" style="9" customWidth="1"/>
    <col min="5" max="5" width="6.140625" style="9" customWidth="1"/>
    <col min="6" max="6" width="3.7109375" style="9" customWidth="1"/>
    <col min="7" max="7" width="11.28125" style="19" customWidth="1"/>
    <col min="8" max="8" width="3.421875" style="19" customWidth="1"/>
    <col min="9" max="9" width="11.00390625" style="20" customWidth="1"/>
    <col min="10" max="10" width="3.57421875" style="19" customWidth="1"/>
    <col min="11" max="11" width="10.8515625" style="19" customWidth="1"/>
    <col min="12" max="12" width="3.421875" style="19" customWidth="1"/>
    <col min="13" max="13" width="8.8515625" style="19" customWidth="1"/>
    <col min="14" max="14" width="2.140625" style="19" customWidth="1"/>
    <col min="15" max="16384" width="8.8515625" style="19" customWidth="1"/>
  </cols>
  <sheetData>
    <row r="1" spans="2:3" ht="12.75">
      <c r="B1" s="18" t="s">
        <v>186</v>
      </c>
      <c r="C1" s="18"/>
    </row>
    <row r="2" spans="2:12" ht="12.75">
      <c r="B2" s="21"/>
      <c r="C2" s="21"/>
      <c r="G2" s="21"/>
      <c r="H2" s="21"/>
      <c r="I2" s="22"/>
      <c r="J2" s="21"/>
      <c r="K2" s="21"/>
      <c r="L2" s="21"/>
    </row>
    <row r="3" spans="2:5" ht="12.75">
      <c r="B3" s="14"/>
      <c r="C3" s="14" t="s">
        <v>77</v>
      </c>
      <c r="D3" s="9" t="s">
        <v>12</v>
      </c>
      <c r="E3" s="9" t="s">
        <v>63</v>
      </c>
    </row>
    <row r="4" spans="2:12" ht="12.75">
      <c r="B4" s="14"/>
      <c r="C4" s="14"/>
      <c r="G4" s="21"/>
      <c r="H4" s="21"/>
      <c r="I4" s="22"/>
      <c r="J4" s="21"/>
      <c r="K4" s="21"/>
      <c r="L4" s="21"/>
    </row>
    <row r="5" spans="1:13" ht="12.75">
      <c r="A5" s="19">
        <v>1</v>
      </c>
      <c r="B5" s="23" t="s">
        <v>151</v>
      </c>
      <c r="C5" s="23"/>
      <c r="G5" s="21" t="s">
        <v>110</v>
      </c>
      <c r="H5" s="21"/>
      <c r="I5" s="22" t="s">
        <v>111</v>
      </c>
      <c r="J5" s="21"/>
      <c r="K5" s="21" t="s">
        <v>112</v>
      </c>
      <c r="L5" s="21"/>
      <c r="M5" s="19" t="s">
        <v>47</v>
      </c>
    </row>
    <row r="7" spans="2:13" ht="12.75">
      <c r="B7" s="9" t="s">
        <v>13</v>
      </c>
      <c r="C7" s="9" t="s">
        <v>201</v>
      </c>
      <c r="D7" s="9" t="s">
        <v>14</v>
      </c>
      <c r="E7" s="9" t="s">
        <v>15</v>
      </c>
      <c r="F7"/>
      <c r="G7">
        <v>0.0013</v>
      </c>
      <c r="H7"/>
      <c r="I7"/>
      <c r="J7"/>
      <c r="K7"/>
      <c r="L7"/>
      <c r="M7" s="59">
        <f>AVERAGE(I7,G7,K7)</f>
        <v>0.0013</v>
      </c>
    </row>
    <row r="8" spans="2:13" ht="12.75">
      <c r="B8" s="9" t="s">
        <v>97</v>
      </c>
      <c r="C8" s="9" t="s">
        <v>201</v>
      </c>
      <c r="D8" s="14" t="s">
        <v>16</v>
      </c>
      <c r="E8" s="9" t="s">
        <v>15</v>
      </c>
      <c r="F8"/>
      <c r="G8">
        <v>0.68</v>
      </c>
      <c r="H8"/>
      <c r="I8"/>
      <c r="J8"/>
      <c r="K8"/>
      <c r="L8"/>
      <c r="M8" s="59">
        <f>AVERAGE(I8,G8,K8)</f>
        <v>0.68</v>
      </c>
    </row>
    <row r="9" spans="2:13" ht="12.75">
      <c r="B9" s="9"/>
      <c r="C9" s="9"/>
      <c r="D9" s="14"/>
      <c r="F9"/>
      <c r="G9"/>
      <c r="H9"/>
      <c r="I9"/>
      <c r="J9"/>
      <c r="K9"/>
      <c r="L9"/>
      <c r="M9" s="59"/>
    </row>
    <row r="10" spans="2:13" ht="12.75">
      <c r="B10" s="9" t="s">
        <v>222</v>
      </c>
      <c r="C10" s="9"/>
      <c r="D10" s="14" t="s">
        <v>16</v>
      </c>
      <c r="E10" s="9" t="s">
        <v>95</v>
      </c>
      <c r="F10"/>
      <c r="G10">
        <v>0.86</v>
      </c>
      <c r="H10"/>
      <c r="I10"/>
      <c r="J10"/>
      <c r="K10"/>
      <c r="L10"/>
      <c r="M10" s="59"/>
    </row>
    <row r="11" spans="2:13" ht="12.75">
      <c r="B11" s="9" t="s">
        <v>122</v>
      </c>
      <c r="C11" s="9"/>
      <c r="D11" s="14" t="s">
        <v>52</v>
      </c>
      <c r="E11" s="14" t="s">
        <v>95</v>
      </c>
      <c r="F11"/>
      <c r="G11" s="6">
        <v>4.86</v>
      </c>
      <c r="H11" s="6"/>
      <c r="I11" s="6"/>
      <c r="J11"/>
      <c r="K11"/>
      <c r="L11"/>
      <c r="M11" s="59"/>
    </row>
    <row r="12" spans="2:12" ht="12.75">
      <c r="B12" s="9" t="s">
        <v>123</v>
      </c>
      <c r="C12" s="9"/>
      <c r="D12" s="14" t="s">
        <v>52</v>
      </c>
      <c r="E12" s="14" t="s">
        <v>95</v>
      </c>
      <c r="F12"/>
      <c r="G12">
        <v>0.03</v>
      </c>
      <c r="H12"/>
      <c r="I12"/>
      <c r="J12"/>
      <c r="K12"/>
      <c r="L12"/>
    </row>
    <row r="13" spans="2:13" ht="12.75">
      <c r="B13" s="9"/>
      <c r="C13" s="9"/>
      <c r="F13"/>
      <c r="G13"/>
      <c r="H13"/>
      <c r="I13"/>
      <c r="J13"/>
      <c r="K13"/>
      <c r="L13"/>
      <c r="M13"/>
    </row>
    <row r="14" spans="2:13" ht="12.75">
      <c r="B14" s="9" t="s">
        <v>80</v>
      </c>
      <c r="C14" s="9" t="s">
        <v>125</v>
      </c>
      <c r="D14" s="9" t="s">
        <v>201</v>
      </c>
      <c r="F14"/>
      <c r="H14"/>
      <c r="I14"/>
      <c r="J14"/>
      <c r="K14"/>
      <c r="L14"/>
      <c r="M14" s="6"/>
    </row>
    <row r="15" spans="2:13" ht="12.75">
      <c r="B15" s="9" t="s">
        <v>76</v>
      </c>
      <c r="C15" s="9"/>
      <c r="D15" s="9" t="s">
        <v>17</v>
      </c>
      <c r="F15"/>
      <c r="G15" s="19">
        <v>7840</v>
      </c>
      <c r="I15" s="19"/>
      <c r="M15" s="6">
        <f>AVERAGE(G15,I15,K15)</f>
        <v>7840</v>
      </c>
    </row>
    <row r="16" spans="2:13" ht="12.75">
      <c r="B16" s="9" t="s">
        <v>78</v>
      </c>
      <c r="C16" s="9"/>
      <c r="D16" s="9" t="s">
        <v>18</v>
      </c>
      <c r="F16"/>
      <c r="G16" s="19">
        <v>8.77</v>
      </c>
      <c r="I16" s="19"/>
      <c r="M16" s="6">
        <f>AVERAGE(G16,I16,K16)</f>
        <v>8.77</v>
      </c>
    </row>
    <row r="17" spans="2:13" ht="12.75">
      <c r="B17" s="9" t="s">
        <v>79</v>
      </c>
      <c r="C17" s="9"/>
      <c r="D17" s="9" t="s">
        <v>18</v>
      </c>
      <c r="F17"/>
      <c r="G17" s="19">
        <v>26.9</v>
      </c>
      <c r="I17" s="19"/>
      <c r="M17" s="6">
        <f>AVERAGE(G17,I17,K17)</f>
        <v>26.9</v>
      </c>
    </row>
    <row r="18" spans="2:13" ht="12.75">
      <c r="B18" s="9" t="s">
        <v>75</v>
      </c>
      <c r="C18" s="9"/>
      <c r="D18" s="9" t="s">
        <v>19</v>
      </c>
      <c r="F18"/>
      <c r="G18" s="19">
        <v>150</v>
      </c>
      <c r="I18" s="19"/>
      <c r="M18" s="6">
        <f>AVERAGE(G18,I18,K18)</f>
        <v>150</v>
      </c>
    </row>
    <row r="19" spans="2:13" ht="12.75">
      <c r="B19" s="9"/>
      <c r="C19" s="9"/>
      <c r="F19"/>
      <c r="G19"/>
      <c r="H19"/>
      <c r="I19"/>
      <c r="J19"/>
      <c r="K19"/>
      <c r="L19"/>
      <c r="M19" s="6"/>
    </row>
    <row r="20" spans="2:13" ht="12.75">
      <c r="B20" s="9" t="s">
        <v>80</v>
      </c>
      <c r="C20" s="9" t="s">
        <v>66</v>
      </c>
      <c r="D20" s="9" t="s">
        <v>202</v>
      </c>
      <c r="F20"/>
      <c r="G20"/>
      <c r="H20"/>
      <c r="I20"/>
      <c r="J20"/>
      <c r="K20"/>
      <c r="L20"/>
      <c r="M20" s="6"/>
    </row>
    <row r="21" spans="2:13" ht="12.75">
      <c r="B21" s="9" t="s">
        <v>76</v>
      </c>
      <c r="C21" s="9"/>
      <c r="D21" s="9" t="s">
        <v>17</v>
      </c>
      <c r="F21"/>
      <c r="G21">
        <v>8206</v>
      </c>
      <c r="I21" s="19"/>
      <c r="M21" s="6">
        <f>AVERAGE(G21,I21,K21)</f>
        <v>8206</v>
      </c>
    </row>
    <row r="22" spans="2:13" ht="12.75">
      <c r="B22" s="9" t="s">
        <v>78</v>
      </c>
      <c r="C22" s="9"/>
      <c r="D22" s="9" t="s">
        <v>18</v>
      </c>
      <c r="F22"/>
      <c r="G22" s="19">
        <v>8.77</v>
      </c>
      <c r="I22" s="19"/>
      <c r="M22" s="6">
        <f>AVERAGE(G22,I22,K22)</f>
        <v>8.77</v>
      </c>
    </row>
    <row r="23" spans="2:13" ht="12.75">
      <c r="B23" s="9" t="s">
        <v>79</v>
      </c>
      <c r="C23" s="9"/>
      <c r="D23" s="9" t="s">
        <v>18</v>
      </c>
      <c r="F23"/>
      <c r="G23" s="19">
        <v>25.7</v>
      </c>
      <c r="I23" s="19"/>
      <c r="M23" s="6">
        <f>AVERAGE(G23,I23,K23)</f>
        <v>25.7</v>
      </c>
    </row>
    <row r="24" spans="2:13" ht="12.75">
      <c r="B24" s="9" t="s">
        <v>75</v>
      </c>
      <c r="C24" s="9"/>
      <c r="D24" s="9" t="s">
        <v>19</v>
      </c>
      <c r="F24"/>
      <c r="G24" s="19">
        <v>152.4</v>
      </c>
      <c r="I24" s="19"/>
      <c r="M24" s="6">
        <f>AVERAGE(G24,I24,K24)</f>
        <v>152.4</v>
      </c>
    </row>
    <row r="25" spans="2:13" ht="12.75">
      <c r="B25" s="9"/>
      <c r="C25" s="9"/>
      <c r="D25" s="14"/>
      <c r="F25"/>
      <c r="G25"/>
      <c r="H25"/>
      <c r="I25"/>
      <c r="J25"/>
      <c r="K25"/>
      <c r="L25"/>
      <c r="M25" s="59"/>
    </row>
    <row r="26" spans="2:13" ht="12.75">
      <c r="B26" s="9" t="s">
        <v>222</v>
      </c>
      <c r="C26" s="9" t="s">
        <v>201</v>
      </c>
      <c r="D26" s="14" t="s">
        <v>16</v>
      </c>
      <c r="E26" s="9" t="s">
        <v>15</v>
      </c>
      <c r="F26"/>
      <c r="H26"/>
      <c r="I26"/>
      <c r="J26"/>
      <c r="K26"/>
      <c r="L26"/>
      <c r="M26" s="59"/>
    </row>
    <row r="27" spans="2:13" ht="12.75">
      <c r="B27" s="9" t="s">
        <v>122</v>
      </c>
      <c r="C27" s="9" t="s">
        <v>201</v>
      </c>
      <c r="D27" s="14" t="s">
        <v>16</v>
      </c>
      <c r="E27" s="9" t="s">
        <v>15</v>
      </c>
      <c r="F27"/>
      <c r="G27" s="6">
        <f>G11*454/60/0.0283/G$15*(21-7)/(21-G$16)*1231.56</f>
        <v>233.6660015857927</v>
      </c>
      <c r="H27" s="6"/>
      <c r="I27" s="6"/>
      <c r="J27"/>
      <c r="K27"/>
      <c r="L27"/>
      <c r="M27" s="59"/>
    </row>
    <row r="28" spans="2:12" ht="12.75">
      <c r="B28" s="9" t="s">
        <v>123</v>
      </c>
      <c r="C28" s="9" t="s">
        <v>201</v>
      </c>
      <c r="D28" s="14" t="s">
        <v>16</v>
      </c>
      <c r="E28" s="9" t="s">
        <v>15</v>
      </c>
      <c r="F28"/>
      <c r="G28" s="6">
        <f>G12*454/60/0.0283/G$15*(21-7)/(21-G$16)*1231.56</f>
        <v>1.442382725838227</v>
      </c>
      <c r="H28"/>
      <c r="I28"/>
      <c r="J28"/>
      <c r="K28"/>
      <c r="L28"/>
    </row>
    <row r="29" spans="2:13" ht="12.75">
      <c r="B29" s="9"/>
      <c r="C29" s="9"/>
      <c r="F29"/>
      <c r="G29"/>
      <c r="H29"/>
      <c r="I29"/>
      <c r="J29"/>
      <c r="K29"/>
      <c r="L29"/>
      <c r="M29"/>
    </row>
    <row r="30" spans="1:13" ht="12.75">
      <c r="A30" s="19">
        <v>2</v>
      </c>
      <c r="B30" s="23" t="s">
        <v>152</v>
      </c>
      <c r="C30" s="23"/>
      <c r="G30" s="21" t="s">
        <v>110</v>
      </c>
      <c r="H30" s="21"/>
      <c r="I30" s="22" t="s">
        <v>111</v>
      </c>
      <c r="J30" s="21"/>
      <c r="K30" s="21" t="s">
        <v>112</v>
      </c>
      <c r="L30" s="21"/>
      <c r="M30" s="19" t="s">
        <v>47</v>
      </c>
    </row>
    <row r="32" spans="2:13" ht="12.75">
      <c r="B32" s="9" t="s">
        <v>13</v>
      </c>
      <c r="C32" s="9" t="s">
        <v>201</v>
      </c>
      <c r="D32" s="9" t="s">
        <v>14</v>
      </c>
      <c r="E32" s="9" t="s">
        <v>15</v>
      </c>
      <c r="F32"/>
      <c r="G32">
        <v>0.0015</v>
      </c>
      <c r="H32"/>
      <c r="I32">
        <v>0.0019</v>
      </c>
      <c r="J32"/>
      <c r="K32"/>
      <c r="L32"/>
      <c r="M32" s="59">
        <f>AVERAGE(G32,I32,K32)</f>
        <v>0.0017000000000000001</v>
      </c>
    </row>
    <row r="33" spans="2:13" ht="12.75">
      <c r="B33" s="9" t="s">
        <v>97</v>
      </c>
      <c r="C33" s="9" t="s">
        <v>201</v>
      </c>
      <c r="D33" s="14" t="s">
        <v>16</v>
      </c>
      <c r="E33" s="9" t="s">
        <v>15</v>
      </c>
      <c r="F33"/>
      <c r="G33">
        <v>7.09</v>
      </c>
      <c r="H33"/>
      <c r="I33">
        <v>2.64</v>
      </c>
      <c r="J33"/>
      <c r="K33"/>
      <c r="L33"/>
      <c r="M33" s="59">
        <f>AVERAGE(G33,I33,K33)</f>
        <v>4.865</v>
      </c>
    </row>
    <row r="34" spans="2:13" ht="12.75">
      <c r="B34" s="9"/>
      <c r="C34" s="9"/>
      <c r="D34" s="14"/>
      <c r="F34"/>
      <c r="G34"/>
      <c r="H34"/>
      <c r="I34"/>
      <c r="J34"/>
      <c r="K34"/>
      <c r="L34"/>
      <c r="M34" s="59"/>
    </row>
    <row r="35" spans="2:13" ht="12.75">
      <c r="B35" s="9" t="s">
        <v>222</v>
      </c>
      <c r="C35" s="9"/>
      <c r="D35" s="14" t="s">
        <v>16</v>
      </c>
      <c r="E35" s="9" t="s">
        <v>95</v>
      </c>
      <c r="F35"/>
      <c r="G35">
        <v>0.81</v>
      </c>
      <c r="H35"/>
      <c r="I35">
        <v>0.76</v>
      </c>
      <c r="J35"/>
      <c r="K35"/>
      <c r="L35"/>
      <c r="M35" s="59"/>
    </row>
    <row r="36" spans="2:13" ht="12.75">
      <c r="B36" s="9" t="s">
        <v>122</v>
      </c>
      <c r="C36" s="9"/>
      <c r="D36" s="14" t="s">
        <v>52</v>
      </c>
      <c r="E36" s="14" t="s">
        <v>95</v>
      </c>
      <c r="F36"/>
      <c r="G36" s="6">
        <v>2.83</v>
      </c>
      <c r="H36" s="6"/>
      <c r="I36" s="6">
        <v>3.59</v>
      </c>
      <c r="J36"/>
      <c r="K36"/>
      <c r="L36"/>
      <c r="M36" s="59"/>
    </row>
    <row r="37" spans="2:12" ht="12.75">
      <c r="B37" s="9" t="s">
        <v>123</v>
      </c>
      <c r="C37" s="9"/>
      <c r="D37" s="14" t="s">
        <v>52</v>
      </c>
      <c r="E37" s="14" t="s">
        <v>95</v>
      </c>
      <c r="F37"/>
      <c r="G37">
        <v>0.03</v>
      </c>
      <c r="H37"/>
      <c r="I37">
        <v>0.03</v>
      </c>
      <c r="J37"/>
      <c r="K37"/>
      <c r="L37"/>
    </row>
    <row r="38" spans="2:13" ht="12.75">
      <c r="B38" s="9"/>
      <c r="C38" s="9"/>
      <c r="F38"/>
      <c r="G38"/>
      <c r="H38"/>
      <c r="I38" s="19"/>
      <c r="J38"/>
      <c r="K38"/>
      <c r="L38"/>
      <c r="M38"/>
    </row>
    <row r="39" spans="2:13" ht="12.75">
      <c r="B39" s="9" t="s">
        <v>80</v>
      </c>
      <c r="C39" s="9" t="s">
        <v>125</v>
      </c>
      <c r="D39" s="9" t="s">
        <v>201</v>
      </c>
      <c r="F39"/>
      <c r="G39"/>
      <c r="H39"/>
      <c r="I39" s="19"/>
      <c r="J39"/>
      <c r="K39"/>
      <c r="L39"/>
      <c r="M39"/>
    </row>
    <row r="40" spans="2:13" ht="12.75">
      <c r="B40" s="9" t="s">
        <v>76</v>
      </c>
      <c r="C40" s="9"/>
      <c r="D40" s="9" t="s">
        <v>17</v>
      </c>
      <c r="F40"/>
      <c r="G40">
        <v>7361</v>
      </c>
      <c r="H40"/>
      <c r="I40">
        <v>7450</v>
      </c>
      <c r="J40"/>
      <c r="K40"/>
      <c r="L40"/>
      <c r="M40" s="6">
        <f>AVERAGE(K40,I40,G40)</f>
        <v>7405.5</v>
      </c>
    </row>
    <row r="41" spans="2:13" ht="12.75">
      <c r="B41" s="9" t="s">
        <v>78</v>
      </c>
      <c r="C41" s="9"/>
      <c r="D41" s="9" t="s">
        <v>18</v>
      </c>
      <c r="F41"/>
      <c r="G41">
        <v>8.6</v>
      </c>
      <c r="H41"/>
      <c r="I41">
        <v>8.47</v>
      </c>
      <c r="J41"/>
      <c r="K41"/>
      <c r="L41"/>
      <c r="M41" s="6">
        <f>AVERAGE(K41,I41,G41)</f>
        <v>8.535</v>
      </c>
    </row>
    <row r="42" spans="2:13" ht="12.75">
      <c r="B42" s="9" t="s">
        <v>79</v>
      </c>
      <c r="C42" s="9"/>
      <c r="D42" s="9" t="s">
        <v>18</v>
      </c>
      <c r="F42"/>
      <c r="G42">
        <v>25.7</v>
      </c>
      <c r="H42"/>
      <c r="I42">
        <v>25.7</v>
      </c>
      <c r="J42"/>
      <c r="K42"/>
      <c r="L42"/>
      <c r="M42" s="6">
        <f>AVERAGE(K42,I42,G42)</f>
        <v>25.7</v>
      </c>
    </row>
    <row r="43" spans="2:13" ht="12.75">
      <c r="B43" s="9" t="s">
        <v>75</v>
      </c>
      <c r="C43" s="9"/>
      <c r="D43" s="9" t="s">
        <v>19</v>
      </c>
      <c r="F43"/>
      <c r="G43">
        <v>150</v>
      </c>
      <c r="H43"/>
      <c r="I43">
        <v>150</v>
      </c>
      <c r="J43"/>
      <c r="K43"/>
      <c r="L43"/>
      <c r="M43" s="6">
        <f>AVERAGE(K43,I43,G43)</f>
        <v>150</v>
      </c>
    </row>
    <row r="44" spans="2:13" ht="12.75">
      <c r="B44" s="9"/>
      <c r="C44" s="9"/>
      <c r="F44"/>
      <c r="G44"/>
      <c r="H44"/>
      <c r="I44"/>
      <c r="J44"/>
      <c r="K44"/>
      <c r="L44"/>
      <c r="M44"/>
    </row>
    <row r="45" spans="2:13" ht="12.75">
      <c r="B45" s="9" t="s">
        <v>80</v>
      </c>
      <c r="C45" s="9" t="s">
        <v>66</v>
      </c>
      <c r="D45" s="9" t="s">
        <v>201</v>
      </c>
      <c r="F45"/>
      <c r="G45"/>
      <c r="H45"/>
      <c r="I45"/>
      <c r="J45"/>
      <c r="K45"/>
      <c r="L45"/>
      <c r="M45"/>
    </row>
    <row r="46" spans="2:13" ht="12.75">
      <c r="B46" s="9" t="s">
        <v>76</v>
      </c>
      <c r="C46" s="9"/>
      <c r="D46" s="9" t="s">
        <v>17</v>
      </c>
      <c r="F46"/>
      <c r="G46">
        <v>7608</v>
      </c>
      <c r="H46"/>
      <c r="I46">
        <v>7780</v>
      </c>
      <c r="J46"/>
      <c r="K46"/>
      <c r="L46"/>
      <c r="M46" s="6">
        <f>AVERAGE(K46,I46,G46)</f>
        <v>7694</v>
      </c>
    </row>
    <row r="47" spans="2:13" ht="12.75">
      <c r="B47" s="9" t="s">
        <v>78</v>
      </c>
      <c r="C47" s="9"/>
      <c r="D47" s="9" t="s">
        <v>18</v>
      </c>
      <c r="F47"/>
      <c r="G47">
        <v>8.6</v>
      </c>
      <c r="H47"/>
      <c r="I47">
        <v>8.47</v>
      </c>
      <c r="J47"/>
      <c r="K47"/>
      <c r="L47"/>
      <c r="M47" s="6">
        <f>AVERAGE(K47,I47,G47)</f>
        <v>8.535</v>
      </c>
    </row>
    <row r="48" spans="2:13" ht="12.75">
      <c r="B48" s="9" t="s">
        <v>79</v>
      </c>
      <c r="C48" s="9"/>
      <c r="D48" s="9" t="s">
        <v>18</v>
      </c>
      <c r="F48"/>
      <c r="G48">
        <v>27.7</v>
      </c>
      <c r="H48"/>
      <c r="I48">
        <v>27.7</v>
      </c>
      <c r="J48"/>
      <c r="K48"/>
      <c r="L48"/>
      <c r="M48" s="6">
        <f>AVERAGE(K48,I48,G48)</f>
        <v>27.7</v>
      </c>
    </row>
    <row r="49" spans="2:13" ht="12.75">
      <c r="B49" s="9" t="s">
        <v>75</v>
      </c>
      <c r="C49" s="9"/>
      <c r="D49" s="9" t="s">
        <v>19</v>
      </c>
      <c r="F49"/>
      <c r="G49">
        <v>153.6</v>
      </c>
      <c r="H49"/>
      <c r="I49">
        <v>153.6</v>
      </c>
      <c r="J49"/>
      <c r="K49"/>
      <c r="L49"/>
      <c r="M49" s="6">
        <f>AVERAGE(K49,I49,G49)</f>
        <v>153.6</v>
      </c>
    </row>
    <row r="50" spans="2:13" ht="12.75">
      <c r="B50" s="9"/>
      <c r="C50" s="9"/>
      <c r="D50" s="14"/>
      <c r="F50"/>
      <c r="G50"/>
      <c r="H50"/>
      <c r="I50"/>
      <c r="J50"/>
      <c r="K50"/>
      <c r="L50"/>
      <c r="M50" s="59"/>
    </row>
    <row r="51" spans="2:13" ht="12.75">
      <c r="B51" s="9" t="s">
        <v>222</v>
      </c>
      <c r="C51" s="9" t="s">
        <v>201</v>
      </c>
      <c r="D51" s="14" t="s">
        <v>16</v>
      </c>
      <c r="E51" s="9" t="s">
        <v>15</v>
      </c>
      <c r="F51"/>
      <c r="G51" s="60">
        <f>G35*(21-7)/(21-G41)</f>
        <v>0.914516129032258</v>
      </c>
      <c r="H51"/>
      <c r="I51" s="60">
        <f>I35*(21-7)/(21-I41)</f>
        <v>0.8491620111731845</v>
      </c>
      <c r="J51"/>
      <c r="K51"/>
      <c r="L51"/>
      <c r="M51" s="6">
        <f>AVERAGE(K51,I51,G51)</f>
        <v>0.8818390701027212</v>
      </c>
    </row>
    <row r="52" spans="2:13" ht="12.75">
      <c r="B52" s="9" t="s">
        <v>122</v>
      </c>
      <c r="C52" s="9" t="s">
        <v>201</v>
      </c>
      <c r="D52" s="14" t="s">
        <v>16</v>
      </c>
      <c r="E52" s="9" t="s">
        <v>15</v>
      </c>
      <c r="F52"/>
      <c r="G52" s="6">
        <f>G36*454/60/0.0283/G$40*(21-7)/(21-G$41)*1231.56</f>
        <v>142.9320788287005</v>
      </c>
      <c r="H52" s="6"/>
      <c r="I52" s="6">
        <f>I36*454/60/0.0283/I$40*(21-7)/(21-I$41)*1231.56</f>
        <v>177.29189515537647</v>
      </c>
      <c r="J52"/>
      <c r="K52"/>
      <c r="L52"/>
      <c r="M52" s="6">
        <f>AVERAGE(K52,I52,G52)</f>
        <v>160.11198699203848</v>
      </c>
    </row>
    <row r="53" spans="2:13" ht="12.75">
      <c r="B53" s="9" t="s">
        <v>123</v>
      </c>
      <c r="C53" s="9" t="s">
        <v>201</v>
      </c>
      <c r="D53" s="14" t="s">
        <v>16</v>
      </c>
      <c r="E53" s="9" t="s">
        <v>15</v>
      </c>
      <c r="F53"/>
      <c r="G53" s="6">
        <f>G37*454/60/0.0283/G$40*(21-7)/(21-G$41)*1231.56</f>
        <v>1.515181047654069</v>
      </c>
      <c r="H53"/>
      <c r="I53" s="6">
        <f>I37*454/60/0.0283/I$40*(21-7)/(21-I$41)*1231.56</f>
        <v>1.4815478703791907</v>
      </c>
      <c r="J53"/>
      <c r="K53"/>
      <c r="L53"/>
      <c r="M53" s="6">
        <f>AVERAGE(K53,I53,G53)</f>
        <v>1.4983644590166298</v>
      </c>
    </row>
    <row r="54" spans="2:13" ht="12.75">
      <c r="B54" s="9"/>
      <c r="C54" s="9"/>
      <c r="F54"/>
      <c r="G54"/>
      <c r="H54"/>
      <c r="I54"/>
      <c r="J54"/>
      <c r="K54"/>
      <c r="L54"/>
      <c r="M54"/>
    </row>
    <row r="55" spans="1:13" ht="12.75">
      <c r="A55" s="19">
        <v>2</v>
      </c>
      <c r="B55" s="23" t="s">
        <v>153</v>
      </c>
      <c r="C55" s="23"/>
      <c r="G55" s="21" t="s">
        <v>110</v>
      </c>
      <c r="H55" s="21"/>
      <c r="I55" s="22" t="s">
        <v>111</v>
      </c>
      <c r="J55" s="21"/>
      <c r="K55" s="21" t="s">
        <v>112</v>
      </c>
      <c r="L55" s="21"/>
      <c r="M55" s="19" t="s">
        <v>47</v>
      </c>
    </row>
    <row r="57" spans="2:13" ht="12.75">
      <c r="B57" s="9" t="s">
        <v>13</v>
      </c>
      <c r="C57" s="9" t="s">
        <v>201</v>
      </c>
      <c r="D57" s="9" t="s">
        <v>14</v>
      </c>
      <c r="E57" s="9" t="s">
        <v>15</v>
      </c>
      <c r="F57"/>
      <c r="G57">
        <v>0.0024</v>
      </c>
      <c r="H57"/>
      <c r="I57">
        <v>0.0026</v>
      </c>
      <c r="J57"/>
      <c r="K57"/>
      <c r="L57"/>
      <c r="M57" s="59">
        <f>AVERAGE(G57,I57,K57)</f>
        <v>0.0024999999999999996</v>
      </c>
    </row>
    <row r="58" spans="2:13" ht="12.75">
      <c r="B58" s="9" t="s">
        <v>97</v>
      </c>
      <c r="C58" s="9" t="s">
        <v>201</v>
      </c>
      <c r="D58" s="14" t="s">
        <v>16</v>
      </c>
      <c r="E58" s="9" t="s">
        <v>15</v>
      </c>
      <c r="F58"/>
      <c r="G58">
        <v>1.51</v>
      </c>
      <c r="H58"/>
      <c r="I58">
        <v>0.73</v>
      </c>
      <c r="J58"/>
      <c r="K58"/>
      <c r="L58"/>
      <c r="M58" s="59">
        <f>AVERAGE(G58,I58,K58)</f>
        <v>1.12</v>
      </c>
    </row>
    <row r="59" spans="2:13" ht="12.75">
      <c r="B59" s="9"/>
      <c r="C59" s="9"/>
      <c r="D59" s="14"/>
      <c r="F59"/>
      <c r="G59"/>
      <c r="H59"/>
      <c r="I59"/>
      <c r="J59"/>
      <c r="K59"/>
      <c r="L59"/>
      <c r="M59" s="59"/>
    </row>
    <row r="60" spans="2:13" ht="12.75">
      <c r="B60" s="9" t="s">
        <v>222</v>
      </c>
      <c r="C60" s="9"/>
      <c r="D60" s="14" t="s">
        <v>16</v>
      </c>
      <c r="E60" s="9" t="s">
        <v>95</v>
      </c>
      <c r="F60"/>
      <c r="G60">
        <v>0.84</v>
      </c>
      <c r="H60"/>
      <c r="I60">
        <v>0.86</v>
      </c>
      <c r="J60"/>
      <c r="K60"/>
      <c r="L60"/>
      <c r="M60" s="59"/>
    </row>
    <row r="61" spans="2:13" ht="12.75">
      <c r="B61" s="9" t="s">
        <v>122</v>
      </c>
      <c r="C61" s="9"/>
      <c r="D61" s="14" t="s">
        <v>52</v>
      </c>
      <c r="E61" s="14" t="s">
        <v>95</v>
      </c>
      <c r="F61"/>
      <c r="G61" s="6">
        <v>3.08</v>
      </c>
      <c r="H61" s="6"/>
      <c r="I61" s="6">
        <v>3.57</v>
      </c>
      <c r="J61"/>
      <c r="K61"/>
      <c r="L61"/>
      <c r="M61" s="59"/>
    </row>
    <row r="62" spans="2:12" ht="12.75">
      <c r="B62" s="9" t="s">
        <v>123</v>
      </c>
      <c r="C62" s="9"/>
      <c r="D62" s="14" t="s">
        <v>52</v>
      </c>
      <c r="E62" s="14" t="s">
        <v>95</v>
      </c>
      <c r="F62"/>
      <c r="G62">
        <v>0.03</v>
      </c>
      <c r="H62"/>
      <c r="I62">
        <v>0.03</v>
      </c>
      <c r="J62"/>
      <c r="K62"/>
      <c r="L62"/>
    </row>
    <row r="63" spans="2:13" ht="12.75">
      <c r="B63" s="9"/>
      <c r="C63" s="9"/>
      <c r="F63"/>
      <c r="G63"/>
      <c r="H63"/>
      <c r="I63" s="19"/>
      <c r="J63"/>
      <c r="K63"/>
      <c r="L63"/>
      <c r="M63"/>
    </row>
    <row r="64" spans="2:13" ht="12.75">
      <c r="B64" s="9" t="s">
        <v>80</v>
      </c>
      <c r="C64" s="9" t="s">
        <v>125</v>
      </c>
      <c r="D64" s="9" t="s">
        <v>201</v>
      </c>
      <c r="F64"/>
      <c r="G64"/>
      <c r="H64"/>
      <c r="I64" s="19"/>
      <c r="J64"/>
      <c r="K64"/>
      <c r="L64"/>
      <c r="M64"/>
    </row>
    <row r="65" spans="2:13" ht="12.75">
      <c r="B65" s="9" t="s">
        <v>76</v>
      </c>
      <c r="C65" s="9"/>
      <c r="D65" s="9" t="s">
        <v>17</v>
      </c>
      <c r="F65"/>
      <c r="G65" s="19">
        <v>7372</v>
      </c>
      <c r="I65" s="19">
        <v>7814</v>
      </c>
      <c r="J65"/>
      <c r="K65"/>
      <c r="L65"/>
      <c r="M65" s="6">
        <f>AVERAGE(K65,I65,G65)</f>
        <v>7593</v>
      </c>
    </row>
    <row r="66" spans="2:13" ht="12.75">
      <c r="B66" s="9" t="s">
        <v>78</v>
      </c>
      <c r="C66" s="9"/>
      <c r="D66" s="9" t="s">
        <v>18</v>
      </c>
      <c r="F66"/>
      <c r="G66">
        <v>8.97</v>
      </c>
      <c r="H66"/>
      <c r="I66">
        <v>10.17</v>
      </c>
      <c r="J66"/>
      <c r="K66"/>
      <c r="L66"/>
      <c r="M66" s="6">
        <f>AVERAGE(K66,I66,G66)</f>
        <v>9.57</v>
      </c>
    </row>
    <row r="67" spans="2:13" ht="12.75">
      <c r="B67" s="9" t="s">
        <v>79</v>
      </c>
      <c r="C67" s="9"/>
      <c r="D67" s="9" t="s">
        <v>18</v>
      </c>
      <c r="F67"/>
      <c r="G67">
        <v>25</v>
      </c>
      <c r="H67"/>
      <c r="I67">
        <v>24.4</v>
      </c>
      <c r="J67"/>
      <c r="K67"/>
      <c r="L67"/>
      <c r="M67" s="6">
        <f>AVERAGE(K67,I67,G67)</f>
        <v>24.7</v>
      </c>
    </row>
    <row r="68" spans="2:13" ht="12.75">
      <c r="B68" s="9" t="s">
        <v>75</v>
      </c>
      <c r="C68" s="9"/>
      <c r="D68" s="9" t="s">
        <v>19</v>
      </c>
      <c r="F68"/>
      <c r="G68">
        <v>150</v>
      </c>
      <c r="H68"/>
      <c r="I68">
        <v>149</v>
      </c>
      <c r="J68"/>
      <c r="K68"/>
      <c r="L68"/>
      <c r="M68" s="6">
        <f>AVERAGE(K68,I68,G68)</f>
        <v>149.5</v>
      </c>
    </row>
    <row r="69" spans="2:13" ht="12.75">
      <c r="B69" s="9"/>
      <c r="C69" s="9"/>
      <c r="F69"/>
      <c r="G69"/>
      <c r="H69"/>
      <c r="I69"/>
      <c r="J69"/>
      <c r="K69"/>
      <c r="L69"/>
      <c r="M69"/>
    </row>
    <row r="70" spans="2:13" ht="12.75">
      <c r="B70" s="9" t="s">
        <v>80</v>
      </c>
      <c r="C70" s="9" t="s">
        <v>66</v>
      </c>
      <c r="D70" s="9" t="s">
        <v>202</v>
      </c>
      <c r="F70"/>
      <c r="G70"/>
      <c r="H70"/>
      <c r="I70"/>
      <c r="J70"/>
      <c r="K70"/>
      <c r="L70"/>
      <c r="M70"/>
    </row>
    <row r="71" spans="2:13" ht="12.75">
      <c r="B71" s="9" t="s">
        <v>76</v>
      </c>
      <c r="C71" s="9"/>
      <c r="D71" s="9" t="s">
        <v>17</v>
      </c>
      <c r="F71"/>
      <c r="G71">
        <v>7720</v>
      </c>
      <c r="H71"/>
      <c r="I71">
        <v>7652</v>
      </c>
      <c r="J71"/>
      <c r="K71"/>
      <c r="L71"/>
      <c r="M71" s="6">
        <f>AVERAGE(K71,I71,G71)</f>
        <v>7686</v>
      </c>
    </row>
    <row r="72" spans="2:13" ht="12.75">
      <c r="B72" s="9" t="s">
        <v>78</v>
      </c>
      <c r="C72" s="9"/>
      <c r="D72" s="9" t="s">
        <v>18</v>
      </c>
      <c r="F72"/>
      <c r="G72">
        <v>8.97</v>
      </c>
      <c r="H72"/>
      <c r="I72">
        <v>10.17</v>
      </c>
      <c r="J72"/>
      <c r="K72"/>
      <c r="L72"/>
      <c r="M72" s="6">
        <f>AVERAGE(K72,I72,G72)</f>
        <v>9.57</v>
      </c>
    </row>
    <row r="73" spans="2:13" ht="12.75">
      <c r="B73" s="9" t="s">
        <v>79</v>
      </c>
      <c r="C73" s="9"/>
      <c r="D73" s="9" t="s">
        <v>18</v>
      </c>
      <c r="F73"/>
      <c r="G73">
        <v>26.4</v>
      </c>
      <c r="H73"/>
      <c r="I73">
        <v>25.7</v>
      </c>
      <c r="J73"/>
      <c r="K73"/>
      <c r="L73"/>
      <c r="M73" s="6">
        <f>AVERAGE(K73,I73,G73)</f>
        <v>26.049999999999997</v>
      </c>
    </row>
    <row r="74" spans="2:13" ht="12.75">
      <c r="B74" s="9" t="s">
        <v>75</v>
      </c>
      <c r="C74" s="9"/>
      <c r="D74" s="9" t="s">
        <v>19</v>
      </c>
      <c r="F74"/>
      <c r="G74">
        <v>153.4</v>
      </c>
      <c r="H74"/>
      <c r="I74">
        <v>151.6</v>
      </c>
      <c r="J74"/>
      <c r="K74"/>
      <c r="L74"/>
      <c r="M74" s="6">
        <f>AVERAGE(K74,I74,G74)</f>
        <v>152.5</v>
      </c>
    </row>
    <row r="75" spans="2:13" ht="12.75">
      <c r="B75" s="9"/>
      <c r="C75" s="9"/>
      <c r="D75" s="14"/>
      <c r="F75"/>
      <c r="G75"/>
      <c r="H75"/>
      <c r="I75"/>
      <c r="J75"/>
      <c r="K75"/>
      <c r="L75"/>
      <c r="M75" s="59"/>
    </row>
    <row r="76" spans="2:13" ht="12.75">
      <c r="B76" s="9" t="s">
        <v>222</v>
      </c>
      <c r="C76" s="9" t="s">
        <v>201</v>
      </c>
      <c r="D76" s="14" t="s">
        <v>16</v>
      </c>
      <c r="E76" s="9" t="s">
        <v>15</v>
      </c>
      <c r="F76"/>
      <c r="G76" s="60">
        <f>G60*(21-7)/(21-G66)</f>
        <v>0.9775561097256859</v>
      </c>
      <c r="H76"/>
      <c r="I76" s="60">
        <f>I60*(21-7)/(21-I66)</f>
        <v>1.1117266851338872</v>
      </c>
      <c r="J76"/>
      <c r="K76"/>
      <c r="L76"/>
      <c r="M76" s="6">
        <f>AVERAGE(K76,I76,G76)</f>
        <v>1.0446413974297866</v>
      </c>
    </row>
    <row r="77" spans="2:13" ht="12.75">
      <c r="B77" s="9" t="s">
        <v>122</v>
      </c>
      <c r="C77" s="9" t="s">
        <v>201</v>
      </c>
      <c r="D77" s="14" t="s">
        <v>16</v>
      </c>
      <c r="E77" s="9" t="s">
        <v>15</v>
      </c>
      <c r="F77"/>
      <c r="G77" s="6">
        <f>G61*454/60/0.0283/G$65*(21-7)/(21-G$66)*1231.56</f>
        <v>160.10376326190422</v>
      </c>
      <c r="H77" s="6"/>
      <c r="I77" s="6">
        <f>I61*454/60/0.0283/I$65*(21-7)/(21-I$66)*1231.56</f>
        <v>194.4769479265609</v>
      </c>
      <c r="J77"/>
      <c r="K77"/>
      <c r="L77"/>
      <c r="M77" s="6">
        <f>AVERAGE(K77,I77,G77)</f>
        <v>177.29035559423255</v>
      </c>
    </row>
    <row r="78" spans="2:13" ht="12.75">
      <c r="B78" s="9" t="s">
        <v>123</v>
      </c>
      <c r="C78" s="9" t="s">
        <v>201</v>
      </c>
      <c r="D78" s="14" t="s">
        <v>16</v>
      </c>
      <c r="E78" s="9" t="s">
        <v>15</v>
      </c>
      <c r="F78"/>
      <c r="G78" s="6">
        <f>G62*454/60/0.0283/G$65*(21-7)/(21-G$66)*1231.56</f>
        <v>1.5594522395640025</v>
      </c>
      <c r="H78"/>
      <c r="I78" s="6">
        <f>I62*454/60/0.0283/I$65*(21-7)/(21-I$66)*1231.56</f>
        <v>1.6342600666097553</v>
      </c>
      <c r="J78"/>
      <c r="K78"/>
      <c r="L78"/>
      <c r="M78" s="6">
        <f>AVERAGE(K78,I78,G78)</f>
        <v>1.596856153086879</v>
      </c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spans="2:12" ht="12.75">
      <c r="B101" s="9"/>
      <c r="C101" s="9"/>
      <c r="G101" s="25"/>
      <c r="H101" s="25"/>
      <c r="I101" s="26"/>
      <c r="J101" s="25"/>
      <c r="K101" s="25"/>
      <c r="L101" s="25"/>
    </row>
    <row r="102" spans="2:12" ht="12.75">
      <c r="B102" s="9"/>
      <c r="C102" s="9"/>
      <c r="G102" s="25"/>
      <c r="H102" s="25"/>
      <c r="I102" s="26"/>
      <c r="J102" s="25"/>
      <c r="K102" s="25"/>
      <c r="L102" s="25"/>
    </row>
    <row r="103" spans="2:3" ht="12.75">
      <c r="B103" s="9"/>
      <c r="C103" s="9"/>
    </row>
    <row r="104" spans="2:12" ht="12.75">
      <c r="B104" s="23"/>
      <c r="C104" s="23"/>
      <c r="G104" s="21"/>
      <c r="H104" s="21"/>
      <c r="I104" s="22"/>
      <c r="J104" s="21"/>
      <c r="K104" s="21"/>
      <c r="L104" s="21"/>
    </row>
    <row r="105" spans="2:12" ht="12.75">
      <c r="B105" s="9"/>
      <c r="C105" s="9"/>
      <c r="D105" s="14"/>
      <c r="E105" s="14"/>
      <c r="F105" s="14"/>
      <c r="G105" s="14"/>
      <c r="H105" s="14"/>
      <c r="I105" s="24"/>
      <c r="J105" s="14"/>
      <c r="K105" s="14"/>
      <c r="L105" s="14"/>
    </row>
    <row r="106" spans="2:12" ht="12.75">
      <c r="B106" s="9"/>
      <c r="C106" s="9"/>
      <c r="G106" s="25"/>
      <c r="H106" s="25"/>
      <c r="I106" s="26"/>
      <c r="J106" s="25"/>
      <c r="K106" s="25"/>
      <c r="L106" s="25"/>
    </row>
    <row r="107" spans="2:12" ht="12.75">
      <c r="B107" s="9"/>
      <c r="C107" s="9"/>
      <c r="G107" s="25"/>
      <c r="H107" s="25"/>
      <c r="I107" s="26"/>
      <c r="J107" s="25"/>
      <c r="K107" s="25"/>
      <c r="L107" s="25"/>
    </row>
    <row r="108" spans="2:12" ht="12.75">
      <c r="B108" s="9"/>
      <c r="C108" s="9"/>
      <c r="G108" s="25"/>
      <c r="H108" s="25"/>
      <c r="I108" s="26"/>
      <c r="J108" s="25"/>
      <c r="K108" s="25"/>
      <c r="L108" s="25"/>
    </row>
    <row r="109" spans="2:12" ht="12.75">
      <c r="B109" s="9"/>
      <c r="C109" s="9"/>
      <c r="G109" s="25"/>
      <c r="H109" s="25"/>
      <c r="I109" s="26"/>
      <c r="J109" s="25"/>
      <c r="K109" s="25"/>
      <c r="L109" s="25"/>
    </row>
    <row r="110" spans="2:12" ht="12.75">
      <c r="B110" s="9"/>
      <c r="C110" s="9"/>
      <c r="G110" s="25"/>
      <c r="H110" s="25"/>
      <c r="I110" s="26"/>
      <c r="J110" s="25"/>
      <c r="K110" s="25"/>
      <c r="L110" s="25"/>
    </row>
    <row r="111" spans="2:12" ht="12.75">
      <c r="B111" s="9"/>
      <c r="C111" s="9"/>
      <c r="G111" s="25"/>
      <c r="H111" s="25"/>
      <c r="I111" s="26"/>
      <c r="J111" s="25"/>
      <c r="K111" s="25"/>
      <c r="L111" s="25"/>
    </row>
    <row r="112" spans="2:12" ht="12.75">
      <c r="B112" s="9"/>
      <c r="C112" s="9"/>
      <c r="G112" s="25"/>
      <c r="H112" s="25"/>
      <c r="I112" s="26"/>
      <c r="J112" s="25"/>
      <c r="K112" s="25"/>
      <c r="L112" s="25"/>
    </row>
    <row r="113" spans="2:12" ht="12.75">
      <c r="B113" s="9"/>
      <c r="C113" s="9"/>
      <c r="G113" s="25"/>
      <c r="H113" s="25"/>
      <c r="I113" s="26"/>
      <c r="J113" s="25"/>
      <c r="K113" s="25"/>
      <c r="L113" s="25"/>
    </row>
    <row r="114" spans="2:12" ht="12.75">
      <c r="B114" s="9"/>
      <c r="C114" s="9"/>
      <c r="G114" s="25"/>
      <c r="H114" s="25"/>
      <c r="I114" s="26"/>
      <c r="J114" s="10"/>
      <c r="K114" s="25"/>
      <c r="L114" s="25"/>
    </row>
    <row r="115" spans="2:12" ht="12.75">
      <c r="B115" s="9"/>
      <c r="C115" s="9"/>
      <c r="G115" s="25"/>
      <c r="H115" s="25"/>
      <c r="I115" s="26"/>
      <c r="J115" s="25"/>
      <c r="K115" s="25"/>
      <c r="L115" s="25"/>
    </row>
    <row r="116" spans="2:12" ht="12.75">
      <c r="B116" s="9"/>
      <c r="C116" s="9"/>
      <c r="G116" s="25"/>
      <c r="H116" s="25"/>
      <c r="I116" s="26"/>
      <c r="J116" s="25"/>
      <c r="K116" s="25"/>
      <c r="L116" s="25"/>
    </row>
    <row r="117" spans="2:12" ht="12.75">
      <c r="B117" s="9"/>
      <c r="C117" s="9"/>
      <c r="G117" s="25"/>
      <c r="H117" s="25"/>
      <c r="I117" s="26"/>
      <c r="J117" s="25"/>
      <c r="K117" s="25"/>
      <c r="L117" s="25"/>
    </row>
    <row r="118" spans="2:3" ht="12.75">
      <c r="B118" s="9"/>
      <c r="C118" s="9"/>
    </row>
    <row r="119" spans="2:12" ht="12.75">
      <c r="B119" s="9"/>
      <c r="C119" s="9"/>
      <c r="G119" s="25"/>
      <c r="H119" s="25"/>
      <c r="I119" s="26"/>
      <c r="J119" s="25"/>
      <c r="K119" s="25"/>
      <c r="L119" s="25"/>
    </row>
    <row r="120" spans="2:12" ht="12.75">
      <c r="B120" s="9"/>
      <c r="C120" s="9"/>
      <c r="G120" s="25"/>
      <c r="H120" s="25"/>
      <c r="I120" s="26"/>
      <c r="J120" s="10"/>
      <c r="K120" s="25"/>
      <c r="L120" s="25"/>
    </row>
    <row r="121" spans="2:12" ht="12.75">
      <c r="B121" s="9"/>
      <c r="C121" s="9"/>
      <c r="G121" s="25"/>
      <c r="H121" s="25"/>
      <c r="I121" s="26"/>
      <c r="J121" s="25"/>
      <c r="K121" s="25"/>
      <c r="L121" s="25"/>
    </row>
    <row r="122" spans="2:12" ht="12.75">
      <c r="B122" s="9"/>
      <c r="C122" s="9"/>
      <c r="G122" s="25"/>
      <c r="H122" s="25"/>
      <c r="I122" s="26"/>
      <c r="J122" s="25"/>
      <c r="K122" s="25"/>
      <c r="L122" s="25"/>
    </row>
    <row r="123" spans="2:12" ht="12.75">
      <c r="B123" s="9"/>
      <c r="C123" s="9"/>
      <c r="G123" s="25"/>
      <c r="H123" s="25"/>
      <c r="I123" s="26"/>
      <c r="J123" s="25"/>
      <c r="K123" s="25"/>
      <c r="L123" s="25"/>
    </row>
    <row r="124" spans="7:12" ht="12.75">
      <c r="G124" s="27"/>
      <c r="K124" s="27"/>
      <c r="L124" s="27"/>
    </row>
    <row r="126" spans="2:3" ht="12.75">
      <c r="B126" s="18"/>
      <c r="C126" s="18"/>
    </row>
    <row r="127" spans="2:3" ht="12.75">
      <c r="B127" s="9"/>
      <c r="C127" s="9"/>
    </row>
    <row r="128" spans="2:3" ht="12.75">
      <c r="B128" s="23"/>
      <c r="C128" s="23"/>
    </row>
    <row r="129" spans="2:3" ht="12.75">
      <c r="B129" s="9"/>
      <c r="C129" s="9"/>
    </row>
    <row r="130" spans="2:9" ht="12.75">
      <c r="B130" s="9"/>
      <c r="C130" s="9"/>
      <c r="G130" s="25"/>
      <c r="I130" s="26"/>
    </row>
    <row r="131" spans="2:9" ht="12.75">
      <c r="B131" s="9"/>
      <c r="C131" s="9"/>
      <c r="G131" s="25"/>
      <c r="I131" s="26"/>
    </row>
    <row r="132" spans="7:9" ht="12.75">
      <c r="G132" s="25"/>
      <c r="I132" s="26"/>
    </row>
    <row r="133" spans="2:12" ht="12.75">
      <c r="B133" s="9"/>
      <c r="C133" s="9"/>
      <c r="G133" s="25"/>
      <c r="H133" s="21"/>
      <c r="I133" s="26"/>
      <c r="J133" s="21"/>
      <c r="K133" s="25"/>
      <c r="L133" s="25"/>
    </row>
    <row r="134" spans="7:9" ht="12.75">
      <c r="G134" s="25"/>
      <c r="I134" s="26"/>
    </row>
    <row r="135" spans="2:9" ht="12.75">
      <c r="B135" s="9"/>
      <c r="C135" s="9"/>
      <c r="G135" s="25"/>
      <c r="I135" s="26"/>
    </row>
    <row r="136" spans="2:9" ht="12.75">
      <c r="B136" s="9"/>
      <c r="C136" s="9"/>
      <c r="G136" s="25"/>
      <c r="I136" s="26"/>
    </row>
    <row r="137" spans="2:9" ht="12.75">
      <c r="B137" s="9"/>
      <c r="C137" s="9"/>
      <c r="G137" s="25"/>
      <c r="I137" s="26"/>
    </row>
    <row r="138" spans="2:9" ht="12.75">
      <c r="B138" s="9"/>
      <c r="C138" s="9"/>
      <c r="G138" s="25"/>
      <c r="I138" s="26"/>
    </row>
    <row r="139" spans="7:9" ht="12.75">
      <c r="G139" s="25"/>
      <c r="I139" s="26"/>
    </row>
    <row r="140" spans="2:12" ht="12.75">
      <c r="B140" s="18"/>
      <c r="C140" s="18"/>
      <c r="G140" s="21"/>
      <c r="H140" s="21"/>
      <c r="I140" s="22"/>
      <c r="J140" s="21"/>
      <c r="K140" s="21"/>
      <c r="L140" s="21"/>
    </row>
    <row r="143" spans="7:12" ht="12.75">
      <c r="G143" s="27"/>
      <c r="K143" s="27"/>
      <c r="L143" s="27"/>
    </row>
    <row r="144" spans="7:12" ht="12.75">
      <c r="G144" s="27"/>
      <c r="K144" s="27"/>
      <c r="L144" s="27"/>
    </row>
    <row r="145" spans="7:12" ht="12.75">
      <c r="G145" s="27"/>
      <c r="K145" s="27"/>
      <c r="L145" s="27"/>
    </row>
    <row r="146" spans="7:12" ht="12.75">
      <c r="G146" s="27"/>
      <c r="K146" s="27"/>
      <c r="L146" s="27"/>
    </row>
    <row r="147" spans="7:12" ht="12.75">
      <c r="G147" s="27"/>
      <c r="K147" s="27"/>
      <c r="L147" s="27"/>
    </row>
    <row r="148" spans="7:12" ht="12.75">
      <c r="G148" s="27"/>
      <c r="K148" s="27"/>
      <c r="L148" s="27"/>
    </row>
    <row r="149" spans="7:12" ht="12.75">
      <c r="G149" s="27"/>
      <c r="K149" s="27"/>
      <c r="L149" s="27"/>
    </row>
    <row r="150" spans="7:12" ht="12.75">
      <c r="G150" s="27"/>
      <c r="K150" s="27"/>
      <c r="L150" s="27"/>
    </row>
    <row r="151" spans="7:12" ht="12.75">
      <c r="G151" s="27"/>
      <c r="K151" s="27"/>
      <c r="L151" s="27"/>
    </row>
    <row r="152" spans="7:12" ht="12.75">
      <c r="G152" s="27"/>
      <c r="K152" s="27"/>
      <c r="L152" s="27"/>
    </row>
    <row r="153" spans="7:12" ht="12.75">
      <c r="G153" s="27"/>
      <c r="K153" s="27"/>
      <c r="L153" s="27"/>
    </row>
    <row r="154" spans="7:12" ht="12.75">
      <c r="G154" s="27"/>
      <c r="K154" s="27"/>
      <c r="L154" s="27"/>
    </row>
    <row r="156" spans="7:12" ht="12.75">
      <c r="G156" s="27"/>
      <c r="K156" s="27"/>
      <c r="L156" s="2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74"/>
  <sheetViews>
    <sheetView workbookViewId="0" topLeftCell="B1">
      <selection activeCell="AA12" sqref="AA12"/>
    </sheetView>
  </sheetViews>
  <sheetFormatPr defaultColWidth="9.140625" defaultRowHeight="12.75"/>
  <cols>
    <col min="1" max="1" width="9.140625" style="66" hidden="1" customWidth="1"/>
    <col min="2" max="2" width="17.00390625" style="66" customWidth="1"/>
    <col min="3" max="3" width="9.28125" style="66" customWidth="1"/>
    <col min="4" max="4" width="9.140625" style="66" customWidth="1"/>
    <col min="5" max="5" width="2.57421875" style="66" customWidth="1"/>
    <col min="6" max="6" width="3.140625" style="66" customWidth="1"/>
    <col min="7" max="7" width="9.140625" style="66" customWidth="1"/>
    <col min="8" max="8" width="3.57421875" style="66" customWidth="1"/>
    <col min="9" max="9" width="9.140625" style="66" customWidth="1"/>
    <col min="10" max="10" width="3.28125" style="66" customWidth="1"/>
    <col min="11" max="11" width="9.140625" style="66" customWidth="1"/>
    <col min="12" max="12" width="3.7109375" style="66" customWidth="1"/>
    <col min="13" max="13" width="9.140625" style="66" customWidth="1"/>
    <col min="14" max="14" width="2.421875" style="66" hidden="1" customWidth="1"/>
    <col min="15" max="20" width="0" style="66" hidden="1" customWidth="1"/>
    <col min="21" max="22" width="9.140625" style="66" hidden="1" customWidth="1"/>
    <col min="23" max="24" width="0" style="66" hidden="1" customWidth="1"/>
    <col min="25" max="16384" width="9.140625" style="66" customWidth="1"/>
  </cols>
  <sheetData>
    <row r="1" ht="12.75">
      <c r="B1" s="67" t="s">
        <v>187</v>
      </c>
    </row>
    <row r="2" ht="12.75">
      <c r="B2" s="67"/>
    </row>
    <row r="3" ht="12.75">
      <c r="B3" s="67"/>
    </row>
    <row r="4" spans="2:13" ht="12.75">
      <c r="B4" s="67" t="s">
        <v>121</v>
      </c>
      <c r="G4" s="75" t="s">
        <v>110</v>
      </c>
      <c r="H4" s="75"/>
      <c r="I4" s="75" t="s">
        <v>111</v>
      </c>
      <c r="J4" s="75"/>
      <c r="K4" s="75" t="s">
        <v>112</v>
      </c>
      <c r="L4" s="75"/>
      <c r="M4" s="75" t="s">
        <v>47</v>
      </c>
    </row>
    <row r="6" spans="1:24" s="68" customFormat="1" ht="12.75">
      <c r="A6" s="68" t="s">
        <v>121</v>
      </c>
      <c r="B6" s="68" t="s">
        <v>13</v>
      </c>
      <c r="C6" s="68" t="s">
        <v>201</v>
      </c>
      <c r="D6" s="68" t="s">
        <v>14</v>
      </c>
      <c r="E6" s="68" t="s">
        <v>15</v>
      </c>
      <c r="F6" s="69" t="s">
        <v>156</v>
      </c>
      <c r="G6" s="70">
        <v>0.008847868253656927</v>
      </c>
      <c r="H6" s="70" t="s">
        <v>156</v>
      </c>
      <c r="I6" s="70">
        <v>0.008705916983311022</v>
      </c>
      <c r="J6" s="70" t="s">
        <v>156</v>
      </c>
      <c r="K6" s="70">
        <v>0.005233319205298012</v>
      </c>
      <c r="L6" s="70" t="s">
        <v>156</v>
      </c>
      <c r="M6" s="70">
        <f>AVERAGE(G6,I6,K6)</f>
        <v>0.00759570148075532</v>
      </c>
      <c r="N6" s="70" t="s">
        <v>156</v>
      </c>
      <c r="O6" s="70"/>
      <c r="P6" s="70" t="s">
        <v>156</v>
      </c>
      <c r="Q6" s="70"/>
      <c r="R6" s="70" t="s">
        <v>156</v>
      </c>
      <c r="S6" s="70"/>
      <c r="T6" s="70" t="s">
        <v>156</v>
      </c>
      <c r="U6" s="70"/>
      <c r="V6" s="69" t="s">
        <v>156</v>
      </c>
      <c r="W6" s="69"/>
      <c r="X6" s="68">
        <v>0.007595701480755321</v>
      </c>
    </row>
    <row r="7" spans="1:24" s="68" customFormat="1" ht="12.75">
      <c r="A7" s="68" t="s">
        <v>121</v>
      </c>
      <c r="B7" s="68" t="s">
        <v>97</v>
      </c>
      <c r="C7" s="68" t="s">
        <v>201</v>
      </c>
      <c r="D7" s="68" t="s">
        <v>16</v>
      </c>
      <c r="E7" s="68" t="s">
        <v>15</v>
      </c>
      <c r="F7" s="69" t="s">
        <v>156</v>
      </c>
      <c r="G7" s="71">
        <v>81.58699194453823</v>
      </c>
      <c r="H7" s="71" t="s">
        <v>156</v>
      </c>
      <c r="I7" s="71">
        <v>46.394885376141474</v>
      </c>
      <c r="J7" s="71" t="s">
        <v>156</v>
      </c>
      <c r="K7" s="71">
        <v>21.890522270529473</v>
      </c>
      <c r="L7" s="69" t="s">
        <v>156</v>
      </c>
      <c r="M7" s="71">
        <f>AVERAGE(G7,I7,K7)</f>
        <v>49.95746653040305</v>
      </c>
      <c r="N7" s="69" t="s">
        <v>156</v>
      </c>
      <c r="O7" s="69"/>
      <c r="P7" s="69" t="s">
        <v>156</v>
      </c>
      <c r="Q7" s="69"/>
      <c r="R7" s="69" t="s">
        <v>156</v>
      </c>
      <c r="S7" s="69"/>
      <c r="T7" s="69" t="s">
        <v>156</v>
      </c>
      <c r="U7" s="69"/>
      <c r="V7" s="69" t="s">
        <v>156</v>
      </c>
      <c r="W7" s="69"/>
      <c r="X7" s="68">
        <v>49.95746653040305</v>
      </c>
    </row>
    <row r="8" spans="1:24" s="68" customFormat="1" ht="12.75">
      <c r="A8" s="68" t="s">
        <v>121</v>
      </c>
      <c r="B8" s="68" t="s">
        <v>222</v>
      </c>
      <c r="C8" s="68" t="s">
        <v>201</v>
      </c>
      <c r="D8" s="68" t="s">
        <v>16</v>
      </c>
      <c r="E8" s="68" t="s">
        <v>15</v>
      </c>
      <c r="F8" s="69" t="s">
        <v>156</v>
      </c>
      <c r="G8" s="71">
        <v>3.9804562736577744</v>
      </c>
      <c r="H8" s="71" t="s">
        <v>156</v>
      </c>
      <c r="I8" s="71"/>
      <c r="J8" s="71" t="s">
        <v>156</v>
      </c>
      <c r="K8" s="71">
        <v>0.34825830884933257</v>
      </c>
      <c r="L8" s="69" t="s">
        <v>156</v>
      </c>
      <c r="M8" s="71">
        <f>AVERAGE(G8,I8,K8)</f>
        <v>2.1643572912535536</v>
      </c>
      <c r="N8" s="69" t="s">
        <v>156</v>
      </c>
      <c r="O8" s="69"/>
      <c r="P8" s="69" t="s">
        <v>156</v>
      </c>
      <c r="Q8" s="69"/>
      <c r="R8" s="69" t="s">
        <v>156</v>
      </c>
      <c r="S8" s="69"/>
      <c r="T8" s="69" t="s">
        <v>156</v>
      </c>
      <c r="U8" s="69"/>
      <c r="V8" s="69" t="s">
        <v>156</v>
      </c>
      <c r="W8" s="69"/>
      <c r="X8" s="68">
        <v>2.1643572912535536</v>
      </c>
    </row>
    <row r="9" spans="1:24" s="68" customFormat="1" ht="12.75">
      <c r="A9" s="68" t="s">
        <v>121</v>
      </c>
      <c r="B9" s="68" t="s">
        <v>50</v>
      </c>
      <c r="C9" s="68" t="s">
        <v>201</v>
      </c>
      <c r="D9" s="68" t="s">
        <v>16</v>
      </c>
      <c r="E9" s="68" t="s">
        <v>15</v>
      </c>
      <c r="F9" s="69" t="s">
        <v>156</v>
      </c>
      <c r="G9" s="71">
        <v>9.780649904827982</v>
      </c>
      <c r="H9" s="71" t="s">
        <v>156</v>
      </c>
      <c r="I9" s="71">
        <v>12.486629048899433</v>
      </c>
      <c r="J9" s="71" t="s">
        <v>156</v>
      </c>
      <c r="K9" s="71">
        <v>18.201459394336542</v>
      </c>
      <c r="L9" s="69" t="s">
        <v>156</v>
      </c>
      <c r="M9" s="71">
        <f>AVERAGE(G9,I9,K9)</f>
        <v>13.48957944935465</v>
      </c>
      <c r="N9" s="69" t="s">
        <v>156</v>
      </c>
      <c r="O9" s="69"/>
      <c r="P9" s="69" t="s">
        <v>156</v>
      </c>
      <c r="Q9" s="69"/>
      <c r="R9" s="69" t="s">
        <v>156</v>
      </c>
      <c r="S9" s="69"/>
      <c r="T9" s="69" t="s">
        <v>156</v>
      </c>
      <c r="U9" s="69"/>
      <c r="V9" s="69" t="s">
        <v>156</v>
      </c>
      <c r="W9" s="69"/>
      <c r="X9" s="68">
        <v>13.489579449354652</v>
      </c>
    </row>
    <row r="10" spans="2:23" s="68" customFormat="1" ht="12.75">
      <c r="B10" s="68" t="s">
        <v>239</v>
      </c>
      <c r="C10" s="68" t="s">
        <v>201</v>
      </c>
      <c r="D10" s="68" t="s">
        <v>16</v>
      </c>
      <c r="E10" s="68" t="s">
        <v>15</v>
      </c>
      <c r="F10" s="69"/>
      <c r="G10" s="71">
        <f>G9</f>
        <v>9.780649904827982</v>
      </c>
      <c r="H10" s="71"/>
      <c r="I10" s="71">
        <f>I9</f>
        <v>12.486629048899433</v>
      </c>
      <c r="J10" s="71"/>
      <c r="K10" s="71">
        <f>K9</f>
        <v>18.201459394336542</v>
      </c>
      <c r="L10" s="69"/>
      <c r="M10" s="71">
        <f>AVERAGE(G10,I10,K10)</f>
        <v>13.48957944935465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6:23" s="68" customFormat="1" ht="12.75">
      <c r="F11" s="69"/>
      <c r="G11" s="71"/>
      <c r="H11" s="71"/>
      <c r="I11" s="71"/>
      <c r="J11" s="71"/>
      <c r="K11" s="71"/>
      <c r="L11" s="69"/>
      <c r="M11" s="71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:24" s="68" customFormat="1" ht="12.75">
      <c r="A12" s="68" t="s">
        <v>121</v>
      </c>
      <c r="B12" s="68" t="s">
        <v>157</v>
      </c>
      <c r="C12" s="68" t="s">
        <v>202</v>
      </c>
      <c r="D12" s="68" t="s">
        <v>54</v>
      </c>
      <c r="E12" s="68" t="s">
        <v>15</v>
      </c>
      <c r="F12" s="69" t="s">
        <v>156</v>
      </c>
      <c r="G12" s="71">
        <v>2.763467834799356</v>
      </c>
      <c r="H12" s="71" t="s">
        <v>158</v>
      </c>
      <c r="I12" s="71">
        <v>6.173476608533852</v>
      </c>
      <c r="J12" s="71" t="s">
        <v>156</v>
      </c>
      <c r="K12" s="71">
        <v>2.996330325487369</v>
      </c>
      <c r="L12" s="69" t="s">
        <v>156</v>
      </c>
      <c r="M12" s="71">
        <f aca="true" t="shared" si="0" ref="M12:M18">AVERAGE(G12,I12,K12)</f>
        <v>3.977758256273525</v>
      </c>
      <c r="N12" s="69" t="s">
        <v>156</v>
      </c>
      <c r="O12" s="69"/>
      <c r="P12" s="69" t="s">
        <v>156</v>
      </c>
      <c r="Q12" s="69"/>
      <c r="R12" s="69" t="s">
        <v>156</v>
      </c>
      <c r="S12" s="69"/>
      <c r="T12" s="69" t="s">
        <v>156</v>
      </c>
      <c r="U12" s="69"/>
      <c r="V12" s="69" t="s">
        <v>156</v>
      </c>
      <c r="W12" s="69"/>
      <c r="X12" s="68">
        <v>3.977758256273526</v>
      </c>
    </row>
    <row r="13" spans="1:24" s="68" customFormat="1" ht="12.75">
      <c r="A13" s="68" t="s">
        <v>121</v>
      </c>
      <c r="B13" s="68" t="s">
        <v>159</v>
      </c>
      <c r="C13" s="68" t="s">
        <v>202</v>
      </c>
      <c r="D13" s="68" t="s">
        <v>54</v>
      </c>
      <c r="E13" s="68" t="s">
        <v>15</v>
      </c>
      <c r="F13" s="69" t="s">
        <v>158</v>
      </c>
      <c r="G13" s="71">
        <v>4.6575300586506</v>
      </c>
      <c r="H13" s="71" t="s">
        <v>158</v>
      </c>
      <c r="I13" s="71">
        <v>5.1987171440285</v>
      </c>
      <c r="J13" s="71" t="s">
        <v>158</v>
      </c>
      <c r="K13" s="71">
        <v>4.9938838758122825</v>
      </c>
      <c r="L13" s="69">
        <v>100</v>
      </c>
      <c r="M13" s="71">
        <f t="shared" si="0"/>
        <v>4.950043692830461</v>
      </c>
      <c r="N13" s="69" t="s">
        <v>156</v>
      </c>
      <c r="O13" s="69"/>
      <c r="P13" s="69" t="s">
        <v>156</v>
      </c>
      <c r="Q13" s="69"/>
      <c r="R13" s="69" t="s">
        <v>156</v>
      </c>
      <c r="S13" s="69"/>
      <c r="T13" s="69" t="s">
        <v>156</v>
      </c>
      <c r="U13" s="69"/>
      <c r="V13" s="69" t="s">
        <v>156</v>
      </c>
      <c r="W13" s="69"/>
      <c r="X13" s="68">
        <v>4.950043692830461</v>
      </c>
    </row>
    <row r="14" spans="1:24" s="68" customFormat="1" ht="12.75">
      <c r="A14" s="68" t="s">
        <v>121</v>
      </c>
      <c r="B14" s="68" t="s">
        <v>160</v>
      </c>
      <c r="C14" s="68" t="s">
        <v>202</v>
      </c>
      <c r="D14" s="68" t="s">
        <v>54</v>
      </c>
      <c r="E14" s="68" t="s">
        <v>15</v>
      </c>
      <c r="F14" s="69" t="s">
        <v>156</v>
      </c>
      <c r="G14" s="71">
        <v>8.383554105571081</v>
      </c>
      <c r="H14" s="71" t="s">
        <v>156</v>
      </c>
      <c r="I14" s="71">
        <v>6.4983964300356325</v>
      </c>
      <c r="J14" s="71" t="s">
        <v>156</v>
      </c>
      <c r="K14" s="71">
        <v>5.9302371025270855</v>
      </c>
      <c r="L14" s="69" t="s">
        <v>156</v>
      </c>
      <c r="M14" s="71">
        <f t="shared" si="0"/>
        <v>6.937395879377934</v>
      </c>
      <c r="N14" s="69" t="s">
        <v>156</v>
      </c>
      <c r="O14" s="69"/>
      <c r="P14" s="69" t="s">
        <v>156</v>
      </c>
      <c r="Q14" s="69"/>
      <c r="R14" s="69" t="s">
        <v>156</v>
      </c>
      <c r="S14" s="69"/>
      <c r="T14" s="69" t="s">
        <v>156</v>
      </c>
      <c r="U14" s="69"/>
      <c r="V14" s="69" t="s">
        <v>156</v>
      </c>
      <c r="W14" s="69"/>
      <c r="X14" s="68">
        <v>6.937395879377934</v>
      </c>
    </row>
    <row r="15" spans="1:24" s="68" customFormat="1" ht="12.75">
      <c r="A15" s="68" t="s">
        <v>121</v>
      </c>
      <c r="B15" s="68" t="s">
        <v>161</v>
      </c>
      <c r="C15" s="68" t="s">
        <v>202</v>
      </c>
      <c r="D15" s="68" t="s">
        <v>54</v>
      </c>
      <c r="E15" s="68" t="s">
        <v>15</v>
      </c>
      <c r="F15" s="69" t="s">
        <v>156</v>
      </c>
      <c r="G15" s="71">
        <v>3.4155220430104403</v>
      </c>
      <c r="H15" s="71" t="s">
        <v>156</v>
      </c>
      <c r="I15" s="71">
        <v>0.10722354109558795</v>
      </c>
      <c r="J15" s="71" t="s">
        <v>156</v>
      </c>
      <c r="K15" s="71">
        <v>0.09987767751624563</v>
      </c>
      <c r="L15" s="69" t="s">
        <v>156</v>
      </c>
      <c r="M15" s="71">
        <f t="shared" si="0"/>
        <v>1.2075410872074246</v>
      </c>
      <c r="N15" s="69" t="s">
        <v>156</v>
      </c>
      <c r="O15" s="69"/>
      <c r="P15" s="69" t="s">
        <v>156</v>
      </c>
      <c r="Q15" s="69"/>
      <c r="R15" s="69" t="s">
        <v>156</v>
      </c>
      <c r="S15" s="69"/>
      <c r="T15" s="69" t="s">
        <v>156</v>
      </c>
      <c r="U15" s="69"/>
      <c r="V15" s="69" t="s">
        <v>156</v>
      </c>
      <c r="W15" s="69"/>
      <c r="X15" s="68">
        <v>1.2075410872074246</v>
      </c>
    </row>
    <row r="16" spans="1:24" s="68" customFormat="1" ht="12.75">
      <c r="A16" s="68" t="s">
        <v>121</v>
      </c>
      <c r="B16" s="68" t="s">
        <v>162</v>
      </c>
      <c r="C16" s="68" t="s">
        <v>202</v>
      </c>
      <c r="D16" s="68" t="s">
        <v>54</v>
      </c>
      <c r="E16" s="68" t="s">
        <v>15</v>
      </c>
      <c r="F16" s="69" t="s">
        <v>156</v>
      </c>
      <c r="G16" s="71">
        <v>2.452965830889316</v>
      </c>
      <c r="H16" s="71" t="s">
        <v>156</v>
      </c>
      <c r="I16" s="71">
        <v>1.0397434288057</v>
      </c>
      <c r="J16" s="71" t="s">
        <v>156</v>
      </c>
      <c r="K16" s="71">
        <v>1.0612003236101</v>
      </c>
      <c r="L16" s="69" t="s">
        <v>156</v>
      </c>
      <c r="M16" s="71">
        <f t="shared" si="0"/>
        <v>1.5179698611017052</v>
      </c>
      <c r="N16" s="69" t="s">
        <v>156</v>
      </c>
      <c r="O16" s="69"/>
      <c r="P16" s="69" t="s">
        <v>156</v>
      </c>
      <c r="Q16" s="69"/>
      <c r="R16" s="69" t="s">
        <v>156</v>
      </c>
      <c r="S16" s="69"/>
      <c r="T16" s="69" t="s">
        <v>156</v>
      </c>
      <c r="U16" s="69"/>
      <c r="V16" s="69" t="s">
        <v>156</v>
      </c>
      <c r="W16" s="69"/>
      <c r="X16" s="68">
        <v>1.5179698611017052</v>
      </c>
    </row>
    <row r="17" spans="1:24" s="68" customFormat="1" ht="12.75">
      <c r="A17" s="68" t="s">
        <v>121</v>
      </c>
      <c r="B17" s="68" t="s">
        <v>163</v>
      </c>
      <c r="C17" s="68" t="s">
        <v>202</v>
      </c>
      <c r="D17" s="68" t="s">
        <v>54</v>
      </c>
      <c r="E17" s="68" t="s">
        <v>15</v>
      </c>
      <c r="F17" s="69" t="s">
        <v>156</v>
      </c>
      <c r="G17" s="71">
        <v>403.65260508305204</v>
      </c>
      <c r="H17" s="71" t="s">
        <v>156</v>
      </c>
      <c r="I17" s="71">
        <v>0.09097755002049884</v>
      </c>
      <c r="J17" s="71" t="s">
        <v>158</v>
      </c>
      <c r="K17" s="71">
        <v>0.40575306490974783</v>
      </c>
      <c r="L17" s="69" t="s">
        <v>156</v>
      </c>
      <c r="M17" s="71">
        <f t="shared" si="0"/>
        <v>134.71644523266076</v>
      </c>
      <c r="N17" s="69" t="s">
        <v>156</v>
      </c>
      <c r="P17" s="69"/>
      <c r="Q17" s="69"/>
      <c r="R17" s="69" t="s">
        <v>156</v>
      </c>
      <c r="S17" s="69"/>
      <c r="T17" s="69" t="s">
        <v>156</v>
      </c>
      <c r="U17" s="69"/>
      <c r="V17" s="69" t="s">
        <v>156</v>
      </c>
      <c r="W17" s="69"/>
      <c r="X17" s="68">
        <v>134.71644523266076</v>
      </c>
    </row>
    <row r="18" spans="1:24" s="68" customFormat="1" ht="12.75">
      <c r="A18" s="68" t="s">
        <v>121</v>
      </c>
      <c r="B18" s="68" t="s">
        <v>165</v>
      </c>
      <c r="C18" s="68" t="s">
        <v>202</v>
      </c>
      <c r="D18" s="68" t="s">
        <v>54</v>
      </c>
      <c r="E18" s="68" t="s">
        <v>15</v>
      </c>
      <c r="F18" s="69" t="s">
        <v>158</v>
      </c>
      <c r="G18" s="71">
        <v>4.6575300586506</v>
      </c>
      <c r="H18" s="71" t="s">
        <v>156</v>
      </c>
      <c r="I18" s="71">
        <v>4.5488775010249425</v>
      </c>
      <c r="J18" s="71" t="s">
        <v>156</v>
      </c>
      <c r="K18" s="71">
        <v>2.996330325487369</v>
      </c>
      <c r="L18" s="69" t="s">
        <v>156</v>
      </c>
      <c r="M18" s="71">
        <f t="shared" si="0"/>
        <v>4.067579295054304</v>
      </c>
      <c r="N18" s="69" t="s">
        <v>156</v>
      </c>
      <c r="O18" s="69"/>
      <c r="P18" s="69" t="s">
        <v>156</v>
      </c>
      <c r="Q18" s="69"/>
      <c r="R18" s="69" t="s">
        <v>156</v>
      </c>
      <c r="S18" s="69"/>
      <c r="T18" s="69" t="s">
        <v>156</v>
      </c>
      <c r="U18" s="69"/>
      <c r="V18" s="69" t="s">
        <v>156</v>
      </c>
      <c r="W18" s="69"/>
      <c r="X18" s="68">
        <v>4.067579295054304</v>
      </c>
    </row>
    <row r="19" spans="1:24" s="68" customFormat="1" ht="12.75">
      <c r="A19" s="68" t="s">
        <v>121</v>
      </c>
      <c r="B19" s="68" t="s">
        <v>166</v>
      </c>
      <c r="C19" s="68" t="s">
        <v>202</v>
      </c>
      <c r="D19" s="68" t="s">
        <v>54</v>
      </c>
      <c r="E19" s="68" t="s">
        <v>15</v>
      </c>
      <c r="F19" s="69" t="s">
        <v>156</v>
      </c>
      <c r="G19" s="71">
        <v>5.589036070380722</v>
      </c>
      <c r="H19" s="71" t="s">
        <v>156</v>
      </c>
      <c r="I19" s="71">
        <v>9.097755002049885</v>
      </c>
      <c r="J19" s="71" t="s">
        <v>156</v>
      </c>
      <c r="K19" s="71">
        <v>7.490825813718423</v>
      </c>
      <c r="L19" s="69" t="s">
        <v>156</v>
      </c>
      <c r="M19" s="71">
        <f>AVERAGE(G19,I19,K19)</f>
        <v>7.392538962049677</v>
      </c>
      <c r="N19" s="69" t="s">
        <v>156</v>
      </c>
      <c r="O19" s="69"/>
      <c r="P19" s="69" t="s">
        <v>156</v>
      </c>
      <c r="Q19" s="69"/>
      <c r="R19" s="69" t="s">
        <v>156</v>
      </c>
      <c r="S19" s="69"/>
      <c r="T19" s="69" t="s">
        <v>156</v>
      </c>
      <c r="U19" s="69"/>
      <c r="V19" s="69" t="s">
        <v>156</v>
      </c>
      <c r="W19" s="69"/>
      <c r="X19" s="68">
        <v>7.392538962049677</v>
      </c>
    </row>
    <row r="20" spans="1:24" s="68" customFormat="1" ht="12.75">
      <c r="A20" s="68" t="s">
        <v>121</v>
      </c>
      <c r="B20" s="68" t="s">
        <v>167</v>
      </c>
      <c r="C20" s="68" t="s">
        <v>202</v>
      </c>
      <c r="D20" s="68" t="s">
        <v>54</v>
      </c>
      <c r="E20" s="68" t="s">
        <v>15</v>
      </c>
      <c r="F20" s="69" t="s">
        <v>158</v>
      </c>
      <c r="G20" s="71">
        <v>1.8630120234602403</v>
      </c>
      <c r="H20" s="71" t="s">
        <v>158</v>
      </c>
      <c r="I20" s="71">
        <v>2.0794868576114</v>
      </c>
      <c r="J20" s="71" t="s">
        <v>158</v>
      </c>
      <c r="K20" s="71">
        <v>2.0287653245487394</v>
      </c>
      <c r="L20" s="69" t="s">
        <v>156</v>
      </c>
      <c r="M20" s="71">
        <f>AVERAGE(G20,I20,K20)</f>
        <v>1.9904214018734596</v>
      </c>
      <c r="N20" s="69" t="s">
        <v>156</v>
      </c>
      <c r="O20" s="69"/>
      <c r="P20" s="69" t="s">
        <v>156</v>
      </c>
      <c r="Q20" s="69"/>
      <c r="R20" s="69" t="s">
        <v>156</v>
      </c>
      <c r="S20" s="69"/>
      <c r="T20" s="69" t="s">
        <v>156</v>
      </c>
      <c r="U20" s="69"/>
      <c r="V20" s="69" t="s">
        <v>156</v>
      </c>
      <c r="W20" s="69"/>
      <c r="X20" s="68">
        <v>1.99042140187346</v>
      </c>
    </row>
    <row r="21" spans="1:24" s="68" customFormat="1" ht="12.75">
      <c r="A21" s="68" t="s">
        <v>121</v>
      </c>
      <c r="B21" s="68" t="s">
        <v>168</v>
      </c>
      <c r="C21" s="68" t="s">
        <v>202</v>
      </c>
      <c r="D21" s="68" t="s">
        <v>54</v>
      </c>
      <c r="E21" s="68" t="s">
        <v>15</v>
      </c>
      <c r="F21" s="69" t="s">
        <v>158</v>
      </c>
      <c r="G21" s="71">
        <v>9.3150601173012</v>
      </c>
      <c r="H21" s="71" t="s">
        <v>158</v>
      </c>
      <c r="I21" s="71">
        <v>10.722354109558793</v>
      </c>
      <c r="J21" s="71" t="s">
        <v>158</v>
      </c>
      <c r="K21" s="71">
        <v>10.299885493862831</v>
      </c>
      <c r="L21" s="69" t="s">
        <v>156</v>
      </c>
      <c r="M21" s="71">
        <f>AVERAGE(G21,I21,K21)</f>
        <v>10.112433240240941</v>
      </c>
      <c r="N21" s="69" t="s">
        <v>156</v>
      </c>
      <c r="O21" s="69"/>
      <c r="P21" s="69" t="s">
        <v>156</v>
      </c>
      <c r="Q21" s="69"/>
      <c r="R21" s="69" t="s">
        <v>156</v>
      </c>
      <c r="S21" s="69"/>
      <c r="T21" s="69" t="s">
        <v>156</v>
      </c>
      <c r="U21" s="69"/>
      <c r="V21" s="69" t="s">
        <v>156</v>
      </c>
      <c r="W21" s="69"/>
      <c r="X21" s="68">
        <v>10.112433240240941</v>
      </c>
    </row>
    <row r="22" spans="2:23" s="68" customFormat="1" ht="12.75">
      <c r="B22" s="68" t="s">
        <v>55</v>
      </c>
      <c r="C22" s="68" t="s">
        <v>202</v>
      </c>
      <c r="D22" s="68" t="s">
        <v>54</v>
      </c>
      <c r="E22" s="68" t="s">
        <v>15</v>
      </c>
      <c r="F22" s="69"/>
      <c r="G22" s="71">
        <f>G18+G16</f>
        <v>7.110495889539916</v>
      </c>
      <c r="H22" s="71"/>
      <c r="I22" s="71">
        <f>I18+I16</f>
        <v>5.588620929830642</v>
      </c>
      <c r="J22" s="71"/>
      <c r="K22" s="71">
        <f>K18+K16</f>
        <v>4.057530649097469</v>
      </c>
      <c r="L22" s="69"/>
      <c r="M22" s="71">
        <f>AVERAGE(G22,I22,K22)</f>
        <v>5.585549156156009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2:23" s="68" customFormat="1" ht="12.75">
      <c r="B23" s="68" t="s">
        <v>56</v>
      </c>
      <c r="C23" s="68" t="s">
        <v>202</v>
      </c>
      <c r="D23" s="68" t="s">
        <v>54</v>
      </c>
      <c r="E23" s="68" t="s">
        <v>15</v>
      </c>
      <c r="F23" s="69"/>
      <c r="G23" s="71">
        <f>G13+G15+G17</f>
        <v>411.7256571847131</v>
      </c>
      <c r="H23" s="71"/>
      <c r="I23" s="71">
        <f>I13+I15+I17</f>
        <v>5.396918235144587</v>
      </c>
      <c r="J23" s="71"/>
      <c r="K23" s="71">
        <f>K13+K15+K17</f>
        <v>5.499514618238276</v>
      </c>
      <c r="L23" s="69"/>
      <c r="M23" s="71">
        <f>AVERAGE(G23,I23,K23)</f>
        <v>140.87403001269865</v>
      </c>
      <c r="N23" s="69"/>
      <c r="P23" s="69"/>
      <c r="Q23" s="69"/>
      <c r="R23" s="69"/>
      <c r="S23" s="69"/>
      <c r="T23" s="69"/>
      <c r="U23" s="69"/>
      <c r="V23" s="69"/>
      <c r="W23" s="69"/>
    </row>
    <row r="24" spans="3:23" s="68" customFormat="1" ht="12.75">
      <c r="C24" s="69" t="s">
        <v>164</v>
      </c>
      <c r="F24" s="69"/>
      <c r="G24" s="71"/>
      <c r="H24" s="71"/>
      <c r="I24" s="71"/>
      <c r="J24" s="71"/>
      <c r="K24" s="71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3:23" s="68" customFormat="1" ht="12.75">
      <c r="C25" s="69"/>
      <c r="F25" s="69"/>
      <c r="G25" s="71"/>
      <c r="H25" s="71"/>
      <c r="I25" s="71"/>
      <c r="J25" s="71"/>
      <c r="K25" s="71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2:23" s="68" customFormat="1" ht="12.75">
      <c r="B26" s="68" t="s">
        <v>80</v>
      </c>
      <c r="C26" s="68" t="s">
        <v>169</v>
      </c>
      <c r="D26" s="68" t="s">
        <v>201</v>
      </c>
      <c r="F26" s="69"/>
      <c r="G26" s="71"/>
      <c r="H26" s="71"/>
      <c r="I26" s="71"/>
      <c r="J26" s="71"/>
      <c r="K26" s="71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2:63" s="68" customFormat="1" ht="12.75">
      <c r="B27" s="9" t="s">
        <v>76</v>
      </c>
      <c r="C27" s="9"/>
      <c r="D27" s="9" t="s">
        <v>17</v>
      </c>
      <c r="G27" s="71">
        <v>8760</v>
      </c>
      <c r="H27" s="71"/>
      <c r="I27" s="71">
        <v>8783</v>
      </c>
      <c r="J27" s="71"/>
      <c r="K27" s="71">
        <v>9555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</row>
    <row r="28" spans="2:63" s="68" customFormat="1" ht="12.75">
      <c r="B28" s="9" t="s">
        <v>78</v>
      </c>
      <c r="C28" s="9"/>
      <c r="D28" s="9" t="s">
        <v>18</v>
      </c>
      <c r="G28" s="71">
        <v>7.73</v>
      </c>
      <c r="H28" s="71"/>
      <c r="I28" s="71">
        <v>8.83</v>
      </c>
      <c r="J28" s="71"/>
      <c r="K28" s="71">
        <v>8.92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</row>
    <row r="29" spans="1:63" s="68" customFormat="1" ht="12.75">
      <c r="A29" s="68" t="s">
        <v>121</v>
      </c>
      <c r="B29" s="9" t="s">
        <v>79</v>
      </c>
      <c r="C29" s="9"/>
      <c r="D29" s="9" t="s">
        <v>18</v>
      </c>
      <c r="G29" s="71">
        <v>33.6</v>
      </c>
      <c r="H29" s="71"/>
      <c r="I29" s="71">
        <v>33.6</v>
      </c>
      <c r="J29" s="71"/>
      <c r="K29" s="71">
        <v>31.5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</row>
    <row r="30" spans="2:63" s="68" customFormat="1" ht="12.75">
      <c r="B30" s="9" t="s">
        <v>75</v>
      </c>
      <c r="C30" s="9"/>
      <c r="D30" s="9" t="s">
        <v>19</v>
      </c>
      <c r="G30" s="71">
        <v>162</v>
      </c>
      <c r="H30" s="71"/>
      <c r="I30" s="71">
        <v>158</v>
      </c>
      <c r="J30" s="71"/>
      <c r="K30" s="71">
        <v>157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</row>
    <row r="31" spans="7:63" s="68" customFormat="1" ht="12.75"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</row>
    <row r="32" spans="2:63" s="68" customFormat="1" ht="12.75">
      <c r="B32" s="68" t="s">
        <v>80</v>
      </c>
      <c r="C32" s="68" t="s">
        <v>170</v>
      </c>
      <c r="D32" s="68" t="s">
        <v>202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</row>
    <row r="33" spans="2:63" s="68" customFormat="1" ht="12.75">
      <c r="B33" s="9" t="s">
        <v>76</v>
      </c>
      <c r="C33" s="9"/>
      <c r="D33" s="9" t="s">
        <v>17</v>
      </c>
      <c r="G33" s="71">
        <v>9071</v>
      </c>
      <c r="H33" s="71"/>
      <c r="I33" s="71">
        <v>9452</v>
      </c>
      <c r="J33" s="71"/>
      <c r="K33" s="71">
        <v>9913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</row>
    <row r="34" spans="2:63" s="68" customFormat="1" ht="12.75">
      <c r="B34" s="9" t="s">
        <v>78</v>
      </c>
      <c r="C34" s="9"/>
      <c r="D34" s="9" t="s">
        <v>18</v>
      </c>
      <c r="G34" s="71">
        <v>7.73</v>
      </c>
      <c r="H34" s="71"/>
      <c r="I34" s="71">
        <v>8.83</v>
      </c>
      <c r="J34" s="71"/>
      <c r="K34" s="71">
        <v>8.92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</row>
    <row r="35" spans="2:63" s="68" customFormat="1" ht="12.75">
      <c r="B35" s="9" t="s">
        <v>79</v>
      </c>
      <c r="C35" s="9"/>
      <c r="D35" s="9" t="s">
        <v>18</v>
      </c>
      <c r="G35" s="71">
        <v>31.4</v>
      </c>
      <c r="H35" s="71"/>
      <c r="I35" s="71">
        <v>28.7</v>
      </c>
      <c r="J35" s="71"/>
      <c r="K35" s="71">
        <v>28.9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</row>
    <row r="36" spans="2:63" s="68" customFormat="1" ht="12.75">
      <c r="B36" s="9" t="s">
        <v>75</v>
      </c>
      <c r="C36" s="9"/>
      <c r="D36" s="9" t="s">
        <v>19</v>
      </c>
      <c r="G36" s="71">
        <v>160</v>
      </c>
      <c r="H36" s="71"/>
      <c r="I36" s="71">
        <v>157</v>
      </c>
      <c r="J36" s="71"/>
      <c r="K36" s="71">
        <v>156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</row>
    <row r="37" spans="6:23" s="68" customFormat="1" ht="12.75">
      <c r="F37" s="69"/>
      <c r="G37" s="71"/>
      <c r="H37" s="71"/>
      <c r="I37" s="71"/>
      <c r="J37" s="71"/>
      <c r="K37" s="71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57" s="72" customFormat="1" ht="12.75">
      <c r="A38" s="72" t="s">
        <v>121</v>
      </c>
      <c r="B38" s="72" t="s">
        <v>171</v>
      </c>
      <c r="C38" s="72" t="s">
        <v>51</v>
      </c>
      <c r="D38" s="72" t="s">
        <v>201</v>
      </c>
      <c r="G38" s="73">
        <v>99.9996</v>
      </c>
      <c r="H38" s="73"/>
      <c r="I38" s="73">
        <v>99.999</v>
      </c>
      <c r="J38" s="73"/>
      <c r="K38" s="73">
        <v>99.999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</row>
    <row r="39" spans="1:57" s="72" customFormat="1" ht="12.75">
      <c r="A39" s="72" t="s">
        <v>121</v>
      </c>
      <c r="B39" s="72" t="s">
        <v>172</v>
      </c>
      <c r="C39" s="72" t="s">
        <v>51</v>
      </c>
      <c r="D39" s="72" t="s">
        <v>201</v>
      </c>
      <c r="G39" s="73">
        <v>99.9958</v>
      </c>
      <c r="H39" s="73"/>
      <c r="I39" s="73">
        <v>99.998</v>
      </c>
      <c r="J39" s="73"/>
      <c r="K39" s="73">
        <v>99.9987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</row>
    <row r="40" spans="7:57" s="72" customFormat="1" ht="12.75"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</row>
    <row r="41" spans="2:23" s="68" customFormat="1" ht="12.75">
      <c r="B41" s="74" t="s">
        <v>124</v>
      </c>
      <c r="F41" s="69"/>
      <c r="G41" s="75" t="s">
        <v>110</v>
      </c>
      <c r="H41" s="75"/>
      <c r="I41" s="75" t="s">
        <v>111</v>
      </c>
      <c r="J41" s="75"/>
      <c r="K41" s="75" t="s">
        <v>112</v>
      </c>
      <c r="L41" s="75"/>
      <c r="M41" s="75" t="s">
        <v>47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42" spans="6:23" s="68" customFormat="1" ht="12.75">
      <c r="F42" s="69"/>
      <c r="G42" s="71"/>
      <c r="H42" s="71"/>
      <c r="I42" s="71"/>
      <c r="J42" s="71"/>
      <c r="K42" s="71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4" s="68" customFormat="1" ht="12.75">
      <c r="A43" s="68" t="s">
        <v>124</v>
      </c>
      <c r="B43" s="68" t="s">
        <v>13</v>
      </c>
      <c r="C43" s="68" t="s">
        <v>201</v>
      </c>
      <c r="D43" s="68" t="s">
        <v>14</v>
      </c>
      <c r="E43" s="68" t="s">
        <v>15</v>
      </c>
      <c r="F43" s="69" t="s">
        <v>156</v>
      </c>
      <c r="G43" s="70">
        <v>0.004561197052749836</v>
      </c>
      <c r="H43" s="70" t="s">
        <v>156</v>
      </c>
      <c r="I43" s="70">
        <v>0.0067495940879164</v>
      </c>
      <c r="J43" s="70" t="s">
        <v>156</v>
      </c>
      <c r="K43" s="70">
        <v>0.004088264079635645</v>
      </c>
      <c r="L43" s="70" t="s">
        <v>156</v>
      </c>
      <c r="M43" s="70">
        <f>AVERAGE(G43,I43,K43)</f>
        <v>0.005133018406767294</v>
      </c>
      <c r="N43" s="70" t="s">
        <v>156</v>
      </c>
      <c r="O43" s="70"/>
      <c r="P43" s="70" t="s">
        <v>156</v>
      </c>
      <c r="Q43" s="70"/>
      <c r="R43" s="70" t="s">
        <v>156</v>
      </c>
      <c r="S43" s="70"/>
      <c r="T43" s="70" t="s">
        <v>156</v>
      </c>
      <c r="U43" s="70"/>
      <c r="V43" s="69" t="s">
        <v>156</v>
      </c>
      <c r="W43" s="69"/>
      <c r="X43" s="68">
        <v>0.005133018406767293</v>
      </c>
    </row>
    <row r="44" spans="1:24" s="68" customFormat="1" ht="12.75">
      <c r="A44" s="68" t="s">
        <v>124</v>
      </c>
      <c r="B44" s="68" t="s">
        <v>97</v>
      </c>
      <c r="C44" s="68" t="s">
        <v>201</v>
      </c>
      <c r="D44" s="68" t="s">
        <v>16</v>
      </c>
      <c r="E44" s="68" t="s">
        <v>15</v>
      </c>
      <c r="F44" s="69" t="s">
        <v>156</v>
      </c>
      <c r="G44" s="71">
        <v>12.739036899427</v>
      </c>
      <c r="H44" s="71" t="s">
        <v>156</v>
      </c>
      <c r="I44" s="71">
        <v>11.174017328661</v>
      </c>
      <c r="J44" s="71" t="s">
        <v>156</v>
      </c>
      <c r="K44" s="71">
        <v>13.021604055026506</v>
      </c>
      <c r="L44" s="69" t="s">
        <v>156</v>
      </c>
      <c r="M44" s="71">
        <f>AVERAGE(G44,I44,K44)</f>
        <v>12.31155276103817</v>
      </c>
      <c r="N44" s="69" t="s">
        <v>156</v>
      </c>
      <c r="O44" s="69"/>
      <c r="P44" s="69" t="s">
        <v>156</v>
      </c>
      <c r="Q44" s="69"/>
      <c r="R44" s="69" t="s">
        <v>156</v>
      </c>
      <c r="S44" s="69"/>
      <c r="T44" s="69" t="s">
        <v>156</v>
      </c>
      <c r="U44" s="69"/>
      <c r="V44" s="69" t="s">
        <v>156</v>
      </c>
      <c r="W44" s="69"/>
      <c r="X44" s="68">
        <v>12.311552761038167</v>
      </c>
    </row>
    <row r="45" spans="1:24" s="68" customFormat="1" ht="12.75">
      <c r="A45" s="68" t="s">
        <v>124</v>
      </c>
      <c r="B45" s="68" t="s">
        <v>222</v>
      </c>
      <c r="C45" s="68" t="s">
        <v>201</v>
      </c>
      <c r="D45" s="68" t="s">
        <v>16</v>
      </c>
      <c r="E45" s="68" t="s">
        <v>15</v>
      </c>
      <c r="F45" s="69" t="s">
        <v>156</v>
      </c>
      <c r="G45" s="71">
        <v>0.9727991814107826</v>
      </c>
      <c r="H45" s="71" t="s">
        <v>156</v>
      </c>
      <c r="I45" s="71">
        <v>1.066610745008543</v>
      </c>
      <c r="J45" s="71" t="s">
        <v>156</v>
      </c>
      <c r="K45" s="71">
        <v>2.32021308616836</v>
      </c>
      <c r="L45" s="69" t="s">
        <v>156</v>
      </c>
      <c r="M45" s="71">
        <f>AVERAGE(G45,I45,K45)</f>
        <v>1.4532076708625616</v>
      </c>
      <c r="N45" s="69" t="s">
        <v>156</v>
      </c>
      <c r="O45" s="69"/>
      <c r="P45" s="69" t="s">
        <v>156</v>
      </c>
      <c r="Q45" s="69"/>
      <c r="R45" s="69" t="s">
        <v>156</v>
      </c>
      <c r="S45" s="69"/>
      <c r="T45" s="69" t="s">
        <v>156</v>
      </c>
      <c r="U45" s="69"/>
      <c r="V45" s="69" t="s">
        <v>156</v>
      </c>
      <c r="W45" s="69"/>
      <c r="X45" s="68">
        <v>1.4532076708625619</v>
      </c>
    </row>
    <row r="46" spans="1:24" s="68" customFormat="1" ht="12.75">
      <c r="A46" s="68" t="s">
        <v>124</v>
      </c>
      <c r="B46" s="68" t="s">
        <v>50</v>
      </c>
      <c r="C46" s="68" t="s">
        <v>201</v>
      </c>
      <c r="D46" s="68" t="s">
        <v>16</v>
      </c>
      <c r="E46" s="68" t="s">
        <v>15</v>
      </c>
      <c r="F46" s="69" t="s">
        <v>156</v>
      </c>
      <c r="G46" s="71">
        <v>20.908102303772573</v>
      </c>
      <c r="H46" s="71" t="s">
        <v>156</v>
      </c>
      <c r="I46" s="71">
        <v>24.694838584737376</v>
      </c>
      <c r="J46" s="71" t="s">
        <v>156</v>
      </c>
      <c r="K46" s="71">
        <v>17.949349882084206</v>
      </c>
      <c r="L46" s="69" t="s">
        <v>156</v>
      </c>
      <c r="M46" s="71">
        <f>AVERAGE(G46,I46,K46)</f>
        <v>21.184096923531385</v>
      </c>
      <c r="N46" s="69" t="s">
        <v>156</v>
      </c>
      <c r="O46" s="69"/>
      <c r="P46" s="69" t="s">
        <v>156</v>
      </c>
      <c r="Q46" s="69"/>
      <c r="R46" s="69" t="s">
        <v>156</v>
      </c>
      <c r="S46" s="69"/>
      <c r="T46" s="69" t="s">
        <v>156</v>
      </c>
      <c r="U46" s="69"/>
      <c r="V46" s="69" t="s">
        <v>156</v>
      </c>
      <c r="W46" s="69"/>
      <c r="X46" s="68">
        <v>21.184096923531385</v>
      </c>
    </row>
    <row r="47" spans="2:23" s="68" customFormat="1" ht="12.75">
      <c r="B47" s="68" t="s">
        <v>239</v>
      </c>
      <c r="C47" s="68" t="s">
        <v>201</v>
      </c>
      <c r="D47" s="68" t="s">
        <v>16</v>
      </c>
      <c r="E47" s="68" t="s">
        <v>15</v>
      </c>
      <c r="F47" s="69"/>
      <c r="G47" s="71">
        <f>G46</f>
        <v>20.908102303772573</v>
      </c>
      <c r="H47" s="71"/>
      <c r="I47" s="71">
        <f>I46</f>
        <v>24.694838584737376</v>
      </c>
      <c r="J47" s="71"/>
      <c r="K47" s="71">
        <f>K46</f>
        <v>17.949349882084206</v>
      </c>
      <c r="L47" s="69"/>
      <c r="M47" s="71">
        <f>AVERAGE(G47,I47,K47)</f>
        <v>21.184096923531385</v>
      </c>
      <c r="N47" s="69"/>
      <c r="O47" s="69"/>
      <c r="P47" s="69"/>
      <c r="Q47" s="69"/>
      <c r="R47" s="69"/>
      <c r="S47" s="69"/>
      <c r="T47" s="69"/>
      <c r="U47" s="69"/>
      <c r="V47" s="69"/>
      <c r="W47" s="69"/>
    </row>
    <row r="48" spans="1:24" s="68" customFormat="1" ht="12.75">
      <c r="A48" s="68" t="s">
        <v>124</v>
      </c>
      <c r="B48" s="68" t="s">
        <v>157</v>
      </c>
      <c r="C48" s="68" t="s">
        <v>202</v>
      </c>
      <c r="D48" s="68" t="s">
        <v>54</v>
      </c>
      <c r="E48" s="68" t="s">
        <v>15</v>
      </c>
      <c r="F48" s="69" t="s">
        <v>158</v>
      </c>
      <c r="G48" s="71">
        <v>5.739905116276813</v>
      </c>
      <c r="H48" s="71" t="s">
        <v>158</v>
      </c>
      <c r="I48" s="71">
        <v>6.215473297996737</v>
      </c>
      <c r="J48" s="71" t="s">
        <v>158</v>
      </c>
      <c r="K48" s="71">
        <v>5.578971524030446</v>
      </c>
      <c r="L48" s="69" t="s">
        <v>156</v>
      </c>
      <c r="M48" s="71">
        <f aca="true" t="shared" si="1" ref="M48:M54">AVERAGE(G48,I48,K48)</f>
        <v>5.844783312767999</v>
      </c>
      <c r="N48" s="69" t="s">
        <v>156</v>
      </c>
      <c r="O48" s="69"/>
      <c r="P48" s="69" t="s">
        <v>156</v>
      </c>
      <c r="Q48" s="69"/>
      <c r="R48" s="69" t="s">
        <v>156</v>
      </c>
      <c r="S48" s="69"/>
      <c r="T48" s="69" t="s">
        <v>156</v>
      </c>
      <c r="U48" s="69"/>
      <c r="V48" s="69" t="s">
        <v>156</v>
      </c>
      <c r="W48" s="69"/>
      <c r="X48" s="68">
        <v>5.844783312767999</v>
      </c>
    </row>
    <row r="49" spans="1:24" s="68" customFormat="1" ht="12.75">
      <c r="A49" s="68" t="s">
        <v>124</v>
      </c>
      <c r="B49" s="68" t="s">
        <v>159</v>
      </c>
      <c r="C49" s="68" t="s">
        <v>202</v>
      </c>
      <c r="D49" s="68" t="s">
        <v>54</v>
      </c>
      <c r="E49" s="68" t="s">
        <v>15</v>
      </c>
      <c r="F49" s="69" t="s">
        <v>158</v>
      </c>
      <c r="G49" s="71">
        <v>4.5315040391659</v>
      </c>
      <c r="H49" s="71" t="s">
        <v>158</v>
      </c>
      <c r="I49" s="71">
        <v>5.234082777260411</v>
      </c>
      <c r="J49" s="71" t="s">
        <v>158</v>
      </c>
      <c r="K49" s="71">
        <v>4.6980812833940595</v>
      </c>
      <c r="L49" s="69" t="s">
        <v>156</v>
      </c>
      <c r="M49" s="71">
        <f t="shared" si="1"/>
        <v>4.821222699940123</v>
      </c>
      <c r="N49" s="69" t="s">
        <v>156</v>
      </c>
      <c r="O49" s="69"/>
      <c r="P49" s="69" t="s">
        <v>156</v>
      </c>
      <c r="Q49" s="69"/>
      <c r="R49" s="69" t="s">
        <v>156</v>
      </c>
      <c r="S49" s="69"/>
      <c r="T49" s="69" t="s">
        <v>156</v>
      </c>
      <c r="U49" s="69"/>
      <c r="V49" s="69" t="s">
        <v>156</v>
      </c>
      <c r="W49" s="69"/>
      <c r="X49" s="68">
        <v>4.821222699940123</v>
      </c>
    </row>
    <row r="50" spans="1:24" s="68" customFormat="1" ht="12.75">
      <c r="A50" s="68" t="s">
        <v>124</v>
      </c>
      <c r="B50" s="68" t="s">
        <v>160</v>
      </c>
      <c r="C50" s="68" t="s">
        <v>202</v>
      </c>
      <c r="D50" s="68" t="s">
        <v>54</v>
      </c>
      <c r="E50" s="68" t="s">
        <v>15</v>
      </c>
      <c r="F50" s="69" t="s">
        <v>156</v>
      </c>
      <c r="G50" s="71">
        <v>9.667208616887265</v>
      </c>
      <c r="H50" s="71" t="s">
        <v>156</v>
      </c>
      <c r="I50" s="71">
        <v>7.523993992311839</v>
      </c>
      <c r="J50" s="71" t="s">
        <v>156</v>
      </c>
      <c r="K50" s="71">
        <v>155.62394251242821</v>
      </c>
      <c r="L50" s="69" t="s">
        <v>156</v>
      </c>
      <c r="M50" s="71">
        <f t="shared" si="1"/>
        <v>57.605048373875775</v>
      </c>
      <c r="N50" s="69" t="s">
        <v>156</v>
      </c>
      <c r="O50" s="69"/>
      <c r="P50" s="69" t="s">
        <v>156</v>
      </c>
      <c r="Q50" s="69"/>
      <c r="R50" s="69" t="s">
        <v>156</v>
      </c>
      <c r="S50" s="69"/>
      <c r="T50" s="69" t="s">
        <v>156</v>
      </c>
      <c r="U50" s="69"/>
      <c r="V50" s="69" t="s">
        <v>156</v>
      </c>
      <c r="W50" s="69"/>
      <c r="X50" s="68">
        <v>57.605048373875775</v>
      </c>
    </row>
    <row r="51" spans="1:24" s="68" customFormat="1" ht="12.75">
      <c r="A51" s="68" t="s">
        <v>124</v>
      </c>
      <c r="B51" s="68" t="s">
        <v>161</v>
      </c>
      <c r="C51" s="68" t="s">
        <v>202</v>
      </c>
      <c r="D51" s="68" t="s">
        <v>54</v>
      </c>
      <c r="E51" s="68" t="s">
        <v>15</v>
      </c>
      <c r="F51" s="69" t="s">
        <v>156</v>
      </c>
      <c r="G51" s="71">
        <v>0.18126016156663619</v>
      </c>
      <c r="H51" s="71" t="s">
        <v>158</v>
      </c>
      <c r="I51" s="71">
        <v>0.20282070761884</v>
      </c>
      <c r="J51" s="71" t="s">
        <v>158</v>
      </c>
      <c r="K51" s="71">
        <v>0.1849869505336411</v>
      </c>
      <c r="L51" s="69" t="s">
        <v>156</v>
      </c>
      <c r="M51" s="71">
        <f t="shared" si="1"/>
        <v>0.18968927323970575</v>
      </c>
      <c r="N51" s="69" t="s">
        <v>156</v>
      </c>
      <c r="O51" s="69"/>
      <c r="P51" s="69" t="s">
        <v>156</v>
      </c>
      <c r="Q51" s="69"/>
      <c r="R51" s="69" t="s">
        <v>156</v>
      </c>
      <c r="S51" s="69"/>
      <c r="T51" s="69" t="s">
        <v>156</v>
      </c>
      <c r="U51" s="69"/>
      <c r="V51" s="69" t="s">
        <v>156</v>
      </c>
      <c r="W51" s="69"/>
      <c r="X51" s="68">
        <v>0.18968927323970575</v>
      </c>
    </row>
    <row r="52" spans="1:24" s="68" customFormat="1" ht="12.75">
      <c r="A52" s="68" t="s">
        <v>124</v>
      </c>
      <c r="B52" s="68" t="s">
        <v>162</v>
      </c>
      <c r="C52" s="68" t="s">
        <v>202</v>
      </c>
      <c r="D52" s="68" t="s">
        <v>54</v>
      </c>
      <c r="E52" s="68" t="s">
        <v>15</v>
      </c>
      <c r="F52" s="69" t="s">
        <v>156</v>
      </c>
      <c r="G52" s="71">
        <v>0.9365108347609538</v>
      </c>
      <c r="H52" s="71" t="s">
        <v>156</v>
      </c>
      <c r="I52" s="71">
        <v>1.112242590167837</v>
      </c>
      <c r="J52" s="71" t="s">
        <v>156</v>
      </c>
      <c r="K52" s="71">
        <v>0.7340752005303218</v>
      </c>
      <c r="L52" s="69" t="s">
        <v>156</v>
      </c>
      <c r="M52" s="71">
        <f t="shared" si="1"/>
        <v>0.9276095418197042</v>
      </c>
      <c r="N52" s="69" t="s">
        <v>156</v>
      </c>
      <c r="O52" s="69"/>
      <c r="P52" s="69" t="s">
        <v>156</v>
      </c>
      <c r="Q52" s="69"/>
      <c r="R52" s="69" t="s">
        <v>156</v>
      </c>
      <c r="S52" s="69"/>
      <c r="T52" s="69" t="s">
        <v>156</v>
      </c>
      <c r="U52" s="69"/>
      <c r="V52" s="69" t="s">
        <v>156</v>
      </c>
      <c r="W52" s="69"/>
      <c r="X52" s="68">
        <v>0.9276095418197042</v>
      </c>
    </row>
    <row r="53" spans="1:24" s="68" customFormat="1" ht="12.75">
      <c r="A53" s="68" t="s">
        <v>124</v>
      </c>
      <c r="B53" s="68" t="s">
        <v>163</v>
      </c>
      <c r="C53" s="68" t="s">
        <v>202</v>
      </c>
      <c r="D53" s="68" t="s">
        <v>54</v>
      </c>
      <c r="E53" s="68" t="s">
        <v>15</v>
      </c>
      <c r="F53" s="69" t="s">
        <v>156</v>
      </c>
      <c r="G53" s="71">
        <v>0.12990311578942262</v>
      </c>
      <c r="H53" s="71" t="s">
        <v>156</v>
      </c>
      <c r="I53" s="71">
        <v>0.5888343124417961</v>
      </c>
      <c r="J53" s="71" t="s">
        <v>156</v>
      </c>
      <c r="K53" s="71">
        <v>0.17617804812727722</v>
      </c>
      <c r="L53" s="69" t="s">
        <v>156</v>
      </c>
      <c r="M53" s="71">
        <f t="shared" si="1"/>
        <v>0.2983051587861653</v>
      </c>
      <c r="N53" s="69" t="s">
        <v>156</v>
      </c>
      <c r="O53" s="69"/>
      <c r="P53" s="69" t="s">
        <v>156</v>
      </c>
      <c r="Q53" s="69"/>
      <c r="R53" s="69" t="s">
        <v>156</v>
      </c>
      <c r="S53" s="69"/>
      <c r="T53" s="69" t="s">
        <v>156</v>
      </c>
      <c r="U53" s="69"/>
      <c r="V53" s="69" t="s">
        <v>156</v>
      </c>
      <c r="W53" s="69"/>
      <c r="X53" s="68">
        <v>0.2983051587861653</v>
      </c>
    </row>
    <row r="54" spans="1:24" s="68" customFormat="1" ht="12.75">
      <c r="A54" s="68" t="s">
        <v>124</v>
      </c>
      <c r="B54" s="68" t="s">
        <v>165</v>
      </c>
      <c r="C54" s="68" t="s">
        <v>202</v>
      </c>
      <c r="D54" s="68" t="s">
        <v>54</v>
      </c>
      <c r="E54" s="68" t="s">
        <v>15</v>
      </c>
      <c r="F54" s="69" t="s">
        <v>156</v>
      </c>
      <c r="G54" s="71">
        <v>19.0323169644968</v>
      </c>
      <c r="H54" s="71" t="s">
        <v>156</v>
      </c>
      <c r="I54" s="71">
        <v>7.523993992311839</v>
      </c>
      <c r="J54" s="71" t="s">
        <v>156</v>
      </c>
      <c r="K54" s="71">
        <v>10.570682887636634</v>
      </c>
      <c r="L54" s="69" t="s">
        <v>156</v>
      </c>
      <c r="M54" s="71">
        <f t="shared" si="1"/>
        <v>12.375664614815092</v>
      </c>
      <c r="N54" s="69" t="s">
        <v>156</v>
      </c>
      <c r="O54" s="69"/>
      <c r="P54" s="69" t="s">
        <v>156</v>
      </c>
      <c r="Q54" s="69"/>
      <c r="R54" s="69" t="s">
        <v>156</v>
      </c>
      <c r="S54" s="69"/>
      <c r="T54" s="69" t="s">
        <v>156</v>
      </c>
      <c r="U54" s="69"/>
      <c r="V54" s="69" t="s">
        <v>156</v>
      </c>
      <c r="W54" s="69"/>
      <c r="X54" s="68">
        <v>12.375664614815092</v>
      </c>
    </row>
    <row r="55" spans="1:24" s="68" customFormat="1" ht="12.75">
      <c r="A55" s="68" t="s">
        <v>124</v>
      </c>
      <c r="B55" s="68" t="s">
        <v>166</v>
      </c>
      <c r="C55" s="68" t="s">
        <v>202</v>
      </c>
      <c r="D55" s="68" t="s">
        <v>54</v>
      </c>
      <c r="E55" s="68" t="s">
        <v>15</v>
      </c>
      <c r="F55" s="69" t="s">
        <v>156</v>
      </c>
      <c r="G55" s="71">
        <v>10.271409155442718</v>
      </c>
      <c r="H55" s="71" t="s">
        <v>156</v>
      </c>
      <c r="I55" s="71">
        <v>13.085206943151</v>
      </c>
      <c r="J55" s="71" t="s">
        <v>156</v>
      </c>
      <c r="K55" s="71">
        <v>13.506983689758</v>
      </c>
      <c r="L55" s="69" t="s">
        <v>156</v>
      </c>
      <c r="M55" s="71">
        <f>AVERAGE(G55,I55,K55)</f>
        <v>12.28786659611724</v>
      </c>
      <c r="N55" s="69" t="s">
        <v>156</v>
      </c>
      <c r="O55" s="69"/>
      <c r="P55" s="69" t="s">
        <v>156</v>
      </c>
      <c r="Q55" s="69"/>
      <c r="R55" s="69" t="s">
        <v>156</v>
      </c>
      <c r="S55" s="69"/>
      <c r="T55" s="69" t="s">
        <v>156</v>
      </c>
      <c r="U55" s="69"/>
      <c r="V55" s="69" t="s">
        <v>156</v>
      </c>
      <c r="W55" s="69"/>
      <c r="X55" s="68">
        <v>12.28786659611724</v>
      </c>
    </row>
    <row r="56" spans="1:24" s="68" customFormat="1" ht="12.75">
      <c r="A56" s="68" t="s">
        <v>124</v>
      </c>
      <c r="B56" s="68" t="s">
        <v>167</v>
      </c>
      <c r="C56" s="68" t="s">
        <v>202</v>
      </c>
      <c r="D56" s="68" t="s">
        <v>54</v>
      </c>
      <c r="E56" s="68" t="s">
        <v>15</v>
      </c>
      <c r="F56" s="69" t="s">
        <v>158</v>
      </c>
      <c r="G56" s="71">
        <v>1.842811642594135</v>
      </c>
      <c r="H56" s="71" t="s">
        <v>156</v>
      </c>
      <c r="I56" s="71">
        <v>1.9954940588305312</v>
      </c>
      <c r="J56" s="71" t="s">
        <v>158</v>
      </c>
      <c r="K56" s="71">
        <v>1.8498695053364111</v>
      </c>
      <c r="L56" s="69" t="s">
        <v>156</v>
      </c>
      <c r="M56" s="71">
        <f>AVERAGE(G56,I56,K56)</f>
        <v>1.8960584022536924</v>
      </c>
      <c r="N56" s="69" t="s">
        <v>156</v>
      </c>
      <c r="O56" s="69"/>
      <c r="P56" s="69" t="s">
        <v>156</v>
      </c>
      <c r="Q56" s="69"/>
      <c r="R56" s="69" t="s">
        <v>156</v>
      </c>
      <c r="S56" s="69"/>
      <c r="T56" s="69" t="s">
        <v>156</v>
      </c>
      <c r="U56" s="69"/>
      <c r="V56" s="69" t="s">
        <v>156</v>
      </c>
      <c r="W56" s="69"/>
      <c r="X56" s="68">
        <v>1.8960584022536924</v>
      </c>
    </row>
    <row r="57" spans="1:24" s="68" customFormat="1" ht="12.75">
      <c r="A57" s="68" t="s">
        <v>124</v>
      </c>
      <c r="B57" s="68" t="s">
        <v>168</v>
      </c>
      <c r="C57" s="68" t="s">
        <v>202</v>
      </c>
      <c r="D57" s="68" t="s">
        <v>54</v>
      </c>
      <c r="E57" s="68" t="s">
        <v>15</v>
      </c>
      <c r="F57" s="69" t="s">
        <v>158</v>
      </c>
      <c r="G57" s="71">
        <v>9.365108347609537</v>
      </c>
      <c r="H57" s="71" t="s">
        <v>158</v>
      </c>
      <c r="I57" s="71">
        <v>10.468165554520821</v>
      </c>
      <c r="J57" s="71" t="s">
        <v>158</v>
      </c>
      <c r="K57" s="71">
        <v>9.689792647000248</v>
      </c>
      <c r="L57" s="69" t="s">
        <v>156</v>
      </c>
      <c r="M57" s="71">
        <f>AVERAGE(G57,I57,K57)</f>
        <v>9.841022183043535</v>
      </c>
      <c r="N57" s="69" t="s">
        <v>156</v>
      </c>
      <c r="O57" s="69"/>
      <c r="P57" s="69" t="s">
        <v>156</v>
      </c>
      <c r="Q57" s="69"/>
      <c r="R57" s="69" t="s">
        <v>156</v>
      </c>
      <c r="S57" s="69"/>
      <c r="T57" s="69" t="s">
        <v>156</v>
      </c>
      <c r="U57" s="69"/>
      <c r="V57" s="69" t="s">
        <v>156</v>
      </c>
      <c r="W57" s="69"/>
      <c r="X57" s="68">
        <v>9.841022183043535</v>
      </c>
    </row>
    <row r="58" spans="2:23" s="68" customFormat="1" ht="12.75">
      <c r="B58" s="68" t="s">
        <v>55</v>
      </c>
      <c r="C58" s="68" t="s">
        <v>202</v>
      </c>
      <c r="D58" s="68" t="s">
        <v>54</v>
      </c>
      <c r="E58" s="68" t="s">
        <v>15</v>
      </c>
      <c r="F58" s="69"/>
      <c r="G58" s="71">
        <f>G54+G52</f>
        <v>19.968827799257753</v>
      </c>
      <c r="H58" s="71"/>
      <c r="I58" s="71">
        <f>I54+I52</f>
        <v>8.636236582479675</v>
      </c>
      <c r="J58" s="71"/>
      <c r="K58" s="71">
        <f>K54+K52</f>
        <v>11.304758088166956</v>
      </c>
      <c r="L58" s="69"/>
      <c r="M58" s="71">
        <f>AVERAGE(K58,I58,G58)</f>
        <v>13.303274156634794</v>
      </c>
      <c r="N58" s="69"/>
      <c r="O58" s="69"/>
      <c r="P58" s="69"/>
      <c r="Q58" s="69"/>
      <c r="R58" s="69"/>
      <c r="S58" s="69"/>
      <c r="T58" s="69"/>
      <c r="U58" s="69"/>
      <c r="V58" s="69"/>
      <c r="W58" s="69"/>
    </row>
    <row r="59" spans="2:23" s="68" customFormat="1" ht="12.75">
      <c r="B59" s="68" t="s">
        <v>56</v>
      </c>
      <c r="C59" s="68" t="s">
        <v>202</v>
      </c>
      <c r="D59" s="68" t="s">
        <v>54</v>
      </c>
      <c r="E59" s="68" t="s">
        <v>15</v>
      </c>
      <c r="F59" s="69"/>
      <c r="G59" s="71">
        <f>G49/2+G51+G53</f>
        <v>2.5769152969390086</v>
      </c>
      <c r="H59" s="71"/>
      <c r="I59" s="71">
        <f>I49/2+I51+I53</f>
        <v>3.408696408690841</v>
      </c>
      <c r="J59" s="71"/>
      <c r="K59" s="71">
        <f>K49/2+K51+K53</f>
        <v>2.710205640357948</v>
      </c>
      <c r="L59" s="69"/>
      <c r="M59" s="71">
        <f>AVERAGE(K59,I59,G59)</f>
        <v>2.8986057819959328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</row>
    <row r="61" spans="2:4" ht="12.75">
      <c r="B61" s="68" t="s">
        <v>80</v>
      </c>
      <c r="C61" s="68" t="s">
        <v>169</v>
      </c>
      <c r="D61" s="66" t="s">
        <v>201</v>
      </c>
    </row>
    <row r="62" spans="2:63" s="68" customFormat="1" ht="12.75">
      <c r="B62" s="9" t="s">
        <v>76</v>
      </c>
      <c r="C62" s="9"/>
      <c r="D62" s="9" t="s">
        <v>17</v>
      </c>
      <c r="G62" s="71">
        <v>9889</v>
      </c>
      <c r="H62" s="71"/>
      <c r="I62" s="71">
        <v>9363</v>
      </c>
      <c r="J62" s="71"/>
      <c r="K62" s="71">
        <v>9166</v>
      </c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</row>
    <row r="63" spans="2:63" s="68" customFormat="1" ht="12.75">
      <c r="B63" s="9" t="s">
        <v>78</v>
      </c>
      <c r="C63" s="9"/>
      <c r="D63" s="9" t="s">
        <v>18</v>
      </c>
      <c r="G63" s="71">
        <v>7.97</v>
      </c>
      <c r="H63" s="71"/>
      <c r="I63" s="71">
        <v>8.6</v>
      </c>
      <c r="J63" s="71"/>
      <c r="K63" s="71">
        <v>7.93</v>
      </c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</row>
    <row r="64" spans="1:63" s="68" customFormat="1" ht="12.75">
      <c r="A64" s="68" t="s">
        <v>124</v>
      </c>
      <c r="B64" s="9" t="s">
        <v>79</v>
      </c>
      <c r="C64" s="9"/>
      <c r="D64" s="9" t="s">
        <v>18</v>
      </c>
      <c r="G64" s="71">
        <v>32.1</v>
      </c>
      <c r="H64" s="71"/>
      <c r="I64" s="71">
        <v>31.7</v>
      </c>
      <c r="J64" s="71"/>
      <c r="K64" s="71">
        <v>31.3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</row>
    <row r="65" spans="2:63" s="68" customFormat="1" ht="12.75">
      <c r="B65" s="9" t="s">
        <v>75</v>
      </c>
      <c r="C65" s="9"/>
      <c r="D65" s="9" t="s">
        <v>19</v>
      </c>
      <c r="G65" s="71">
        <v>162.2</v>
      </c>
      <c r="H65" s="71"/>
      <c r="I65" s="71">
        <v>159.8</v>
      </c>
      <c r="J65" s="71"/>
      <c r="K65" s="71">
        <v>160.7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</row>
    <row r="66" spans="7:63" s="68" customFormat="1" ht="12.75"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</row>
    <row r="67" spans="2:63" s="68" customFormat="1" ht="12.75">
      <c r="B67" s="68" t="s">
        <v>80</v>
      </c>
      <c r="C67" s="68" t="s">
        <v>170</v>
      </c>
      <c r="D67" s="68" t="s">
        <v>202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</row>
    <row r="68" spans="2:63" s="68" customFormat="1" ht="12.75">
      <c r="B68" s="9" t="s">
        <v>76</v>
      </c>
      <c r="C68" s="9"/>
      <c r="D68" s="9" t="s">
        <v>17</v>
      </c>
      <c r="G68" s="71">
        <v>9495</v>
      </c>
      <c r="H68" s="71"/>
      <c r="I68" s="71">
        <v>9214</v>
      </c>
      <c r="J68" s="71"/>
      <c r="K68" s="71">
        <v>9739</v>
      </c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</row>
    <row r="69" spans="2:63" s="68" customFormat="1" ht="12.75">
      <c r="B69" s="9" t="s">
        <v>78</v>
      </c>
      <c r="C69" s="9"/>
      <c r="D69" s="9" t="s">
        <v>18</v>
      </c>
      <c r="G69" s="71">
        <v>7.97</v>
      </c>
      <c r="H69" s="71"/>
      <c r="I69" s="71">
        <v>8.6</v>
      </c>
      <c r="J69" s="71"/>
      <c r="K69" s="71">
        <v>7.93</v>
      </c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</row>
    <row r="70" spans="2:63" s="68" customFormat="1" ht="12.75">
      <c r="B70" s="9" t="s">
        <v>79</v>
      </c>
      <c r="C70" s="9"/>
      <c r="D70" s="9" t="s">
        <v>18</v>
      </c>
      <c r="G70" s="71">
        <v>31.4</v>
      </c>
      <c r="H70" s="71"/>
      <c r="I70" s="71">
        <v>30.3</v>
      </c>
      <c r="J70" s="71"/>
      <c r="K70" s="71">
        <v>30.7</v>
      </c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</row>
    <row r="71" spans="2:63" s="68" customFormat="1" ht="12.75">
      <c r="B71" s="9" t="s">
        <v>75</v>
      </c>
      <c r="C71" s="9"/>
      <c r="D71" s="9" t="s">
        <v>19</v>
      </c>
      <c r="G71" s="71">
        <v>161</v>
      </c>
      <c r="H71" s="71"/>
      <c r="I71" s="71">
        <v>159</v>
      </c>
      <c r="J71" s="71"/>
      <c r="K71" s="71">
        <v>159</v>
      </c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</row>
    <row r="73" spans="1:57" s="72" customFormat="1" ht="12.75">
      <c r="A73" s="72" t="s">
        <v>124</v>
      </c>
      <c r="B73" s="72" t="s">
        <v>171</v>
      </c>
      <c r="C73" s="72" t="s">
        <v>201</v>
      </c>
      <c r="D73" s="72" t="s">
        <v>18</v>
      </c>
      <c r="G73" s="73">
        <v>99.9991</v>
      </c>
      <c r="H73" s="73"/>
      <c r="I73" s="73">
        <v>99.9988</v>
      </c>
      <c r="J73" s="73"/>
      <c r="K73" s="73">
        <v>99.9989</v>
      </c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</row>
    <row r="74" spans="1:57" s="72" customFormat="1" ht="12.75">
      <c r="A74" s="72" t="s">
        <v>124</v>
      </c>
      <c r="B74" s="72" t="s">
        <v>172</v>
      </c>
      <c r="C74" s="72" t="s">
        <v>201</v>
      </c>
      <c r="D74" s="72" t="s">
        <v>18</v>
      </c>
      <c r="G74" s="73">
        <v>99.9991</v>
      </c>
      <c r="H74" s="73"/>
      <c r="I74" s="73">
        <v>99.9991</v>
      </c>
      <c r="J74" s="73"/>
      <c r="K74" s="73">
        <v>99.9981</v>
      </c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70"/>
  <sheetViews>
    <sheetView workbookViewId="0" topLeftCell="AV22">
      <selection activeCell="B2" sqref="B2"/>
    </sheetView>
  </sheetViews>
  <sheetFormatPr defaultColWidth="9.140625" defaultRowHeight="12.75"/>
  <cols>
    <col min="1" max="1" width="2.28125" style="29" hidden="1" customWidth="1"/>
    <col min="2" max="2" width="22.57421875" style="11" customWidth="1"/>
    <col min="3" max="3" width="6.421875" style="11" customWidth="1"/>
    <col min="4" max="4" width="9.28125" style="11" customWidth="1"/>
    <col min="5" max="5" width="2.8515625" style="29" customWidth="1"/>
    <col min="6" max="6" width="12.7109375" style="30" customWidth="1"/>
    <col min="7" max="7" width="2.8515625" style="30" customWidth="1"/>
    <col min="8" max="8" width="16.8515625" style="29" customWidth="1"/>
    <col min="9" max="9" width="2.421875" style="29" customWidth="1"/>
    <col min="10" max="10" width="12.140625" style="29" bestFit="1" customWidth="1"/>
    <col min="11" max="11" width="3.00390625" style="29" customWidth="1"/>
    <col min="12" max="12" width="17.421875" style="29" bestFit="1" customWidth="1"/>
    <col min="13" max="13" width="2.421875" style="29" customWidth="1"/>
    <col min="14" max="14" width="14.57421875" style="29" customWidth="1"/>
    <col min="15" max="15" width="2.57421875" style="29" customWidth="1"/>
    <col min="16" max="16" width="12.28125" style="29" customWidth="1"/>
    <col min="17" max="17" width="2.00390625" style="29" customWidth="1"/>
    <col min="18" max="18" width="8.8515625" style="29" bestFit="1" customWidth="1"/>
    <col min="19" max="19" width="3.28125" style="29" customWidth="1"/>
    <col min="20" max="20" width="9.57421875" style="29" bestFit="1" customWidth="1"/>
    <col min="21" max="21" width="1.8515625" style="29" customWidth="1"/>
    <col min="22" max="22" width="9.57421875" style="29" customWidth="1"/>
    <col min="23" max="23" width="2.8515625" style="29" customWidth="1"/>
    <col min="24" max="24" width="10.140625" style="29" customWidth="1"/>
    <col min="25" max="25" width="2.00390625" style="29" customWidth="1"/>
    <col min="26" max="26" width="9.421875" style="29" customWidth="1"/>
    <col min="27" max="27" width="2.28125" style="29" customWidth="1"/>
    <col min="28" max="28" width="10.00390625" style="29" customWidth="1"/>
    <col min="29" max="29" width="2.28125" style="29" customWidth="1"/>
    <col min="30" max="30" width="8.8515625" style="29" customWidth="1"/>
    <col min="31" max="31" width="1.421875" style="29" customWidth="1"/>
    <col min="32" max="32" width="8.8515625" style="29" customWidth="1"/>
    <col min="33" max="33" width="1.8515625" style="29" customWidth="1"/>
    <col min="34" max="34" width="8.8515625" style="29" customWidth="1"/>
    <col min="35" max="35" width="2.7109375" style="29" customWidth="1"/>
    <col min="36" max="36" width="8.8515625" style="29" customWidth="1"/>
    <col min="37" max="37" width="1.1484375" style="29" customWidth="1"/>
    <col min="38" max="38" width="12.140625" style="29" customWidth="1"/>
    <col min="39" max="39" width="0.85546875" style="29" customWidth="1"/>
    <col min="40" max="40" width="10.8515625" style="29" customWidth="1"/>
    <col min="41" max="41" width="2.28125" style="29" customWidth="1"/>
    <col min="42" max="42" width="11.00390625" style="29" customWidth="1"/>
    <col min="43" max="43" width="1.421875" style="29" customWidth="1"/>
    <col min="44" max="44" width="8.421875" style="29" customWidth="1"/>
    <col min="45" max="45" width="2.57421875" style="29" customWidth="1"/>
    <col min="46" max="46" width="8.57421875" style="29" customWidth="1"/>
    <col min="47" max="47" width="1.7109375" style="29" customWidth="1"/>
    <col min="48" max="48" width="9.57421875" style="29" customWidth="1"/>
    <col min="49" max="49" width="1.8515625" style="29" customWidth="1"/>
    <col min="50" max="50" width="9.140625" style="29" customWidth="1"/>
    <col min="51" max="51" width="2.140625" style="29" customWidth="1"/>
    <col min="52" max="52" width="9.00390625" style="29" customWidth="1"/>
    <col min="53" max="53" width="1.421875" style="29" customWidth="1"/>
    <col min="54" max="54" width="11.57421875" style="29" customWidth="1"/>
    <col min="55" max="55" width="2.421875" style="29" customWidth="1"/>
    <col min="56" max="56" width="10.7109375" style="29" customWidth="1"/>
    <col min="57" max="57" width="3.00390625" style="29" customWidth="1"/>
    <col min="58" max="58" width="10.140625" style="29" customWidth="1"/>
    <col min="59" max="59" width="2.57421875" style="29" customWidth="1"/>
    <col min="60" max="60" width="11.28125" style="29" customWidth="1"/>
    <col min="61" max="16384" width="8.8515625" style="29" customWidth="1"/>
  </cols>
  <sheetData>
    <row r="1" spans="2:3" ht="12.75">
      <c r="B1" s="28" t="s">
        <v>189</v>
      </c>
      <c r="C1" s="28"/>
    </row>
    <row r="4" spans="1:21" ht="12.75">
      <c r="A4" s="29" t="s">
        <v>82</v>
      </c>
      <c r="B4" s="28" t="s">
        <v>151</v>
      </c>
      <c r="C4" s="28" t="s">
        <v>81</v>
      </c>
      <c r="F4" s="31" t="s">
        <v>47</v>
      </c>
      <c r="G4" s="31"/>
      <c r="H4" s="31" t="s">
        <v>47</v>
      </c>
      <c r="I4" s="31"/>
      <c r="J4" s="31" t="s">
        <v>47</v>
      </c>
      <c r="K4" s="31"/>
      <c r="L4" s="31" t="s">
        <v>47</v>
      </c>
      <c r="M4" s="31"/>
      <c r="N4" s="31" t="s">
        <v>47</v>
      </c>
      <c r="O4" s="31"/>
      <c r="P4" s="31" t="s">
        <v>47</v>
      </c>
      <c r="Q4" s="31"/>
      <c r="R4" s="31" t="s">
        <v>47</v>
      </c>
      <c r="S4" s="31"/>
      <c r="T4" s="31" t="s">
        <v>47</v>
      </c>
      <c r="U4" s="31"/>
    </row>
    <row r="5" spans="6:21" ht="12.75">
      <c r="F5" s="31"/>
      <c r="G5" s="31"/>
      <c r="H5" s="31"/>
      <c r="I5" s="31"/>
      <c r="J5" s="31"/>
      <c r="K5" s="31"/>
      <c r="L5" s="31"/>
      <c r="M5" s="31"/>
      <c r="T5" s="52"/>
      <c r="U5" s="52"/>
    </row>
    <row r="6" spans="2:21" ht="12.75">
      <c r="B6" s="11" t="s">
        <v>223</v>
      </c>
      <c r="F6" s="31" t="s">
        <v>225</v>
      </c>
      <c r="G6" s="31"/>
      <c r="H6" s="31" t="s">
        <v>227</v>
      </c>
      <c r="I6" s="31"/>
      <c r="J6" s="31" t="s">
        <v>229</v>
      </c>
      <c r="K6" s="31"/>
      <c r="L6" s="31" t="s">
        <v>230</v>
      </c>
      <c r="M6" s="31"/>
      <c r="N6" s="21" t="s">
        <v>231</v>
      </c>
      <c r="O6" s="21"/>
      <c r="P6" s="21" t="s">
        <v>232</v>
      </c>
      <c r="Q6" s="21"/>
      <c r="R6" s="21"/>
      <c r="S6" s="21"/>
      <c r="T6" s="52" t="s">
        <v>233</v>
      </c>
      <c r="U6" s="52"/>
    </row>
    <row r="7" spans="2:21" ht="12.75">
      <c r="B7" s="11" t="s">
        <v>224</v>
      </c>
      <c r="F7" s="31" t="s">
        <v>226</v>
      </c>
      <c r="G7" s="31"/>
      <c r="H7" s="31" t="s">
        <v>235</v>
      </c>
      <c r="I7" s="31"/>
      <c r="J7" s="31" t="s">
        <v>228</v>
      </c>
      <c r="K7" s="31"/>
      <c r="L7" s="31" t="s">
        <v>228</v>
      </c>
      <c r="M7" s="31"/>
      <c r="N7" s="31" t="s">
        <v>228</v>
      </c>
      <c r="O7" s="31"/>
      <c r="P7" s="31" t="s">
        <v>228</v>
      </c>
      <c r="Q7" s="31"/>
      <c r="R7" s="31"/>
      <c r="S7" s="31"/>
      <c r="T7" s="52" t="s">
        <v>25</v>
      </c>
      <c r="U7" s="52"/>
    </row>
    <row r="8" spans="2:21" ht="12.75">
      <c r="B8" s="11" t="s">
        <v>237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 t="s">
        <v>61</v>
      </c>
      <c r="S8" s="31"/>
      <c r="T8" s="52" t="s">
        <v>25</v>
      </c>
      <c r="U8" s="52"/>
    </row>
    <row r="9" spans="2:23" s="52" customFormat="1" ht="12.75">
      <c r="B9" s="52" t="s">
        <v>48</v>
      </c>
      <c r="E9" s="50"/>
      <c r="F9" s="15" t="s">
        <v>132</v>
      </c>
      <c r="G9" s="15"/>
      <c r="H9" s="15" t="s">
        <v>129</v>
      </c>
      <c r="I9" s="15"/>
      <c r="J9" s="52" t="s">
        <v>126</v>
      </c>
      <c r="L9" s="15" t="s">
        <v>127</v>
      </c>
      <c r="M9" s="15"/>
      <c r="N9" s="52" t="s">
        <v>128</v>
      </c>
      <c r="P9" s="52" t="s">
        <v>130</v>
      </c>
      <c r="T9" s="52" t="s">
        <v>25</v>
      </c>
      <c r="V9" s="57"/>
      <c r="W9" s="57"/>
    </row>
    <row r="10" spans="2:21" ht="12.75">
      <c r="B10" s="11" t="s">
        <v>83</v>
      </c>
      <c r="D10" s="11" t="s">
        <v>52</v>
      </c>
      <c r="E10" s="14"/>
      <c r="F10" s="14">
        <v>1377</v>
      </c>
      <c r="G10" s="14"/>
      <c r="H10" s="14">
        <v>3818</v>
      </c>
      <c r="I10" s="14"/>
      <c r="J10" s="14">
        <v>150</v>
      </c>
      <c r="K10" s="14"/>
      <c r="L10" s="92">
        <v>0</v>
      </c>
      <c r="M10" s="92"/>
      <c r="N10" s="42">
        <v>172</v>
      </c>
      <c r="O10" s="42"/>
      <c r="P10" s="42">
        <v>288</v>
      </c>
      <c r="Q10" s="42"/>
      <c r="R10" s="42"/>
      <c r="S10" s="42"/>
      <c r="T10" s="92">
        <f>SUM(F10:P10)</f>
        <v>5805</v>
      </c>
      <c r="U10" s="92"/>
    </row>
    <row r="11" spans="2:21" ht="12.75">
      <c r="B11" s="11" t="s">
        <v>103</v>
      </c>
      <c r="D11" s="11" t="s">
        <v>104</v>
      </c>
      <c r="E11" s="14"/>
      <c r="F11" s="14"/>
      <c r="G11" s="14"/>
      <c r="H11" s="14"/>
      <c r="I11" s="14"/>
      <c r="J11" s="14"/>
      <c r="K11" s="14"/>
      <c r="L11" s="92"/>
      <c r="M11" s="92"/>
      <c r="N11" s="42"/>
      <c r="O11" s="42"/>
      <c r="P11" s="42"/>
      <c r="Q11" s="42"/>
      <c r="R11" s="42"/>
      <c r="S11" s="42"/>
      <c r="T11" s="92"/>
      <c r="U11" s="92"/>
    </row>
    <row r="12" spans="2:21" ht="12.75">
      <c r="B12" s="11" t="s">
        <v>102</v>
      </c>
      <c r="D12" s="11" t="s">
        <v>131</v>
      </c>
      <c r="E12" s="14"/>
      <c r="F12" s="35">
        <v>1.7</v>
      </c>
      <c r="G12" s="35"/>
      <c r="H12" s="35">
        <v>0.27</v>
      </c>
      <c r="I12" s="35"/>
      <c r="J12" s="35">
        <v>31.5</v>
      </c>
      <c r="K12" s="35"/>
      <c r="L12" s="92"/>
      <c r="M12" s="92"/>
      <c r="N12" s="32"/>
      <c r="O12" s="32"/>
      <c r="P12" s="32"/>
      <c r="Q12" s="32"/>
      <c r="R12" s="32"/>
      <c r="S12" s="32"/>
      <c r="T12" s="92"/>
      <c r="U12" s="92"/>
    </row>
    <row r="13" spans="2:21" ht="12.75">
      <c r="B13" s="11" t="s">
        <v>49</v>
      </c>
      <c r="D13" s="11" t="s">
        <v>52</v>
      </c>
      <c r="E13" s="14"/>
      <c r="F13" s="35">
        <v>16.5</v>
      </c>
      <c r="G13" s="35"/>
      <c r="H13" s="35">
        <v>155</v>
      </c>
      <c r="I13" s="35"/>
      <c r="J13" s="93"/>
      <c r="K13" s="93"/>
      <c r="L13" s="92"/>
      <c r="M13" s="92"/>
      <c r="N13" s="42"/>
      <c r="O13" s="42"/>
      <c r="P13" s="42"/>
      <c r="Q13" s="42"/>
      <c r="R13" s="42"/>
      <c r="S13" s="42"/>
      <c r="T13" s="92">
        <f>SUM(F13:P13)</f>
        <v>171.5</v>
      </c>
      <c r="U13" s="92"/>
    </row>
    <row r="14" spans="6:7" ht="12.75">
      <c r="F14" s="12"/>
      <c r="G14" s="12"/>
    </row>
    <row r="15" spans="2:23" ht="12.75">
      <c r="B15" s="11" t="s">
        <v>99</v>
      </c>
      <c r="D15" s="11" t="s">
        <v>17</v>
      </c>
      <c r="E15" s="31"/>
      <c r="F15" s="12">
        <f>'emiss 1'!$G$15</f>
        <v>7840</v>
      </c>
      <c r="G15" s="12"/>
      <c r="H15" s="12">
        <f>'emiss 1'!$G$15</f>
        <v>7840</v>
      </c>
      <c r="I15" s="12"/>
      <c r="J15" s="12">
        <f>'emiss 1'!$G$15</f>
        <v>7840</v>
      </c>
      <c r="K15" s="12"/>
      <c r="L15" s="12">
        <f>'emiss 1'!$G$15</f>
        <v>7840</v>
      </c>
      <c r="M15" s="12"/>
      <c r="N15" s="12">
        <f>'emiss 1'!$G$15</f>
        <v>7840</v>
      </c>
      <c r="O15" s="12"/>
      <c r="P15" s="12">
        <f>'emiss 1'!$G$15</f>
        <v>7840</v>
      </c>
      <c r="Q15" s="12"/>
      <c r="R15" s="12"/>
      <c r="S15" s="12"/>
      <c r="T15" s="12">
        <f>'emiss 1'!$G$15</f>
        <v>7840</v>
      </c>
      <c r="U15" s="12"/>
      <c r="V15" s="34"/>
      <c r="W15" s="34"/>
    </row>
    <row r="16" spans="2:21" ht="12.75">
      <c r="B16" s="11" t="s">
        <v>100</v>
      </c>
      <c r="D16" s="11" t="s">
        <v>18</v>
      </c>
      <c r="E16" s="31"/>
      <c r="F16" s="12">
        <f>'emiss 1'!$G$16</f>
        <v>8.77</v>
      </c>
      <c r="G16" s="12"/>
      <c r="H16" s="12">
        <f>'emiss 1'!$G$16</f>
        <v>8.77</v>
      </c>
      <c r="I16" s="12"/>
      <c r="J16" s="12">
        <f>'emiss 1'!$G$16</f>
        <v>8.77</v>
      </c>
      <c r="K16" s="12"/>
      <c r="L16" s="12">
        <f>'emiss 1'!$G$16</f>
        <v>8.77</v>
      </c>
      <c r="M16" s="12"/>
      <c r="N16" s="12">
        <f>'emiss 1'!$G$16</f>
        <v>8.77</v>
      </c>
      <c r="O16" s="12"/>
      <c r="P16" s="12">
        <f>'emiss 1'!$G$16</f>
        <v>8.77</v>
      </c>
      <c r="Q16" s="12"/>
      <c r="R16" s="12"/>
      <c r="S16" s="12"/>
      <c r="T16" s="12">
        <f>'emiss 1'!$G$16</f>
        <v>8.77</v>
      </c>
      <c r="U16" s="12"/>
    </row>
    <row r="17" spans="5:7" ht="12.75">
      <c r="E17" s="31"/>
      <c r="F17" s="12"/>
      <c r="G17" s="12"/>
    </row>
    <row r="18" spans="2:21" ht="12.75">
      <c r="B18" s="11" t="s">
        <v>105</v>
      </c>
      <c r="D18" s="11" t="s">
        <v>106</v>
      </c>
      <c r="E18" s="31"/>
      <c r="F18" s="12"/>
      <c r="G18" s="12"/>
      <c r="L18" s="32"/>
      <c r="M18" s="32"/>
      <c r="T18" s="32"/>
      <c r="U18" s="32"/>
    </row>
    <row r="19" spans="2:21" ht="12.75">
      <c r="B19" s="11" t="s">
        <v>107</v>
      </c>
      <c r="D19" s="11" t="s">
        <v>106</v>
      </c>
      <c r="E19" s="31"/>
      <c r="F19" s="12"/>
      <c r="G19" s="12"/>
      <c r="T19" s="32">
        <f>T15/150*(21-T16)/21</f>
        <v>30.43911111111111</v>
      </c>
      <c r="U19" s="32"/>
    </row>
    <row r="20" spans="5:7" ht="12.75">
      <c r="E20" s="31"/>
      <c r="F20" s="12"/>
      <c r="G20" s="12"/>
    </row>
    <row r="21" spans="2:21" ht="12.75">
      <c r="B21" s="47" t="s">
        <v>101</v>
      </c>
      <c r="F21" s="12"/>
      <c r="G21" s="12"/>
      <c r="T21" s="92"/>
      <c r="U21" s="92"/>
    </row>
    <row r="22" spans="2:23" ht="12.75">
      <c r="B22" s="11" t="s">
        <v>102</v>
      </c>
      <c r="D22" s="11" t="s">
        <v>54</v>
      </c>
      <c r="F22" s="87">
        <f>F10*F12/100*454/60/0.0283/$F$15*(21-7)/(21-$F$16)*1000000</f>
        <v>913874.4689431037</v>
      </c>
      <c r="G22" s="87"/>
      <c r="H22" s="87">
        <f>H10*H12/100*454/60/0.0283/$F$15*(21-7)/(21-$F$16)*1000000</f>
        <v>402442.06717702065</v>
      </c>
      <c r="I22" s="87"/>
      <c r="J22" s="87">
        <f>J10*J12/100*454/60/0.0283/$F$15*(21-7)/(21-$F$16)*1000000</f>
        <v>1844613.9799889629</v>
      </c>
      <c r="K22" s="87"/>
      <c r="L22" s="42"/>
      <c r="M22" s="42"/>
      <c r="N22" s="42"/>
      <c r="O22" s="42"/>
      <c r="P22" s="42"/>
      <c r="Q22" s="42"/>
      <c r="R22" s="42">
        <f>T22</f>
        <v>3160930.5161090875</v>
      </c>
      <c r="S22" s="42"/>
      <c r="T22" s="94">
        <f>SUM(F22:P22)</f>
        <v>3160930.5161090875</v>
      </c>
      <c r="U22" s="92"/>
      <c r="V22" s="32"/>
      <c r="W22" s="32"/>
    </row>
    <row r="23" spans="2:23" ht="12.75">
      <c r="B23" s="11" t="s">
        <v>49</v>
      </c>
      <c r="D23" s="11" t="s">
        <v>60</v>
      </c>
      <c r="F23" s="87">
        <f>F13*454/60/0.0283/F$15*(21-7)/(21-F$16)*1000</f>
        <v>644.1509136469396</v>
      </c>
      <c r="G23" s="87"/>
      <c r="H23" s="87">
        <f>H13*454/60/0.0283/F$15*(21-7)/(21-F$16)*1000</f>
        <v>6051.114643350038</v>
      </c>
      <c r="I23" s="87"/>
      <c r="J23" s="42"/>
      <c r="K23" s="42"/>
      <c r="L23" s="42"/>
      <c r="M23" s="42"/>
      <c r="N23" s="42"/>
      <c r="O23" s="42"/>
      <c r="P23" s="42"/>
      <c r="Q23" s="42"/>
      <c r="R23" s="42">
        <f>T23</f>
        <v>6695.2655569969775</v>
      </c>
      <c r="S23" s="42"/>
      <c r="T23" s="94">
        <f>SUM(F23:P23)</f>
        <v>6695.2655569969775</v>
      </c>
      <c r="U23" s="92"/>
      <c r="V23" s="32"/>
      <c r="W23" s="32"/>
    </row>
    <row r="27" spans="1:60" ht="12.75">
      <c r="A27" s="29" t="s">
        <v>82</v>
      </c>
      <c r="B27" s="28" t="s">
        <v>152</v>
      </c>
      <c r="C27" s="28" t="s">
        <v>81</v>
      </c>
      <c r="F27" s="31" t="s">
        <v>110</v>
      </c>
      <c r="G27" s="31"/>
      <c r="H27" s="31" t="s">
        <v>111</v>
      </c>
      <c r="I27" s="31"/>
      <c r="J27" s="31" t="s">
        <v>47</v>
      </c>
      <c r="K27" s="31"/>
      <c r="L27" s="31" t="s">
        <v>110</v>
      </c>
      <c r="M27" s="31"/>
      <c r="N27" s="31" t="s">
        <v>111</v>
      </c>
      <c r="O27" s="31"/>
      <c r="P27" s="31" t="s">
        <v>47</v>
      </c>
      <c r="Q27" s="31"/>
      <c r="R27" s="31"/>
      <c r="S27" s="31"/>
      <c r="T27" s="31" t="s">
        <v>110</v>
      </c>
      <c r="U27" s="31"/>
      <c r="V27" s="31" t="s">
        <v>111</v>
      </c>
      <c r="W27" s="31"/>
      <c r="X27" s="31" t="s">
        <v>47</v>
      </c>
      <c r="Y27" s="31"/>
      <c r="Z27" s="31" t="s">
        <v>110</v>
      </c>
      <c r="AA27" s="31"/>
      <c r="AB27" s="31" t="s">
        <v>111</v>
      </c>
      <c r="AC27" s="31"/>
      <c r="AD27" s="31" t="s">
        <v>47</v>
      </c>
      <c r="AE27" s="31"/>
      <c r="AF27" s="31" t="s">
        <v>110</v>
      </c>
      <c r="AG27" s="31"/>
      <c r="AH27" s="31" t="s">
        <v>111</v>
      </c>
      <c r="AI27" s="31"/>
      <c r="AJ27" s="31" t="s">
        <v>47</v>
      </c>
      <c r="AK27" s="31"/>
      <c r="AL27" s="31" t="s">
        <v>110</v>
      </c>
      <c r="AM27" s="31"/>
      <c r="AN27" s="31" t="s">
        <v>111</v>
      </c>
      <c r="AO27" s="31"/>
      <c r="AP27" s="31" t="s">
        <v>47</v>
      </c>
      <c r="AQ27" s="31"/>
      <c r="AR27" s="31" t="s">
        <v>110</v>
      </c>
      <c r="AS27" s="31"/>
      <c r="AT27" s="31" t="s">
        <v>111</v>
      </c>
      <c r="AU27" s="31"/>
      <c r="AV27" s="31" t="s">
        <v>47</v>
      </c>
      <c r="AW27" s="31"/>
      <c r="AX27" s="31" t="s">
        <v>110</v>
      </c>
      <c r="AY27" s="31"/>
      <c r="AZ27" s="31" t="s">
        <v>111</v>
      </c>
      <c r="BA27" s="31"/>
      <c r="BB27" s="31" t="s">
        <v>47</v>
      </c>
      <c r="BD27" s="31" t="s">
        <v>110</v>
      </c>
      <c r="BE27" s="31"/>
      <c r="BF27" s="31" t="s">
        <v>111</v>
      </c>
      <c r="BG27" s="31"/>
      <c r="BH27" s="31" t="s">
        <v>47</v>
      </c>
    </row>
    <row r="29" spans="2:54" ht="12.75">
      <c r="B29" s="11" t="s">
        <v>223</v>
      </c>
      <c r="F29" s="30" t="s">
        <v>225</v>
      </c>
      <c r="H29" s="30" t="s">
        <v>225</v>
      </c>
      <c r="I29" s="30"/>
      <c r="J29" s="30" t="s">
        <v>225</v>
      </c>
      <c r="K29" s="30"/>
      <c r="L29" s="30" t="s">
        <v>227</v>
      </c>
      <c r="M29" s="30"/>
      <c r="N29" s="30" t="s">
        <v>227</v>
      </c>
      <c r="O29" s="30"/>
      <c r="P29" s="30" t="s">
        <v>227</v>
      </c>
      <c r="Q29" s="30"/>
      <c r="R29" s="30"/>
      <c r="S29" s="30"/>
      <c r="T29" s="30" t="s">
        <v>229</v>
      </c>
      <c r="U29" s="30"/>
      <c r="V29" s="31" t="s">
        <v>229</v>
      </c>
      <c r="W29" s="31"/>
      <c r="X29" s="31" t="s">
        <v>229</v>
      </c>
      <c r="Y29" s="31"/>
      <c r="Z29" s="31" t="s">
        <v>230</v>
      </c>
      <c r="AA29" s="31"/>
      <c r="AB29" s="31" t="s">
        <v>230</v>
      </c>
      <c r="AC29" s="31"/>
      <c r="AD29" s="31" t="s">
        <v>230</v>
      </c>
      <c r="AE29" s="31"/>
      <c r="AF29" s="31" t="s">
        <v>231</v>
      </c>
      <c r="AG29" s="31"/>
      <c r="AH29" s="31" t="s">
        <v>231</v>
      </c>
      <c r="AI29" s="31"/>
      <c r="AJ29" s="31" t="s">
        <v>231</v>
      </c>
      <c r="AK29" s="31"/>
      <c r="AL29" s="31" t="s">
        <v>232</v>
      </c>
      <c r="AM29" s="31"/>
      <c r="AN29" s="31" t="s">
        <v>232</v>
      </c>
      <c r="AO29" s="31"/>
      <c r="AP29" s="31" t="s">
        <v>232</v>
      </c>
      <c r="AQ29" s="31"/>
      <c r="AR29" s="31" t="s">
        <v>233</v>
      </c>
      <c r="AS29" s="31"/>
      <c r="AT29" s="31" t="s">
        <v>233</v>
      </c>
      <c r="AU29" s="31"/>
      <c r="AV29" s="31" t="s">
        <v>233</v>
      </c>
      <c r="AW29" s="31"/>
      <c r="AX29" s="29" t="s">
        <v>236</v>
      </c>
      <c r="AZ29" s="29" t="s">
        <v>236</v>
      </c>
      <c r="BB29" s="29" t="s">
        <v>236</v>
      </c>
    </row>
    <row r="30" spans="2:54" ht="12.75">
      <c r="B30" s="11" t="s">
        <v>224</v>
      </c>
      <c r="F30" s="30" t="s">
        <v>226</v>
      </c>
      <c r="H30" s="30" t="s">
        <v>226</v>
      </c>
      <c r="I30" s="30"/>
      <c r="J30" s="30" t="s">
        <v>226</v>
      </c>
      <c r="K30" s="30"/>
      <c r="L30" s="30" t="s">
        <v>235</v>
      </c>
      <c r="M30" s="30"/>
      <c r="N30" s="30" t="s">
        <v>235</v>
      </c>
      <c r="O30" s="30"/>
      <c r="P30" s="30" t="s">
        <v>235</v>
      </c>
      <c r="Q30" s="30"/>
      <c r="R30" s="30"/>
      <c r="S30" s="30"/>
      <c r="T30" s="30" t="s">
        <v>228</v>
      </c>
      <c r="U30" s="30"/>
      <c r="V30" s="31" t="s">
        <v>228</v>
      </c>
      <c r="W30" s="31"/>
      <c r="X30" s="31" t="s">
        <v>228</v>
      </c>
      <c r="Y30" s="31"/>
      <c r="Z30" s="31" t="s">
        <v>228</v>
      </c>
      <c r="AA30" s="31"/>
      <c r="AB30" s="31" t="s">
        <v>228</v>
      </c>
      <c r="AC30" s="31"/>
      <c r="AD30" s="31" t="s">
        <v>228</v>
      </c>
      <c r="AE30" s="31"/>
      <c r="AF30" s="31" t="s">
        <v>228</v>
      </c>
      <c r="AG30" s="31"/>
      <c r="AH30" s="31" t="s">
        <v>228</v>
      </c>
      <c r="AI30" s="31"/>
      <c r="AJ30" s="31" t="s">
        <v>228</v>
      </c>
      <c r="AK30" s="31"/>
      <c r="AL30" s="31" t="s">
        <v>228</v>
      </c>
      <c r="AM30" s="31"/>
      <c r="AN30" s="31" t="s">
        <v>228</v>
      </c>
      <c r="AO30" s="31"/>
      <c r="AP30" s="31" t="s">
        <v>228</v>
      </c>
      <c r="AQ30" s="31"/>
      <c r="AR30" s="31" t="s">
        <v>228</v>
      </c>
      <c r="AS30" s="31"/>
      <c r="AT30" s="31" t="s">
        <v>228</v>
      </c>
      <c r="AU30" s="31"/>
      <c r="AV30" s="31" t="s">
        <v>228</v>
      </c>
      <c r="AW30" s="31"/>
      <c r="AX30" s="29" t="s">
        <v>25</v>
      </c>
      <c r="AZ30" s="29" t="s">
        <v>25</v>
      </c>
      <c r="BB30" s="29" t="s">
        <v>25</v>
      </c>
    </row>
    <row r="31" spans="2:60" ht="12.75">
      <c r="B31" s="11" t="s">
        <v>237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29" t="s">
        <v>25</v>
      </c>
      <c r="AZ31" s="29" t="s">
        <v>25</v>
      </c>
      <c r="BB31" s="29" t="s">
        <v>25</v>
      </c>
      <c r="BD31" s="29" t="s">
        <v>61</v>
      </c>
      <c r="BF31" s="29" t="s">
        <v>61</v>
      </c>
      <c r="BH31" s="29" t="s">
        <v>61</v>
      </c>
    </row>
    <row r="32" spans="2:54" s="61" customFormat="1" ht="12.75">
      <c r="B32" s="61" t="s">
        <v>48</v>
      </c>
      <c r="E32" s="62"/>
      <c r="F32" s="15" t="s">
        <v>132</v>
      </c>
      <c r="G32" s="15"/>
      <c r="H32" s="15" t="s">
        <v>132</v>
      </c>
      <c r="I32" s="15"/>
      <c r="J32" s="15" t="s">
        <v>132</v>
      </c>
      <c r="K32" s="15"/>
      <c r="L32" s="15" t="s">
        <v>234</v>
      </c>
      <c r="M32" s="15"/>
      <c r="N32" s="15" t="s">
        <v>133</v>
      </c>
      <c r="O32" s="15"/>
      <c r="P32" s="15" t="s">
        <v>133</v>
      </c>
      <c r="Q32" s="15"/>
      <c r="R32" s="15"/>
      <c r="S32" s="15"/>
      <c r="T32" s="61" t="s">
        <v>126</v>
      </c>
      <c r="V32" s="61" t="s">
        <v>126</v>
      </c>
      <c r="X32" s="61" t="s">
        <v>126</v>
      </c>
      <c r="Z32" s="61" t="s">
        <v>127</v>
      </c>
      <c r="AB32" s="61" t="s">
        <v>127</v>
      </c>
      <c r="AD32" s="61" t="s">
        <v>127</v>
      </c>
      <c r="AF32" s="61" t="s">
        <v>128</v>
      </c>
      <c r="AH32" s="61" t="s">
        <v>128</v>
      </c>
      <c r="AJ32" s="61" t="s">
        <v>128</v>
      </c>
      <c r="AL32" s="61" t="s">
        <v>130</v>
      </c>
      <c r="AN32" s="61" t="s">
        <v>130</v>
      </c>
      <c r="AP32" s="61" t="s">
        <v>130</v>
      </c>
      <c r="AR32" s="63" t="s">
        <v>134</v>
      </c>
      <c r="AS32" s="63"/>
      <c r="AT32" s="63" t="s">
        <v>134</v>
      </c>
      <c r="AU32" s="63"/>
      <c r="AV32" s="63" t="s">
        <v>134</v>
      </c>
      <c r="AW32" s="63"/>
      <c r="AX32" s="29" t="s">
        <v>25</v>
      </c>
      <c r="AY32" s="29"/>
      <c r="AZ32" s="29" t="s">
        <v>25</v>
      </c>
      <c r="BA32" s="29"/>
      <c r="BB32" s="29" t="s">
        <v>25</v>
      </c>
    </row>
    <row r="33" spans="2:54" ht="12.75">
      <c r="B33" s="11" t="s">
        <v>83</v>
      </c>
      <c r="D33" s="11" t="s">
        <v>52</v>
      </c>
      <c r="E33" s="14"/>
      <c r="F33" s="14">
        <v>1203</v>
      </c>
      <c r="G33" s="14"/>
      <c r="H33" s="14">
        <v>1200</v>
      </c>
      <c r="I33" s="14"/>
      <c r="J33" s="14">
        <f>AVERAGE(F33,H33)</f>
        <v>1201.5</v>
      </c>
      <c r="K33" s="14"/>
      <c r="L33" s="94">
        <v>3968</v>
      </c>
      <c r="M33" s="94"/>
      <c r="N33" s="42">
        <v>3905</v>
      </c>
      <c r="O33" s="42"/>
      <c r="P33" s="42">
        <f>AVERAGE(L33,N33)</f>
        <v>3936.5</v>
      </c>
      <c r="Q33" s="42"/>
      <c r="R33" s="42"/>
      <c r="S33" s="42"/>
      <c r="T33" s="94">
        <v>173</v>
      </c>
      <c r="U33" s="94"/>
      <c r="V33" s="65">
        <v>170</v>
      </c>
      <c r="W33" s="65"/>
      <c r="X33" s="42">
        <f>AVERAGE(T33,V33)</f>
        <v>171.5</v>
      </c>
      <c r="Y33" s="42"/>
      <c r="Z33" s="65">
        <v>0</v>
      </c>
      <c r="AA33" s="65"/>
      <c r="AB33" s="29">
        <v>0</v>
      </c>
      <c r="AF33" s="29">
        <v>165</v>
      </c>
      <c r="AH33" s="29">
        <v>183</v>
      </c>
      <c r="AJ33" s="42">
        <f>AVERAGE(AF33,AH33)</f>
        <v>174</v>
      </c>
      <c r="AK33" s="42"/>
      <c r="AL33" s="29">
        <v>346</v>
      </c>
      <c r="AN33" s="29">
        <v>351</v>
      </c>
      <c r="AP33" s="42">
        <f>AVERAGE(AL33,AN33)</f>
        <v>348.5</v>
      </c>
      <c r="AQ33" s="42"/>
      <c r="AR33" s="29">
        <v>7</v>
      </c>
      <c r="AT33" s="29">
        <v>7</v>
      </c>
      <c r="AV33" s="42">
        <f>AVERAGE(AR33,AT33)</f>
        <v>7</v>
      </c>
      <c r="AW33" s="42"/>
      <c r="AX33" s="42">
        <f>SUM(AR33,AL33,Z33,T33,L33,F33,AF33)</f>
        <v>5862</v>
      </c>
      <c r="AY33" s="42"/>
      <c r="AZ33" s="42">
        <f>SUM(AT33,AN33,AB33,V33,N33,H33,AH33)</f>
        <v>5816</v>
      </c>
      <c r="BA33" s="42"/>
      <c r="BB33" s="42">
        <f>SUM(AV33,AP33,AD33,X33,P33,J33,AJ33)</f>
        <v>5839</v>
      </c>
    </row>
    <row r="34" spans="2:21" ht="12.75">
      <c r="B34" s="11" t="s">
        <v>103</v>
      </c>
      <c r="D34" s="11" t="s">
        <v>104</v>
      </c>
      <c r="E34" s="14"/>
      <c r="F34" s="14"/>
      <c r="G34" s="14"/>
      <c r="H34" s="14"/>
      <c r="I34" s="14"/>
      <c r="J34" s="14"/>
      <c r="K34" s="14"/>
      <c r="L34" s="92"/>
      <c r="M34" s="92"/>
      <c r="N34" s="42"/>
      <c r="O34" s="42"/>
      <c r="P34" s="42"/>
      <c r="Q34" s="42"/>
      <c r="R34" s="42"/>
      <c r="S34" s="42"/>
      <c r="T34" s="92"/>
      <c r="U34" s="92"/>
    </row>
    <row r="35" spans="2:22" ht="12.75">
      <c r="B35" s="11" t="s">
        <v>102</v>
      </c>
      <c r="D35" s="11" t="s">
        <v>131</v>
      </c>
      <c r="E35" s="14"/>
      <c r="F35" s="35">
        <v>1.7</v>
      </c>
      <c r="G35" s="35"/>
      <c r="H35" s="35">
        <v>1.7</v>
      </c>
      <c r="I35" s="35"/>
      <c r="J35" s="93"/>
      <c r="K35" s="93"/>
      <c r="L35" s="92">
        <v>0.27</v>
      </c>
      <c r="M35" s="92"/>
      <c r="N35" s="32">
        <v>0.27</v>
      </c>
      <c r="O35" s="32"/>
      <c r="P35" s="32"/>
      <c r="Q35" s="32"/>
      <c r="R35" s="32"/>
      <c r="S35" s="32"/>
      <c r="T35" s="35">
        <v>31.5</v>
      </c>
      <c r="U35" s="35"/>
      <c r="V35" s="29">
        <v>31.5</v>
      </c>
    </row>
    <row r="36" spans="2:49" ht="12.75">
      <c r="B36" s="11" t="s">
        <v>49</v>
      </c>
      <c r="D36" s="11" t="s">
        <v>52</v>
      </c>
      <c r="E36" s="14"/>
      <c r="F36" s="94">
        <v>14.4</v>
      </c>
      <c r="G36" s="94"/>
      <c r="H36" s="94">
        <v>14.4</v>
      </c>
      <c r="I36" s="94"/>
      <c r="J36" s="94"/>
      <c r="K36" s="94"/>
      <c r="L36" s="94">
        <v>161</v>
      </c>
      <c r="M36" s="94"/>
      <c r="N36" s="42">
        <v>159</v>
      </c>
      <c r="O36" s="42"/>
      <c r="P36" s="42"/>
      <c r="Q36" s="42"/>
      <c r="R36" s="42"/>
      <c r="S36" s="42"/>
      <c r="T36" s="92"/>
      <c r="U36" s="92"/>
      <c r="AR36" s="29">
        <v>7</v>
      </c>
      <c r="AT36" s="29">
        <v>6.5</v>
      </c>
      <c r="AV36" s="42">
        <f>AVERAGE(AR36,AT36)</f>
        <v>6.75</v>
      </c>
      <c r="AW36" s="42"/>
    </row>
    <row r="37" spans="6:7" ht="12.75">
      <c r="F37" s="12"/>
      <c r="G37" s="12"/>
    </row>
    <row r="38" spans="2:54" ht="12.75">
      <c r="B38" s="11" t="s">
        <v>99</v>
      </c>
      <c r="D38" s="11" t="s">
        <v>17</v>
      </c>
      <c r="E38" s="31"/>
      <c r="F38" s="12">
        <f>'emiss 1'!$G$40</f>
        <v>7361</v>
      </c>
      <c r="G38" s="12"/>
      <c r="H38" s="29">
        <f>'emiss 1'!$I$40</f>
        <v>7450</v>
      </c>
      <c r="J38" s="29">
        <f>'emiss 1'!$M$40</f>
        <v>7405.5</v>
      </c>
      <c r="L38" s="12">
        <f>'emiss 1'!$G$40</f>
        <v>7361</v>
      </c>
      <c r="M38" s="12"/>
      <c r="N38" s="29">
        <f>'emiss 1'!$I$40</f>
        <v>7450</v>
      </c>
      <c r="P38" s="29">
        <f>'emiss 1'!$M$40</f>
        <v>7405.5</v>
      </c>
      <c r="T38" s="12">
        <f>'emiss 1'!$G$40</f>
        <v>7361</v>
      </c>
      <c r="U38" s="12"/>
      <c r="V38" s="29">
        <f>'emiss 1'!$I$40</f>
        <v>7450</v>
      </c>
      <c r="X38" s="29">
        <f>'emiss 1'!$M$40</f>
        <v>7405.5</v>
      </c>
      <c r="Z38" s="12">
        <f>'emiss 1'!$G$40</f>
        <v>7361</v>
      </c>
      <c r="AA38" s="12"/>
      <c r="AB38" s="29">
        <f>'emiss 1'!$I$40</f>
        <v>7450</v>
      </c>
      <c r="AD38" s="29">
        <f>'emiss 1'!$M$40</f>
        <v>7405.5</v>
      </c>
      <c r="AF38" s="12">
        <f>'emiss 1'!$G$40</f>
        <v>7361</v>
      </c>
      <c r="AG38" s="12"/>
      <c r="AH38" s="29">
        <f>'emiss 1'!$I$40</f>
        <v>7450</v>
      </c>
      <c r="AJ38" s="29">
        <f>'emiss 1'!$M$40</f>
        <v>7405.5</v>
      </c>
      <c r="AL38" s="12">
        <f>'emiss 1'!$G$40</f>
        <v>7361</v>
      </c>
      <c r="AM38" s="12"/>
      <c r="AN38" s="29">
        <f>'emiss 1'!$I$40</f>
        <v>7450</v>
      </c>
      <c r="AP38" s="29">
        <f>'emiss 1'!$M$40</f>
        <v>7405.5</v>
      </c>
      <c r="AR38" s="12">
        <f>'emiss 1'!$G$40</f>
        <v>7361</v>
      </c>
      <c r="AS38" s="12"/>
      <c r="AT38" s="29">
        <f>'emiss 1'!$I$40</f>
        <v>7450</v>
      </c>
      <c r="AV38" s="29">
        <f>'emiss 1'!$M$40</f>
        <v>7405.5</v>
      </c>
      <c r="AX38" s="12">
        <f>'emiss 1'!$G$40</f>
        <v>7361</v>
      </c>
      <c r="AY38" s="12"/>
      <c r="AZ38" s="29">
        <f>'emiss 1'!$I$40</f>
        <v>7450</v>
      </c>
      <c r="BB38" s="29">
        <f>'emiss 1'!$M$40</f>
        <v>7405.5</v>
      </c>
    </row>
    <row r="39" spans="2:54" ht="12.75">
      <c r="B39" s="11" t="s">
        <v>100</v>
      </c>
      <c r="D39" s="11" t="s">
        <v>18</v>
      </c>
      <c r="E39" s="31"/>
      <c r="F39" s="12">
        <f>'emiss 1'!$G$41</f>
        <v>8.6</v>
      </c>
      <c r="G39" s="12"/>
      <c r="H39" s="29">
        <f>'emiss 1'!$I$41</f>
        <v>8.47</v>
      </c>
      <c r="J39" s="29">
        <f>'emiss 1'!$M$41</f>
        <v>8.535</v>
      </c>
      <c r="L39" s="12">
        <f>'emiss 1'!$G$41</f>
        <v>8.6</v>
      </c>
      <c r="M39" s="12"/>
      <c r="N39" s="29">
        <f>'emiss 1'!$I$41</f>
        <v>8.47</v>
      </c>
      <c r="P39" s="29">
        <f>'emiss 1'!$M$41</f>
        <v>8.535</v>
      </c>
      <c r="T39" s="12">
        <f>'emiss 1'!$G$41</f>
        <v>8.6</v>
      </c>
      <c r="U39" s="12"/>
      <c r="V39" s="29">
        <f>'emiss 1'!$I$41</f>
        <v>8.47</v>
      </c>
      <c r="X39" s="29">
        <f>'emiss 1'!$M$41</f>
        <v>8.535</v>
      </c>
      <c r="Z39" s="12">
        <f>'emiss 1'!$G$41</f>
        <v>8.6</v>
      </c>
      <c r="AA39" s="12"/>
      <c r="AB39" s="29">
        <f>'emiss 1'!$I$41</f>
        <v>8.47</v>
      </c>
      <c r="AD39" s="29">
        <f>'emiss 1'!$M$41</f>
        <v>8.535</v>
      </c>
      <c r="AF39" s="12">
        <f>'emiss 1'!$G$41</f>
        <v>8.6</v>
      </c>
      <c r="AG39" s="12"/>
      <c r="AH39" s="29">
        <f>'emiss 1'!$I$41</f>
        <v>8.47</v>
      </c>
      <c r="AJ39" s="29">
        <f>'emiss 1'!$M$41</f>
        <v>8.535</v>
      </c>
      <c r="AL39" s="12">
        <f>'emiss 1'!$G$41</f>
        <v>8.6</v>
      </c>
      <c r="AM39" s="12"/>
      <c r="AN39" s="29">
        <f>'emiss 1'!$I$41</f>
        <v>8.47</v>
      </c>
      <c r="AP39" s="29">
        <f>'emiss 1'!$M$41</f>
        <v>8.535</v>
      </c>
      <c r="AR39" s="12">
        <f>'emiss 1'!$G$41</f>
        <v>8.6</v>
      </c>
      <c r="AS39" s="12"/>
      <c r="AT39" s="29">
        <f>'emiss 1'!$I$41</f>
        <v>8.47</v>
      </c>
      <c r="AV39" s="29">
        <f>'emiss 1'!$M$41</f>
        <v>8.535</v>
      </c>
      <c r="AX39" s="12">
        <f>'emiss 1'!$G$41</f>
        <v>8.6</v>
      </c>
      <c r="AY39" s="12"/>
      <c r="AZ39" s="29">
        <f>'emiss 1'!$I$41</f>
        <v>8.47</v>
      </c>
      <c r="BB39" s="29">
        <f>'emiss 1'!$M$41</f>
        <v>8.535</v>
      </c>
    </row>
    <row r="40" spans="5:7" ht="12.75">
      <c r="E40" s="31"/>
      <c r="F40" s="12"/>
      <c r="G40" s="12"/>
    </row>
    <row r="41" spans="2:7" ht="12.75">
      <c r="B41" s="11" t="s">
        <v>105</v>
      </c>
      <c r="D41" s="11" t="s">
        <v>106</v>
      </c>
      <c r="E41" s="31"/>
      <c r="F41" s="12"/>
      <c r="G41" s="12"/>
    </row>
    <row r="42" spans="2:54" ht="12.75">
      <c r="B42" s="11" t="s">
        <v>107</v>
      </c>
      <c r="D42" s="11" t="s">
        <v>106</v>
      </c>
      <c r="E42" s="31"/>
      <c r="F42" s="12"/>
      <c r="G42" s="12"/>
      <c r="BB42" s="32">
        <f>BB38/150*(21-BB39)/21</f>
        <v>29.304621428571426</v>
      </c>
    </row>
    <row r="43" spans="5:7" ht="12.75">
      <c r="E43" s="31"/>
      <c r="F43" s="12"/>
      <c r="G43" s="12"/>
    </row>
    <row r="44" spans="2:7" ht="12.75">
      <c r="B44" s="47" t="s">
        <v>101</v>
      </c>
      <c r="F44" s="12"/>
      <c r="G44" s="12"/>
    </row>
    <row r="45" spans="2:60" ht="12.75">
      <c r="B45" s="11" t="s">
        <v>102</v>
      </c>
      <c r="D45" s="11" t="s">
        <v>54</v>
      </c>
      <c r="F45" s="87">
        <f>F33*F35/100*454/60/0.0283/F$38*(21-7)/(21-F39)*1000000</f>
        <v>838691.5133536156</v>
      </c>
      <c r="G45" s="87"/>
      <c r="H45" s="87">
        <f>H33*H35/100*454/60/0.0283/H$38*(21-7)/(21-H39)*1000000</f>
        <v>818029.6143572782</v>
      </c>
      <c r="I45" s="87"/>
      <c r="J45" s="94">
        <f>AVERAGE(F45,H45)</f>
        <v>828360.5638554469</v>
      </c>
      <c r="K45" s="94"/>
      <c r="L45" s="87">
        <f>L33*L35/100*454/60/0.0283/L$38*(21-7)/(21-L39)*1000000</f>
        <v>439362.64228963375</v>
      </c>
      <c r="M45" s="87"/>
      <c r="N45" s="87">
        <f>N33*N35/100*454/60/0.0283/N$38*(21-7)/(21-N39)*1000000</f>
        <v>422788.9823027435</v>
      </c>
      <c r="O45" s="87"/>
      <c r="P45" s="94">
        <f>AVERAGE(L45,N45)</f>
        <v>431075.8122961886</v>
      </c>
      <c r="Q45" s="94"/>
      <c r="R45" s="94"/>
      <c r="S45" s="94"/>
      <c r="T45" s="87">
        <f>T33*T35/100*454/60/0.0283/T$38*(21-7)/(21-T39)*1000000</f>
        <v>2234829.300288753</v>
      </c>
      <c r="U45" s="87"/>
      <c r="V45" s="87">
        <f>V33*V35/100*454/60/0.0283/V$38*(21-7)/(21-V39)*1000000</f>
        <v>2147327.7376878555</v>
      </c>
      <c r="W45" s="87"/>
      <c r="X45" s="94">
        <f>AVERAGE(T45,V45)</f>
        <v>2191078.5189883043</v>
      </c>
      <c r="Y45" s="94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87"/>
      <c r="AS45" s="87"/>
      <c r="AT45" s="94"/>
      <c r="AU45" s="94"/>
      <c r="AV45" s="42"/>
      <c r="AW45" s="42"/>
      <c r="AX45" s="42">
        <f>SUM(AR45,AL45,Z45,T45,L45,F45,AF45)</f>
        <v>3512883.4559320025</v>
      </c>
      <c r="AY45" s="42"/>
      <c r="AZ45" s="42">
        <f>SUM(AT45,AN45,AB45,V45,N45,H45,AH45)</f>
        <v>3388146.334347877</v>
      </c>
      <c r="BA45" s="42"/>
      <c r="BB45" s="42">
        <f>SUM(AV45,AP45,AD45,X45,P45,J45,AJ45)</f>
        <v>3450514.8951399396</v>
      </c>
      <c r="BC45" s="42"/>
      <c r="BD45" s="42">
        <f>AX45</f>
        <v>3512883.4559320025</v>
      </c>
      <c r="BE45" s="42"/>
      <c r="BF45" s="42">
        <f>AZ45</f>
        <v>3388146.334347877</v>
      </c>
      <c r="BG45" s="42"/>
      <c r="BH45" s="42">
        <f>BB45</f>
        <v>3450514.8951399396</v>
      </c>
    </row>
    <row r="46" spans="2:60" ht="12.75">
      <c r="B46" s="11" t="s">
        <v>49</v>
      </c>
      <c r="D46" s="11" t="s">
        <v>60</v>
      </c>
      <c r="F46" s="87">
        <f>F36*454/60/0.0283/F$38*(21-7)/(21-F$39)*1000</f>
        <v>590.5411858731635</v>
      </c>
      <c r="G46" s="87"/>
      <c r="H46" s="87">
        <f>H36*454/60/0.0283/H$38*(21-7)/(21-H$39)*1000</f>
        <v>577.4326689580789</v>
      </c>
      <c r="I46" s="87"/>
      <c r="J46" s="94">
        <f>AVERAGE(F46,H46)</f>
        <v>583.9869274156213</v>
      </c>
      <c r="K46" s="94"/>
      <c r="L46" s="87">
        <f>L36*454/60/0.0283/L$38*(21-7)/(21-L$39)*1000</f>
        <v>6602.578536498563</v>
      </c>
      <c r="M46" s="87"/>
      <c r="N46" s="87">
        <f>N36*454/60/0.0283/N$38*(21-7)/(21-N$39)*1000</f>
        <v>6375.819053078787</v>
      </c>
      <c r="O46" s="87"/>
      <c r="P46" s="94">
        <f>AVERAGE(L46,N46)</f>
        <v>6489.1987947886755</v>
      </c>
      <c r="Q46" s="94"/>
      <c r="R46" s="94"/>
      <c r="S46" s="94"/>
      <c r="T46" s="87"/>
      <c r="U46" s="87"/>
      <c r="V46" s="87"/>
      <c r="W46" s="87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87">
        <f>AR36*454/60/0.0283/AR$38*(21-7)/(21-AR$39)*1000</f>
        <v>287.0686320216767</v>
      </c>
      <c r="AS46" s="87"/>
      <c r="AT46" s="87">
        <f>AT36*454/60/0.0283/AT$38*(21-7)/(21-AT$39)*1000</f>
        <v>260.64669084913277</v>
      </c>
      <c r="AU46" s="87"/>
      <c r="AV46" s="94">
        <f>AVERAGE(AR46,AT46)</f>
        <v>273.85766143540474</v>
      </c>
      <c r="AW46" s="94"/>
      <c r="AX46" s="42">
        <f>SUM(AR46,AL46,Z46,T46,L46,F46,AF46)</f>
        <v>7480.188354393403</v>
      </c>
      <c r="AY46" s="42"/>
      <c r="AZ46" s="42">
        <f>SUM(AT46,AN46,AB46,V46,N46,H46,AH46)</f>
        <v>7213.898412885999</v>
      </c>
      <c r="BA46" s="42"/>
      <c r="BB46" s="42">
        <f>SUM(AV46,AP46,AD46,X46,P46,J46,AJ46)</f>
        <v>7347.043383639702</v>
      </c>
      <c r="BC46" s="42"/>
      <c r="BD46" s="42">
        <f>AX46</f>
        <v>7480.188354393403</v>
      </c>
      <c r="BE46" s="42"/>
      <c r="BF46" s="42">
        <f>AZ46</f>
        <v>7213.898412885999</v>
      </c>
      <c r="BG46" s="42"/>
      <c r="BH46" s="42">
        <f>BB46</f>
        <v>7347.043383639702</v>
      </c>
    </row>
    <row r="50" spans="1:60" ht="12.75">
      <c r="A50" s="29" t="s">
        <v>82</v>
      </c>
      <c r="B50" s="28" t="s">
        <v>153</v>
      </c>
      <c r="C50" s="28" t="s">
        <v>81</v>
      </c>
      <c r="F50" s="31" t="s">
        <v>110</v>
      </c>
      <c r="G50" s="31"/>
      <c r="H50" s="31" t="s">
        <v>111</v>
      </c>
      <c r="I50" s="31"/>
      <c r="J50" s="31" t="s">
        <v>47</v>
      </c>
      <c r="K50" s="31"/>
      <c r="L50" s="31" t="s">
        <v>110</v>
      </c>
      <c r="M50" s="31"/>
      <c r="N50" s="31" t="s">
        <v>111</v>
      </c>
      <c r="O50" s="31"/>
      <c r="P50" s="31" t="s">
        <v>47</v>
      </c>
      <c r="Q50" s="31"/>
      <c r="R50" s="31"/>
      <c r="S50" s="31"/>
      <c r="T50" s="31" t="s">
        <v>110</v>
      </c>
      <c r="U50" s="31"/>
      <c r="V50" s="31" t="s">
        <v>111</v>
      </c>
      <c r="W50" s="31"/>
      <c r="X50" s="31" t="s">
        <v>47</v>
      </c>
      <c r="Y50" s="31"/>
      <c r="Z50" s="31" t="s">
        <v>110</v>
      </c>
      <c r="AA50" s="31"/>
      <c r="AB50" s="31" t="s">
        <v>111</v>
      </c>
      <c r="AC50" s="31"/>
      <c r="AD50" s="31" t="s">
        <v>47</v>
      </c>
      <c r="AE50" s="31"/>
      <c r="AF50" s="31" t="s">
        <v>110</v>
      </c>
      <c r="AG50" s="31"/>
      <c r="AH50" s="31" t="s">
        <v>111</v>
      </c>
      <c r="AI50" s="31"/>
      <c r="AJ50" s="31" t="s">
        <v>47</v>
      </c>
      <c r="AK50" s="31"/>
      <c r="AL50" s="31" t="s">
        <v>110</v>
      </c>
      <c r="AM50" s="31"/>
      <c r="AN50" s="31" t="s">
        <v>111</v>
      </c>
      <c r="AO50" s="31"/>
      <c r="AP50" s="31" t="s">
        <v>47</v>
      </c>
      <c r="AQ50" s="31"/>
      <c r="AR50" s="31" t="s">
        <v>110</v>
      </c>
      <c r="AS50" s="31"/>
      <c r="AT50" s="31" t="s">
        <v>111</v>
      </c>
      <c r="AU50" s="31"/>
      <c r="AV50" s="31" t="s">
        <v>47</v>
      </c>
      <c r="AW50" s="31"/>
      <c r="AX50" s="31" t="s">
        <v>110</v>
      </c>
      <c r="AY50" s="31"/>
      <c r="AZ50" s="31" t="s">
        <v>111</v>
      </c>
      <c r="BA50" s="31"/>
      <c r="BB50" s="31" t="s">
        <v>47</v>
      </c>
      <c r="BD50" s="31" t="s">
        <v>110</v>
      </c>
      <c r="BE50" s="31"/>
      <c r="BF50" s="31" t="s">
        <v>111</v>
      </c>
      <c r="BG50" s="31"/>
      <c r="BH50" s="31" t="s">
        <v>47</v>
      </c>
    </row>
    <row r="52" spans="2:54" ht="12.75">
      <c r="B52" s="11" t="s">
        <v>223</v>
      </c>
      <c r="F52" s="30" t="s">
        <v>225</v>
      </c>
      <c r="H52" s="30" t="s">
        <v>225</v>
      </c>
      <c r="I52" s="30"/>
      <c r="J52" s="30" t="s">
        <v>225</v>
      </c>
      <c r="K52" s="30"/>
      <c r="L52" s="30" t="s">
        <v>227</v>
      </c>
      <c r="M52" s="30"/>
      <c r="N52" s="30" t="s">
        <v>227</v>
      </c>
      <c r="O52" s="30"/>
      <c r="P52" s="30" t="s">
        <v>227</v>
      </c>
      <c r="Q52" s="30"/>
      <c r="R52" s="30"/>
      <c r="S52" s="30"/>
      <c r="T52" s="30" t="s">
        <v>229</v>
      </c>
      <c r="U52" s="30"/>
      <c r="V52" s="31" t="s">
        <v>229</v>
      </c>
      <c r="W52" s="31"/>
      <c r="X52" s="31" t="s">
        <v>229</v>
      </c>
      <c r="Y52" s="31"/>
      <c r="Z52" s="29" t="s">
        <v>230</v>
      </c>
      <c r="AB52" s="29" t="s">
        <v>230</v>
      </c>
      <c r="AD52" s="29" t="s">
        <v>230</v>
      </c>
      <c r="AF52" s="29" t="s">
        <v>231</v>
      </c>
      <c r="AH52" s="29" t="s">
        <v>231</v>
      </c>
      <c r="AJ52" s="29" t="s">
        <v>231</v>
      </c>
      <c r="AL52" s="29" t="s">
        <v>232</v>
      </c>
      <c r="AN52" s="29" t="s">
        <v>232</v>
      </c>
      <c r="AP52" s="29" t="s">
        <v>232</v>
      </c>
      <c r="AR52" s="29" t="s">
        <v>233</v>
      </c>
      <c r="AT52" s="29" t="s">
        <v>233</v>
      </c>
      <c r="AV52" s="29" t="s">
        <v>233</v>
      </c>
      <c r="AX52" s="29" t="s">
        <v>236</v>
      </c>
      <c r="AZ52" s="29" t="s">
        <v>236</v>
      </c>
      <c r="BB52" s="29" t="s">
        <v>236</v>
      </c>
    </row>
    <row r="53" spans="2:54" ht="12.75">
      <c r="B53" s="11" t="s">
        <v>224</v>
      </c>
      <c r="F53" s="30" t="s">
        <v>226</v>
      </c>
      <c r="H53" s="30" t="s">
        <v>226</v>
      </c>
      <c r="I53" s="30"/>
      <c r="J53" s="30" t="s">
        <v>226</v>
      </c>
      <c r="K53" s="30"/>
      <c r="L53" s="30" t="s">
        <v>235</v>
      </c>
      <c r="M53" s="30"/>
      <c r="N53" s="30" t="s">
        <v>235</v>
      </c>
      <c r="O53" s="30"/>
      <c r="P53" s="30" t="s">
        <v>235</v>
      </c>
      <c r="Q53" s="30"/>
      <c r="R53" s="30"/>
      <c r="S53" s="30"/>
      <c r="T53" s="30" t="s">
        <v>228</v>
      </c>
      <c r="U53" s="30"/>
      <c r="V53" s="31" t="s">
        <v>228</v>
      </c>
      <c r="W53" s="31"/>
      <c r="X53" s="31" t="s">
        <v>228</v>
      </c>
      <c r="Y53" s="31"/>
      <c r="Z53" s="29" t="s">
        <v>228</v>
      </c>
      <c r="AB53" s="29" t="s">
        <v>228</v>
      </c>
      <c r="AD53" s="29" t="s">
        <v>228</v>
      </c>
      <c r="AF53" s="29" t="s">
        <v>228</v>
      </c>
      <c r="AH53" s="29" t="s">
        <v>228</v>
      </c>
      <c r="AJ53" s="29" t="s">
        <v>228</v>
      </c>
      <c r="AL53" s="29" t="s">
        <v>228</v>
      </c>
      <c r="AN53" s="29" t="s">
        <v>228</v>
      </c>
      <c r="AP53" s="29" t="s">
        <v>228</v>
      </c>
      <c r="AR53" s="29" t="s">
        <v>228</v>
      </c>
      <c r="AT53" s="29" t="s">
        <v>228</v>
      </c>
      <c r="AV53" s="29" t="s">
        <v>228</v>
      </c>
      <c r="AX53" s="29" t="s">
        <v>25</v>
      </c>
      <c r="AZ53" s="29" t="s">
        <v>25</v>
      </c>
      <c r="BB53" s="29" t="s">
        <v>25</v>
      </c>
    </row>
    <row r="54" spans="2:60" ht="12.75">
      <c r="B54" s="11" t="s">
        <v>237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1"/>
      <c r="W54" s="31"/>
      <c r="X54" s="31"/>
      <c r="Y54" s="31"/>
      <c r="AX54" s="29" t="s">
        <v>25</v>
      </c>
      <c r="AZ54" s="29" t="s">
        <v>25</v>
      </c>
      <c r="BB54" s="29" t="s">
        <v>25</v>
      </c>
      <c r="BD54" s="29" t="s">
        <v>61</v>
      </c>
      <c r="BF54" s="29" t="s">
        <v>61</v>
      </c>
      <c r="BH54" s="29" t="s">
        <v>61</v>
      </c>
    </row>
    <row r="55" spans="2:54" s="61" customFormat="1" ht="12.75">
      <c r="B55" s="61" t="s">
        <v>48</v>
      </c>
      <c r="E55" s="62"/>
      <c r="F55" s="15" t="s">
        <v>132</v>
      </c>
      <c r="G55" s="15"/>
      <c r="H55" s="15" t="s">
        <v>132</v>
      </c>
      <c r="I55" s="15"/>
      <c r="J55" s="15" t="s">
        <v>132</v>
      </c>
      <c r="K55" s="15"/>
      <c r="L55" s="15" t="s">
        <v>234</v>
      </c>
      <c r="M55" s="15"/>
      <c r="N55" s="15" t="s">
        <v>234</v>
      </c>
      <c r="O55" s="15"/>
      <c r="P55" s="15" t="s">
        <v>234</v>
      </c>
      <c r="Q55" s="15"/>
      <c r="R55" s="15"/>
      <c r="S55" s="15"/>
      <c r="T55" s="61" t="s">
        <v>126</v>
      </c>
      <c r="V55" s="61" t="s">
        <v>126</v>
      </c>
      <c r="X55" s="61" t="s">
        <v>126</v>
      </c>
      <c r="Z55" s="61" t="s">
        <v>127</v>
      </c>
      <c r="AB55" s="61" t="s">
        <v>127</v>
      </c>
      <c r="AD55" s="61" t="s">
        <v>127</v>
      </c>
      <c r="AF55" s="61" t="s">
        <v>128</v>
      </c>
      <c r="AH55" s="61" t="s">
        <v>128</v>
      </c>
      <c r="AJ55" s="61" t="s">
        <v>128</v>
      </c>
      <c r="AL55" s="61" t="s">
        <v>130</v>
      </c>
      <c r="AN55" s="61" t="s">
        <v>130</v>
      </c>
      <c r="AP55" s="61" t="s">
        <v>130</v>
      </c>
      <c r="AR55" s="63" t="s">
        <v>134</v>
      </c>
      <c r="AS55" s="63"/>
      <c r="AT55" s="63" t="s">
        <v>134</v>
      </c>
      <c r="AU55" s="63"/>
      <c r="AV55" s="63" t="s">
        <v>134</v>
      </c>
      <c r="AW55" s="63"/>
      <c r="AX55" s="29" t="s">
        <v>25</v>
      </c>
      <c r="AY55" s="29"/>
      <c r="AZ55" s="29" t="s">
        <v>25</v>
      </c>
      <c r="BA55" s="29"/>
      <c r="BB55" s="29" t="s">
        <v>25</v>
      </c>
    </row>
    <row r="56" spans="2:54" ht="12.75">
      <c r="B56" s="11" t="s">
        <v>83</v>
      </c>
      <c r="D56" s="11" t="s">
        <v>52</v>
      </c>
      <c r="E56" s="14"/>
      <c r="F56" s="14">
        <v>1236</v>
      </c>
      <c r="G56" s="14"/>
      <c r="H56" s="14">
        <v>1256</v>
      </c>
      <c r="I56" s="14"/>
      <c r="J56" s="14">
        <f>AVERAGE(F56,H56)</f>
        <v>1246</v>
      </c>
      <c r="K56" s="14"/>
      <c r="L56" s="94">
        <v>3734</v>
      </c>
      <c r="M56" s="94"/>
      <c r="N56" s="42">
        <v>3726</v>
      </c>
      <c r="O56" s="42"/>
      <c r="P56" s="42">
        <f>AVERAGE(L56,N56)</f>
        <v>3730</v>
      </c>
      <c r="Q56" s="42"/>
      <c r="R56" s="42"/>
      <c r="S56" s="42"/>
      <c r="T56" s="94">
        <v>204</v>
      </c>
      <c r="U56" s="94"/>
      <c r="V56" s="65">
        <v>0</v>
      </c>
      <c r="W56" s="65"/>
      <c r="X56" s="42">
        <f>AVERAGE(T56,V56)</f>
        <v>102</v>
      </c>
      <c r="Y56" s="42"/>
      <c r="Z56" s="65">
        <v>0</v>
      </c>
      <c r="AA56" s="65"/>
      <c r="AB56" s="29">
        <v>202</v>
      </c>
      <c r="AD56" s="42">
        <f>AVERAGE(Z56,AB56)</f>
        <v>101</v>
      </c>
      <c r="AE56" s="42"/>
      <c r="AF56" s="29">
        <v>175</v>
      </c>
      <c r="AH56" s="29">
        <v>175</v>
      </c>
      <c r="AJ56" s="42">
        <f>AVERAGE(AF56,AH56)</f>
        <v>175</v>
      </c>
      <c r="AK56" s="42"/>
      <c r="AL56" s="29">
        <v>330</v>
      </c>
      <c r="AN56" s="29">
        <v>310</v>
      </c>
      <c r="AP56" s="42">
        <f>AVERAGE(AL56,AN56)</f>
        <v>320</v>
      </c>
      <c r="AQ56" s="42"/>
      <c r="AR56" s="29">
        <v>19.8</v>
      </c>
      <c r="AT56" s="29">
        <v>19.8</v>
      </c>
      <c r="AV56" s="42">
        <f>AVERAGE(AR56,AT56)</f>
        <v>19.8</v>
      </c>
      <c r="AW56" s="42"/>
      <c r="AX56" s="42">
        <f>SUM(AR56,AL56,Z56,T56,L56,F56,AF56)</f>
        <v>5698.8</v>
      </c>
      <c r="AY56" s="42"/>
      <c r="AZ56" s="42">
        <f>SUM(AT56,AN56,AB56,V56,N56,H56,AH56)</f>
        <v>5688.8</v>
      </c>
      <c r="BA56" s="42"/>
      <c r="BB56" s="42">
        <f>SUM(AV56,AP56,AD56,X56,P56,J56,AJ56)</f>
        <v>5693.8</v>
      </c>
    </row>
    <row r="57" spans="2:21" ht="12.75">
      <c r="B57" s="11" t="s">
        <v>103</v>
      </c>
      <c r="D57" s="11" t="s">
        <v>104</v>
      </c>
      <c r="E57" s="14"/>
      <c r="F57" s="14"/>
      <c r="G57" s="14"/>
      <c r="H57" s="14"/>
      <c r="I57" s="14"/>
      <c r="J57" s="14"/>
      <c r="K57" s="14"/>
      <c r="L57" s="92"/>
      <c r="M57" s="92"/>
      <c r="N57" s="42"/>
      <c r="O57" s="42"/>
      <c r="P57" s="42"/>
      <c r="Q57" s="42"/>
      <c r="R57" s="42"/>
      <c r="S57" s="42"/>
      <c r="T57" s="92"/>
      <c r="U57" s="92"/>
    </row>
    <row r="58" spans="2:28" ht="12.75">
      <c r="B58" s="11" t="s">
        <v>102</v>
      </c>
      <c r="D58" s="11" t="s">
        <v>131</v>
      </c>
      <c r="E58" s="14"/>
      <c r="F58" s="35">
        <v>1.7</v>
      </c>
      <c r="G58" s="35"/>
      <c r="H58" s="35">
        <v>1.7</v>
      </c>
      <c r="I58" s="35"/>
      <c r="J58" s="93"/>
      <c r="K58" s="93"/>
      <c r="L58" s="92">
        <v>0.27</v>
      </c>
      <c r="M58" s="92"/>
      <c r="N58" s="32">
        <v>0.27</v>
      </c>
      <c r="O58" s="32"/>
      <c r="P58" s="32"/>
      <c r="Q58" s="32"/>
      <c r="R58" s="32"/>
      <c r="S58" s="32"/>
      <c r="T58" s="35">
        <v>31.5</v>
      </c>
      <c r="U58" s="35"/>
      <c r="V58" s="29">
        <v>31.5</v>
      </c>
      <c r="AB58" s="29">
        <v>8</v>
      </c>
    </row>
    <row r="59" spans="2:49" ht="12.75">
      <c r="B59" s="11" t="s">
        <v>49</v>
      </c>
      <c r="D59" s="11" t="s">
        <v>52</v>
      </c>
      <c r="E59" s="14"/>
      <c r="F59" s="94">
        <v>14.8</v>
      </c>
      <c r="G59" s="94"/>
      <c r="H59" s="94">
        <v>15.1</v>
      </c>
      <c r="I59" s="94"/>
      <c r="J59" s="94"/>
      <c r="K59" s="94"/>
      <c r="L59" s="94">
        <v>152</v>
      </c>
      <c r="M59" s="94"/>
      <c r="N59" s="42">
        <v>151</v>
      </c>
      <c r="O59" s="42"/>
      <c r="P59" s="42"/>
      <c r="Q59" s="42"/>
      <c r="R59" s="42"/>
      <c r="S59" s="42"/>
      <c r="T59" s="92"/>
      <c r="U59" s="92"/>
      <c r="AR59" s="29">
        <v>19.8</v>
      </c>
      <c r="AT59" s="29">
        <v>19.8</v>
      </c>
      <c r="AV59" s="42">
        <f>AVERAGE(AR59,AT59)</f>
        <v>19.8</v>
      </c>
      <c r="AW59" s="42"/>
    </row>
    <row r="60" spans="6:7" ht="12.75">
      <c r="F60" s="12"/>
      <c r="G60" s="12"/>
    </row>
    <row r="61" spans="2:48" ht="12.75">
      <c r="B61" s="11" t="s">
        <v>99</v>
      </c>
      <c r="D61" s="11" t="s">
        <v>17</v>
      </c>
      <c r="E61" s="31"/>
      <c r="F61" s="12">
        <f>'emiss 1'!$G$65</f>
        <v>7372</v>
      </c>
      <c r="G61" s="12"/>
      <c r="H61" s="29">
        <f>'emiss 1'!$I$65</f>
        <v>7814</v>
      </c>
      <c r="J61" s="29">
        <f>'emiss 1'!$M$65</f>
        <v>7593</v>
      </c>
      <c r="L61" s="12">
        <f>'emiss 1'!$G$65</f>
        <v>7372</v>
      </c>
      <c r="M61" s="12"/>
      <c r="N61" s="29">
        <f>'emiss 1'!$I$65</f>
        <v>7814</v>
      </c>
      <c r="P61" s="29">
        <f>'emiss 1'!$M$65</f>
        <v>7593</v>
      </c>
      <c r="T61" s="12">
        <f>'emiss 1'!$G$65</f>
        <v>7372</v>
      </c>
      <c r="U61" s="12"/>
      <c r="V61" s="29">
        <f>'emiss 1'!$I$65</f>
        <v>7814</v>
      </c>
      <c r="X61" s="29">
        <f>'emiss 1'!$M$65</f>
        <v>7593</v>
      </c>
      <c r="Z61" s="12">
        <f>'emiss 1'!$G$65</f>
        <v>7372</v>
      </c>
      <c r="AA61" s="12"/>
      <c r="AB61" s="29">
        <f>'emiss 1'!$I$65</f>
        <v>7814</v>
      </c>
      <c r="AD61" s="29">
        <f>'emiss 1'!$M$65</f>
        <v>7593</v>
      </c>
      <c r="AF61" s="12">
        <f>'emiss 1'!$G$65</f>
        <v>7372</v>
      </c>
      <c r="AG61" s="12"/>
      <c r="AH61" s="29">
        <f>'emiss 1'!$I$65</f>
        <v>7814</v>
      </c>
      <c r="AJ61" s="29">
        <f>'emiss 1'!$M$65</f>
        <v>7593</v>
      </c>
      <c r="AL61" s="12">
        <f>'emiss 1'!$G$65</f>
        <v>7372</v>
      </c>
      <c r="AM61" s="12"/>
      <c r="AN61" s="29">
        <f>'emiss 1'!$I$65</f>
        <v>7814</v>
      </c>
      <c r="AP61" s="29">
        <f>'emiss 1'!$M$65</f>
        <v>7593</v>
      </c>
      <c r="AR61" s="12">
        <f>'emiss 1'!$G$65</f>
        <v>7372</v>
      </c>
      <c r="AS61" s="12"/>
      <c r="AT61" s="29">
        <f>'emiss 1'!$I$65</f>
        <v>7814</v>
      </c>
      <c r="AV61" s="29">
        <f>'emiss 1'!$M$65</f>
        <v>7593</v>
      </c>
    </row>
    <row r="62" spans="2:48" ht="12.75">
      <c r="B62" s="11" t="s">
        <v>100</v>
      </c>
      <c r="D62" s="11" t="s">
        <v>18</v>
      </c>
      <c r="E62" s="31"/>
      <c r="F62" s="12">
        <f>'emiss 1'!$G$66</f>
        <v>8.97</v>
      </c>
      <c r="G62" s="12"/>
      <c r="H62" s="29">
        <f>'emiss 1'!$I$66</f>
        <v>10.17</v>
      </c>
      <c r="J62" s="29">
        <f>'emiss 1'!$M$66</f>
        <v>9.57</v>
      </c>
      <c r="L62" s="12">
        <f>'emiss 1'!$G$66</f>
        <v>8.97</v>
      </c>
      <c r="M62" s="12"/>
      <c r="N62" s="29">
        <f>'emiss 1'!$I$66</f>
        <v>10.17</v>
      </c>
      <c r="P62" s="29">
        <f>'emiss 1'!$M$66</f>
        <v>9.57</v>
      </c>
      <c r="T62" s="12">
        <f>'emiss 1'!$G$66</f>
        <v>8.97</v>
      </c>
      <c r="U62" s="12"/>
      <c r="V62" s="29">
        <f>'emiss 1'!$I$66</f>
        <v>10.17</v>
      </c>
      <c r="X62" s="29">
        <f>'emiss 1'!$M$66</f>
        <v>9.57</v>
      </c>
      <c r="Z62" s="12">
        <f>'emiss 1'!$G$66</f>
        <v>8.97</v>
      </c>
      <c r="AA62" s="12"/>
      <c r="AB62" s="29">
        <f>'emiss 1'!$I$66</f>
        <v>10.17</v>
      </c>
      <c r="AD62" s="29">
        <f>'emiss 1'!$M$66</f>
        <v>9.57</v>
      </c>
      <c r="AF62" s="12">
        <f>'emiss 1'!$G$66</f>
        <v>8.97</v>
      </c>
      <c r="AG62" s="12"/>
      <c r="AH62" s="29">
        <f>'emiss 1'!$I$66</f>
        <v>10.17</v>
      </c>
      <c r="AJ62" s="29">
        <f>'emiss 1'!$M$66</f>
        <v>9.57</v>
      </c>
      <c r="AL62" s="12">
        <f>'emiss 1'!$G$66</f>
        <v>8.97</v>
      </c>
      <c r="AM62" s="12"/>
      <c r="AN62" s="29">
        <f>'emiss 1'!$I$66</f>
        <v>10.17</v>
      </c>
      <c r="AP62" s="29">
        <f>'emiss 1'!$M$66</f>
        <v>9.57</v>
      </c>
      <c r="AR62" s="12">
        <f>'emiss 1'!$G$66</f>
        <v>8.97</v>
      </c>
      <c r="AS62" s="12"/>
      <c r="AT62" s="29">
        <f>'emiss 1'!$I$66</f>
        <v>10.17</v>
      </c>
      <c r="AV62" s="29">
        <f>'emiss 1'!$M$66</f>
        <v>9.57</v>
      </c>
    </row>
    <row r="63" spans="5:7" ht="12.75">
      <c r="E63" s="31"/>
      <c r="F63" s="12"/>
      <c r="G63" s="12"/>
    </row>
    <row r="64" spans="2:7" ht="12.75">
      <c r="B64" s="11" t="s">
        <v>105</v>
      </c>
      <c r="D64" s="11" t="s">
        <v>106</v>
      </c>
      <c r="E64" s="31"/>
      <c r="F64" s="12"/>
      <c r="G64" s="12"/>
    </row>
    <row r="65" spans="2:7" ht="12.75">
      <c r="B65" s="11" t="s">
        <v>107</v>
      </c>
      <c r="D65" s="11" t="s">
        <v>106</v>
      </c>
      <c r="E65" s="31"/>
      <c r="F65" s="12"/>
      <c r="G65" s="12"/>
    </row>
    <row r="66" spans="5:7" ht="12.75">
      <c r="E66" s="31"/>
      <c r="F66" s="12"/>
      <c r="G66" s="12"/>
    </row>
    <row r="67" spans="2:7" ht="12.75">
      <c r="B67" s="47" t="s">
        <v>101</v>
      </c>
      <c r="F67" s="12"/>
      <c r="G67" s="12"/>
    </row>
    <row r="68" spans="2:60" ht="12.75">
      <c r="B68" s="11" t="s">
        <v>102</v>
      </c>
      <c r="D68" s="11" t="s">
        <v>54</v>
      </c>
      <c r="F68" s="12">
        <f>F56*F58/100*454/60/0.0283/F$38*(21-7)/(21-F62)*1000000</f>
        <v>888200.7788966801</v>
      </c>
      <c r="G68" s="12"/>
      <c r="H68" s="12">
        <f>H56*H58/100*454/60/0.0283/H$38*(21-7)/(21-H62)*1000000</f>
        <v>990603.9012987266</v>
      </c>
      <c r="I68" s="12"/>
      <c r="J68" s="35">
        <f>AVERAGE(F68,H68)</f>
        <v>939402.3400977033</v>
      </c>
      <c r="K68" s="35"/>
      <c r="L68" s="12">
        <f>L56*L58/100*454/60/0.0283/L$38*(21-7)/(21-L62)*1000000</f>
        <v>426168.98023417813</v>
      </c>
      <c r="M68" s="12"/>
      <c r="N68" s="12">
        <f>N56*N58/100*454/60/0.0283/N$38*(21-7)/(21-N62)*1000000</f>
        <v>466732.5481381347</v>
      </c>
      <c r="O68" s="12"/>
      <c r="P68" s="35">
        <f>AVERAGE(L68,N68)</f>
        <v>446450.76418615645</v>
      </c>
      <c r="Q68" s="35"/>
      <c r="R68" s="35"/>
      <c r="S68" s="35"/>
      <c r="T68" s="12">
        <f>T56*T58/100*454/60/0.0283/T$38*(21-7)/(21-T62)*1000000</f>
        <v>2716342.1878879047</v>
      </c>
      <c r="U68" s="12"/>
      <c r="V68" s="12">
        <f>V56*V58/100*454/60/0.0283/V$38*(21-7)/(21-V62)*1000000</f>
        <v>0</v>
      </c>
      <c r="W68" s="12"/>
      <c r="X68" s="35">
        <f>AVERAGE(T68,V68)</f>
        <v>1358171.0939439523</v>
      </c>
      <c r="Y68" s="35"/>
      <c r="AB68" s="12">
        <f>AB56*AB58/100*454/60/0.0283/AB$38*(21-7)/(21-AB62)*1000000</f>
        <v>749726.444594765</v>
      </c>
      <c r="AC68" s="12"/>
      <c r="AD68" s="35">
        <f>AVERAGE(Z68,AB68)</f>
        <v>749726.444594765</v>
      </c>
      <c r="AE68" s="35"/>
      <c r="AX68" s="42">
        <f>SUM(AR68,AL68,Z68,T68,L68,F68,AF68)</f>
        <v>4030711.947018763</v>
      </c>
      <c r="AY68" s="42"/>
      <c r="AZ68" s="42">
        <f>SUM(AT68,AN68,AB68,V68,N68,H68,AH68)</f>
        <v>2207062.894031626</v>
      </c>
      <c r="BA68" s="42"/>
      <c r="BB68" s="42">
        <f>SUM(AV68,AP68,AD68,X68,P68,J68,AJ68)</f>
        <v>3493750.6428225767</v>
      </c>
      <c r="BD68" s="42">
        <f>AX68</f>
        <v>4030711.947018763</v>
      </c>
      <c r="BF68" s="42">
        <f>AZ68</f>
        <v>2207062.894031626</v>
      </c>
      <c r="BH68" s="42">
        <f>BB68</f>
        <v>3493750.6428225767</v>
      </c>
    </row>
    <row r="69" spans="2:60" ht="12.75">
      <c r="B69" s="11" t="s">
        <v>49</v>
      </c>
      <c r="D69" s="11" t="s">
        <v>60</v>
      </c>
      <c r="F69" s="12">
        <f>F59*454/60/0.0283/$F$38*(21-7)/(21-F$39)*1000</f>
        <v>606.9451077029736</v>
      </c>
      <c r="G69" s="12"/>
      <c r="H69" s="12">
        <f>H59*454/60/0.0283/$F$38*(21-7)/(21-H$39)*1000</f>
        <v>612.8232887896335</v>
      </c>
      <c r="I69" s="12"/>
      <c r="J69" s="35">
        <f>AVERAGE(F69,H69)</f>
        <v>609.8841982463035</v>
      </c>
      <c r="K69" s="35"/>
      <c r="L69" s="12">
        <f>L59*454/60/0.0283/$F$38*(21-7)/(21-L$39)*1000</f>
        <v>6233.490295327836</v>
      </c>
      <c r="M69" s="12"/>
      <c r="N69" s="12">
        <f>N59*454/60/0.0283/$F$38*(21-7)/(21-N$39)*1000</f>
        <v>6128.2328878963335</v>
      </c>
      <c r="O69" s="12"/>
      <c r="P69" s="35">
        <f>AVERAGE(L69,N69)</f>
        <v>6180.861591612085</v>
      </c>
      <c r="Q69" s="35"/>
      <c r="R69" s="35"/>
      <c r="S69" s="35"/>
      <c r="T69" s="12"/>
      <c r="U69" s="12"/>
      <c r="V69" s="12"/>
      <c r="W69" s="12"/>
      <c r="AR69" s="12">
        <f>AR59*454/60/0.0283/$F$38*(21-7)/(21-AR$39)*1000</f>
        <v>811.9941305755998</v>
      </c>
      <c r="AS69" s="12"/>
      <c r="AT69" s="12">
        <f>AT59*454/60/0.0283/$F$38*(21-7)/(21-AT$39)*1000</f>
        <v>803.569610465877</v>
      </c>
      <c r="AU69" s="12"/>
      <c r="AV69" s="35">
        <f>AVERAGE(AR69,AT69)</f>
        <v>807.7818705207384</v>
      </c>
      <c r="AW69" s="35"/>
      <c r="AX69" s="42">
        <f>SUM(AR69,AL69,Z69,T69,L69,F69,AF69)</f>
        <v>7652.42953360641</v>
      </c>
      <c r="AY69" s="42"/>
      <c r="AZ69" s="42">
        <f>SUM(AT69,AN69,AB69,V69,N69,H69,AH69)</f>
        <v>7544.625787151845</v>
      </c>
      <c r="BA69" s="42"/>
      <c r="BB69" s="42">
        <f>SUM(AV69,AP69,AD69,X69,P69,J69,AJ69)</f>
        <v>7598.527660379127</v>
      </c>
      <c r="BD69" s="42">
        <f>AX69</f>
        <v>7652.42953360641</v>
      </c>
      <c r="BF69" s="42">
        <f>AZ69</f>
        <v>7544.625787151845</v>
      </c>
      <c r="BH69" s="42">
        <f>BB69</f>
        <v>7598.527660379127</v>
      </c>
    </row>
    <row r="70" spans="44:47" ht="12.75">
      <c r="AR70" s="12"/>
      <c r="AS70" s="12"/>
      <c r="AT70" s="12"/>
      <c r="AU70" s="1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87"/>
  <sheetViews>
    <sheetView workbookViewId="0" topLeftCell="B1">
      <selection activeCell="C9" sqref="C9"/>
    </sheetView>
  </sheetViews>
  <sheetFormatPr defaultColWidth="9.140625" defaultRowHeight="12.75"/>
  <cols>
    <col min="1" max="1" width="9.140625" style="72" hidden="1" customWidth="1"/>
    <col min="2" max="2" width="24.8515625" style="72" customWidth="1"/>
    <col min="3" max="3" width="4.28125" style="72" customWidth="1"/>
    <col min="4" max="4" width="8.7109375" style="72" bestFit="1" customWidth="1"/>
    <col min="5" max="5" width="3.8515625" style="72" customWidth="1"/>
    <col min="6" max="6" width="13.140625" style="72" customWidth="1"/>
    <col min="7" max="7" width="4.7109375" style="72" customWidth="1"/>
    <col min="8" max="8" width="12.28125" style="72" customWidth="1"/>
    <col min="9" max="9" width="3.8515625" style="72" customWidth="1"/>
    <col min="10" max="10" width="11.8515625" style="72" customWidth="1"/>
    <col min="11" max="11" width="4.28125" style="72" customWidth="1"/>
    <col min="12" max="12" width="10.00390625" style="72" bestFit="1" customWidth="1"/>
    <col min="13" max="13" width="3.8515625" style="72" customWidth="1"/>
    <col min="14" max="14" width="11.421875" style="72" customWidth="1"/>
    <col min="15" max="15" width="4.140625" style="72" customWidth="1"/>
    <col min="16" max="16" width="11.421875" style="72" customWidth="1"/>
    <col min="17" max="17" width="4.28125" style="72" customWidth="1"/>
    <col min="18" max="18" width="13.57421875" style="72" customWidth="1"/>
    <col min="19" max="19" width="4.28125" style="72" customWidth="1"/>
    <col min="20" max="20" width="13.140625" style="72" customWidth="1"/>
    <col min="21" max="21" width="4.00390625" style="72" customWidth="1"/>
    <col min="22" max="22" width="14.421875" style="72" customWidth="1"/>
    <col min="23" max="23" width="3.7109375" style="72" customWidth="1"/>
    <col min="24" max="24" width="12.00390625" style="72" customWidth="1"/>
    <col min="25" max="25" width="4.00390625" style="72" customWidth="1"/>
    <col min="26" max="26" width="12.00390625" style="72" customWidth="1"/>
    <col min="27" max="27" width="4.8515625" style="72" customWidth="1"/>
    <col min="28" max="28" width="12.00390625" style="72" customWidth="1"/>
    <col min="29" max="29" width="3.7109375" style="72" customWidth="1"/>
    <col min="30" max="30" width="9.421875" style="72" bestFit="1" customWidth="1"/>
    <col min="31" max="31" width="4.8515625" style="72" customWidth="1"/>
    <col min="32" max="32" width="11.00390625" style="72" customWidth="1"/>
    <col min="33" max="33" width="4.421875" style="72" customWidth="1"/>
    <col min="34" max="34" width="10.28125" style="72" customWidth="1"/>
    <col min="35" max="35" width="4.00390625" style="72" bestFit="1" customWidth="1"/>
    <col min="36" max="36" width="11.00390625" style="72" customWidth="1"/>
    <col min="37" max="37" width="14.28125" style="72" customWidth="1"/>
    <col min="38" max="16384" width="9.140625" style="72" customWidth="1"/>
  </cols>
  <sheetData>
    <row r="1" spans="2:3" ht="12.75">
      <c r="B1" s="88" t="s">
        <v>188</v>
      </c>
      <c r="C1" s="88"/>
    </row>
    <row r="4" spans="2:36" ht="12.75">
      <c r="B4" s="88" t="s">
        <v>121</v>
      </c>
      <c r="C4" s="88"/>
      <c r="F4" s="89" t="s">
        <v>110</v>
      </c>
      <c r="G4" s="89"/>
      <c r="H4" s="89" t="s">
        <v>111</v>
      </c>
      <c r="I4" s="89"/>
      <c r="J4" s="89" t="s">
        <v>112</v>
      </c>
      <c r="K4" s="89"/>
      <c r="L4" s="89" t="s">
        <v>110</v>
      </c>
      <c r="M4" s="89"/>
      <c r="N4" s="89" t="s">
        <v>111</v>
      </c>
      <c r="O4" s="89"/>
      <c r="P4" s="89" t="s">
        <v>112</v>
      </c>
      <c r="Q4" s="89"/>
      <c r="R4" s="89" t="s">
        <v>110</v>
      </c>
      <c r="S4" s="89"/>
      <c r="T4" s="89" t="s">
        <v>111</v>
      </c>
      <c r="U4" s="89"/>
      <c r="V4" s="89" t="s">
        <v>112</v>
      </c>
      <c r="W4" s="89"/>
      <c r="X4" s="89" t="s">
        <v>110</v>
      </c>
      <c r="Y4" s="89"/>
      <c r="Z4" s="89" t="s">
        <v>111</v>
      </c>
      <c r="AA4" s="89"/>
      <c r="AB4" s="89" t="s">
        <v>112</v>
      </c>
      <c r="AC4" s="89"/>
      <c r="AD4" s="89" t="s">
        <v>110</v>
      </c>
      <c r="AE4" s="89"/>
      <c r="AF4" s="89" t="s">
        <v>111</v>
      </c>
      <c r="AG4" s="89"/>
      <c r="AH4" s="89" t="s">
        <v>112</v>
      </c>
      <c r="AI4" s="89"/>
      <c r="AJ4" s="89" t="s">
        <v>47</v>
      </c>
    </row>
    <row r="5" spans="2:3" ht="12.75">
      <c r="B5" s="88"/>
      <c r="C5" s="88"/>
    </row>
    <row r="6" spans="2:36" ht="12.75">
      <c r="B6" s="72" t="s">
        <v>223</v>
      </c>
      <c r="F6" s="72" t="s">
        <v>225</v>
      </c>
      <c r="H6" s="72" t="s">
        <v>225</v>
      </c>
      <c r="J6" s="72" t="s">
        <v>225</v>
      </c>
      <c r="L6" s="72" t="s">
        <v>227</v>
      </c>
      <c r="N6" s="72" t="s">
        <v>227</v>
      </c>
      <c r="P6" s="72" t="s">
        <v>227</v>
      </c>
      <c r="R6" s="72" t="s">
        <v>229</v>
      </c>
      <c r="T6" s="72" t="s">
        <v>229</v>
      </c>
      <c r="V6" s="72" t="s">
        <v>229</v>
      </c>
      <c r="AD6" s="72" t="s">
        <v>230</v>
      </c>
      <c r="AF6" s="72" t="s">
        <v>230</v>
      </c>
      <c r="AH6" s="72" t="s">
        <v>230</v>
      </c>
      <c r="AJ6" s="72" t="s">
        <v>230</v>
      </c>
    </row>
    <row r="7" spans="2:36" ht="12.75">
      <c r="B7" s="72" t="s">
        <v>224</v>
      </c>
      <c r="F7" s="72" t="s">
        <v>228</v>
      </c>
      <c r="H7" s="72" t="s">
        <v>228</v>
      </c>
      <c r="J7" s="72" t="s">
        <v>228</v>
      </c>
      <c r="L7" s="72" t="s">
        <v>235</v>
      </c>
      <c r="N7" s="72" t="s">
        <v>235</v>
      </c>
      <c r="P7" s="72" t="s">
        <v>235</v>
      </c>
      <c r="R7" s="72" t="s">
        <v>228</v>
      </c>
      <c r="T7" s="72" t="s">
        <v>228</v>
      </c>
      <c r="V7" s="72" t="s">
        <v>228</v>
      </c>
      <c r="AD7" s="72" t="s">
        <v>25</v>
      </c>
      <c r="AF7" s="72" t="s">
        <v>25</v>
      </c>
      <c r="AH7" s="72" t="s">
        <v>25</v>
      </c>
      <c r="AJ7" s="72" t="s">
        <v>25</v>
      </c>
    </row>
    <row r="8" spans="2:36" ht="12.75">
      <c r="B8" s="72" t="s">
        <v>237</v>
      </c>
      <c r="X8" s="72" t="s">
        <v>61</v>
      </c>
      <c r="Z8" s="72" t="s">
        <v>61</v>
      </c>
      <c r="AB8" s="72" t="s">
        <v>61</v>
      </c>
      <c r="AD8" s="72" t="s">
        <v>25</v>
      </c>
      <c r="AF8" s="72" t="s">
        <v>25</v>
      </c>
      <c r="AH8" s="72" t="s">
        <v>25</v>
      </c>
      <c r="AJ8" s="72" t="s">
        <v>25</v>
      </c>
    </row>
    <row r="9" spans="2:36" ht="12.75">
      <c r="B9" s="72" t="s">
        <v>48</v>
      </c>
      <c r="F9" s="72" t="s">
        <v>173</v>
      </c>
      <c r="H9" s="72" t="s">
        <v>173</v>
      </c>
      <c r="J9" s="72" t="s">
        <v>173</v>
      </c>
      <c r="L9" s="72" t="s">
        <v>174</v>
      </c>
      <c r="N9" s="72" t="s">
        <v>174</v>
      </c>
      <c r="P9" s="72" t="s">
        <v>174</v>
      </c>
      <c r="R9" s="72" t="s">
        <v>245</v>
      </c>
      <c r="T9" s="72" t="s">
        <v>245</v>
      </c>
      <c r="V9" s="72" t="s">
        <v>245</v>
      </c>
      <c r="AD9" s="72" t="s">
        <v>25</v>
      </c>
      <c r="AF9" s="72" t="s">
        <v>25</v>
      </c>
      <c r="AH9" s="72" t="s">
        <v>25</v>
      </c>
      <c r="AJ9" s="72" t="s">
        <v>25</v>
      </c>
    </row>
    <row r="10" spans="1:29" ht="12.75">
      <c r="A10" s="72" t="s">
        <v>121</v>
      </c>
      <c r="B10" s="72" t="s">
        <v>176</v>
      </c>
      <c r="D10" s="72" t="s">
        <v>52</v>
      </c>
      <c r="E10" s="73"/>
      <c r="F10" s="73">
        <v>2097</v>
      </c>
      <c r="G10" s="73"/>
      <c r="H10" s="73">
        <v>2268</v>
      </c>
      <c r="I10" s="73"/>
      <c r="J10" s="73">
        <v>2208</v>
      </c>
      <c r="K10" s="73"/>
      <c r="L10" s="73">
        <v>967</v>
      </c>
      <c r="M10" s="73"/>
      <c r="N10" s="73">
        <v>695</v>
      </c>
      <c r="O10" s="73"/>
      <c r="P10" s="73">
        <v>543</v>
      </c>
      <c r="Q10" s="73"/>
      <c r="R10" s="73">
        <v>341.7</v>
      </c>
      <c r="S10" s="73"/>
      <c r="T10" s="73">
        <v>264.8</v>
      </c>
      <c r="U10" s="73"/>
      <c r="V10" s="73">
        <v>358</v>
      </c>
      <c r="W10" s="73"/>
      <c r="X10" s="73"/>
      <c r="Y10" s="73"/>
      <c r="Z10" s="73"/>
      <c r="AA10" s="73"/>
      <c r="AB10" s="73"/>
      <c r="AC10" s="73"/>
    </row>
    <row r="11" spans="2:29" ht="12.75">
      <c r="B11" s="72" t="s">
        <v>177</v>
      </c>
      <c r="D11" s="72" t="s">
        <v>52</v>
      </c>
      <c r="E11" s="73"/>
      <c r="F11" s="73"/>
      <c r="G11" s="73"/>
      <c r="H11" s="73"/>
      <c r="I11" s="73"/>
      <c r="J11" s="73"/>
      <c r="K11" s="73"/>
      <c r="L11" s="73">
        <v>4115</v>
      </c>
      <c r="M11" s="73"/>
      <c r="N11" s="73">
        <v>4017</v>
      </c>
      <c r="O11" s="73"/>
      <c r="P11" s="73">
        <v>3961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</row>
    <row r="12" spans="1:29" ht="12.75">
      <c r="A12" s="72" t="s">
        <v>121</v>
      </c>
      <c r="B12" s="72" t="s">
        <v>178</v>
      </c>
      <c r="D12" s="72" t="s">
        <v>104</v>
      </c>
      <c r="E12" s="73"/>
      <c r="F12" s="73">
        <v>10347</v>
      </c>
      <c r="G12" s="73"/>
      <c r="H12" s="73">
        <v>10489</v>
      </c>
      <c r="I12" s="73"/>
      <c r="J12" s="73">
        <v>10578</v>
      </c>
      <c r="K12" s="73"/>
      <c r="L12" s="73">
        <v>1909</v>
      </c>
      <c r="M12" s="73"/>
      <c r="N12" s="73">
        <v>2029</v>
      </c>
      <c r="O12" s="73"/>
      <c r="P12" s="73">
        <v>1748</v>
      </c>
      <c r="Q12" s="73"/>
      <c r="R12" s="73">
        <v>11930</v>
      </c>
      <c r="S12" s="73"/>
      <c r="T12" s="73">
        <v>12171</v>
      </c>
      <c r="U12" s="73"/>
      <c r="V12" s="73">
        <v>11025</v>
      </c>
      <c r="W12" s="73"/>
      <c r="X12" s="73"/>
      <c r="Y12" s="73"/>
      <c r="Z12" s="73"/>
      <c r="AA12" s="73"/>
      <c r="AB12" s="73"/>
      <c r="AC12" s="73"/>
    </row>
    <row r="13" spans="1:29" ht="12.75">
      <c r="A13" s="72" t="s">
        <v>121</v>
      </c>
      <c r="B13" s="72" t="s">
        <v>49</v>
      </c>
      <c r="D13" s="72" t="s">
        <v>179</v>
      </c>
      <c r="E13" s="73"/>
      <c r="F13" s="73">
        <v>0.42</v>
      </c>
      <c r="G13" s="73"/>
      <c r="H13" s="73">
        <v>0.3</v>
      </c>
      <c r="I13" s="73"/>
      <c r="J13" s="73">
        <v>1.25</v>
      </c>
      <c r="K13" s="73"/>
      <c r="L13" s="73">
        <v>73.81</v>
      </c>
      <c r="M13" s="73"/>
      <c r="N13" s="73">
        <v>71.64</v>
      </c>
      <c r="O13" s="73"/>
      <c r="P13" s="73">
        <v>68.33</v>
      </c>
      <c r="Q13" s="73"/>
      <c r="R13" s="73">
        <v>0.08</v>
      </c>
      <c r="S13" s="73"/>
      <c r="T13" s="73">
        <v>0.07</v>
      </c>
      <c r="U13" s="73"/>
      <c r="V13" s="73">
        <v>0.33</v>
      </c>
      <c r="W13" s="73"/>
      <c r="X13" s="73"/>
      <c r="Y13" s="73"/>
      <c r="Z13" s="73"/>
      <c r="AA13" s="73"/>
      <c r="AB13" s="73"/>
      <c r="AC13" s="73"/>
    </row>
    <row r="14" spans="1:29" ht="12.75">
      <c r="A14" s="72" t="s">
        <v>121</v>
      </c>
      <c r="B14" s="72" t="s">
        <v>102</v>
      </c>
      <c r="D14" s="72" t="s">
        <v>180</v>
      </c>
      <c r="E14" s="73"/>
      <c r="F14" s="73">
        <v>14800</v>
      </c>
      <c r="G14" s="73"/>
      <c r="H14" s="73">
        <v>14400</v>
      </c>
      <c r="I14" s="73"/>
      <c r="J14" s="73">
        <v>13200</v>
      </c>
      <c r="K14" s="73"/>
      <c r="L14" s="73">
        <v>12900</v>
      </c>
      <c r="M14" s="73"/>
      <c r="N14" s="73">
        <v>15700</v>
      </c>
      <c r="O14" s="73"/>
      <c r="P14" s="73">
        <v>17500</v>
      </c>
      <c r="Q14" s="73"/>
      <c r="R14" s="73">
        <v>114000</v>
      </c>
      <c r="S14" s="73"/>
      <c r="T14" s="73">
        <v>89300</v>
      </c>
      <c r="U14" s="73"/>
      <c r="V14" s="73">
        <v>199000</v>
      </c>
      <c r="W14" s="73"/>
      <c r="X14" s="73"/>
      <c r="Y14" s="73"/>
      <c r="Z14" s="73"/>
      <c r="AA14" s="73"/>
      <c r="AB14" s="73"/>
      <c r="AC14" s="73"/>
    </row>
    <row r="15" spans="1:29" ht="12.75">
      <c r="A15" s="72" t="s">
        <v>121</v>
      </c>
      <c r="B15" s="72" t="s">
        <v>157</v>
      </c>
      <c r="D15" s="72" t="s">
        <v>180</v>
      </c>
      <c r="E15" s="73">
        <v>1</v>
      </c>
      <c r="F15" s="73">
        <v>3.5</v>
      </c>
      <c r="G15" s="73">
        <v>1</v>
      </c>
      <c r="H15" s="73">
        <v>3.3</v>
      </c>
      <c r="I15" s="73">
        <v>1</v>
      </c>
      <c r="J15" s="73">
        <v>3.3</v>
      </c>
      <c r="K15" s="73">
        <v>1</v>
      </c>
      <c r="L15" s="73">
        <v>27</v>
      </c>
      <c r="M15" s="73">
        <v>1</v>
      </c>
      <c r="N15" s="73">
        <v>30</v>
      </c>
      <c r="O15" s="73">
        <v>1</v>
      </c>
      <c r="P15" s="73">
        <v>32</v>
      </c>
      <c r="Q15" s="73">
        <v>1</v>
      </c>
      <c r="R15" s="73">
        <v>3</v>
      </c>
      <c r="S15" s="73">
        <v>1</v>
      </c>
      <c r="T15" s="73">
        <v>3</v>
      </c>
      <c r="U15" s="73">
        <v>1</v>
      </c>
      <c r="V15" s="73">
        <v>2.9</v>
      </c>
      <c r="W15" s="73"/>
      <c r="X15" s="73"/>
      <c r="Y15" s="73"/>
      <c r="Z15" s="73"/>
      <c r="AA15" s="73"/>
      <c r="AB15" s="73"/>
      <c r="AC15" s="73"/>
    </row>
    <row r="16" spans="1:29" ht="12.75">
      <c r="A16" s="72" t="s">
        <v>121</v>
      </c>
      <c r="B16" s="72" t="s">
        <v>159</v>
      </c>
      <c r="D16" s="72" t="s">
        <v>180</v>
      </c>
      <c r="E16" s="73">
        <v>1</v>
      </c>
      <c r="F16" s="73">
        <v>2.9</v>
      </c>
      <c r="G16" s="73">
        <v>1</v>
      </c>
      <c r="H16" s="73">
        <v>2.8</v>
      </c>
      <c r="I16" s="73">
        <v>1</v>
      </c>
      <c r="J16" s="73">
        <v>2.8</v>
      </c>
      <c r="K16" s="73"/>
      <c r="L16" s="73">
        <v>50</v>
      </c>
      <c r="M16" s="73"/>
      <c r="N16" s="73">
        <v>41</v>
      </c>
      <c r="O16" s="73"/>
      <c r="P16" s="73">
        <v>54</v>
      </c>
      <c r="Q16" s="73">
        <v>1</v>
      </c>
      <c r="R16" s="73">
        <v>2.5</v>
      </c>
      <c r="S16" s="73">
        <v>1</v>
      </c>
      <c r="T16" s="73">
        <v>2.5</v>
      </c>
      <c r="U16" s="73">
        <v>1</v>
      </c>
      <c r="V16" s="73">
        <v>2.4</v>
      </c>
      <c r="W16" s="73"/>
      <c r="X16" s="73"/>
      <c r="Y16" s="73"/>
      <c r="Z16" s="73"/>
      <c r="AA16" s="73"/>
      <c r="AB16" s="73"/>
      <c r="AC16" s="73"/>
    </row>
    <row r="17" spans="1:29" ht="12.75">
      <c r="A17" s="72" t="s">
        <v>121</v>
      </c>
      <c r="B17" s="72" t="s">
        <v>160</v>
      </c>
      <c r="D17" s="72" t="s">
        <v>180</v>
      </c>
      <c r="E17" s="73">
        <v>1</v>
      </c>
      <c r="F17" s="73">
        <v>1.15</v>
      </c>
      <c r="G17" s="73"/>
      <c r="H17" s="73">
        <v>0.841</v>
      </c>
      <c r="I17" s="73"/>
      <c r="J17" s="73">
        <v>9.26</v>
      </c>
      <c r="K17" s="73"/>
      <c r="L17" s="73">
        <v>226</v>
      </c>
      <c r="M17" s="73"/>
      <c r="N17" s="73">
        <v>220</v>
      </c>
      <c r="O17" s="73"/>
      <c r="P17" s="73">
        <v>194</v>
      </c>
      <c r="Q17" s="73">
        <v>1</v>
      </c>
      <c r="R17" s="73">
        <v>0.099</v>
      </c>
      <c r="S17" s="73">
        <v>1</v>
      </c>
      <c r="T17" s="73">
        <v>0.099</v>
      </c>
      <c r="U17" s="73">
        <v>1</v>
      </c>
      <c r="V17" s="73">
        <v>0.0981</v>
      </c>
      <c r="W17" s="73"/>
      <c r="X17" s="73"/>
      <c r="Y17" s="73"/>
      <c r="Z17" s="73"/>
      <c r="AA17" s="73"/>
      <c r="AB17" s="73"/>
      <c r="AC17" s="73"/>
    </row>
    <row r="18" spans="1:29" ht="12.75">
      <c r="A18" s="72" t="s">
        <v>121</v>
      </c>
      <c r="B18" s="72" t="s">
        <v>161</v>
      </c>
      <c r="D18" s="72" t="s">
        <v>180</v>
      </c>
      <c r="E18" s="73"/>
      <c r="F18" s="73">
        <v>1.55</v>
      </c>
      <c r="G18" s="73"/>
      <c r="H18" s="73">
        <v>0.785</v>
      </c>
      <c r="I18" s="73"/>
      <c r="J18" s="73">
        <v>4.24</v>
      </c>
      <c r="K18" s="73"/>
      <c r="L18" s="73">
        <v>81.7</v>
      </c>
      <c r="M18" s="73"/>
      <c r="N18" s="73">
        <v>89.9</v>
      </c>
      <c r="O18" s="73"/>
      <c r="P18" s="73">
        <v>76.8</v>
      </c>
      <c r="Q18" s="73">
        <v>1</v>
      </c>
      <c r="R18" s="73">
        <v>0.099</v>
      </c>
      <c r="S18" s="73">
        <v>1</v>
      </c>
      <c r="T18" s="73">
        <v>0.099</v>
      </c>
      <c r="U18" s="73">
        <v>1</v>
      </c>
      <c r="V18" s="73">
        <v>0.098</v>
      </c>
      <c r="W18" s="73"/>
      <c r="X18" s="73"/>
      <c r="Y18" s="73"/>
      <c r="Z18" s="73"/>
      <c r="AA18" s="73"/>
      <c r="AB18" s="73"/>
      <c r="AC18" s="73"/>
    </row>
    <row r="19" spans="1:29" ht="12.75">
      <c r="A19" s="72" t="s">
        <v>121</v>
      </c>
      <c r="B19" s="72" t="s">
        <v>162</v>
      </c>
      <c r="D19" s="72" t="s">
        <v>180</v>
      </c>
      <c r="E19" s="73">
        <v>1</v>
      </c>
      <c r="F19" s="73">
        <v>0.172</v>
      </c>
      <c r="G19" s="73">
        <v>1</v>
      </c>
      <c r="H19" s="73">
        <v>0.168</v>
      </c>
      <c r="I19" s="73"/>
      <c r="J19" s="73">
        <v>0.441</v>
      </c>
      <c r="K19" s="73"/>
      <c r="L19" s="73">
        <v>0.212</v>
      </c>
      <c r="M19" s="73"/>
      <c r="N19" s="73">
        <v>0.257</v>
      </c>
      <c r="O19" s="73"/>
      <c r="P19" s="73">
        <v>0.18</v>
      </c>
      <c r="Q19" s="73">
        <v>1</v>
      </c>
      <c r="R19" s="73">
        <v>0.149</v>
      </c>
      <c r="S19" s="73">
        <v>1</v>
      </c>
      <c r="T19" s="73">
        <v>0.148</v>
      </c>
      <c r="U19" s="73">
        <v>1</v>
      </c>
      <c r="V19" s="73">
        <v>0.147</v>
      </c>
      <c r="W19" s="73"/>
      <c r="X19" s="73"/>
      <c r="Y19" s="73"/>
      <c r="Z19" s="73"/>
      <c r="AA19" s="73"/>
      <c r="AB19" s="73"/>
      <c r="AC19" s="73"/>
    </row>
    <row r="20" spans="1:29" ht="12.75">
      <c r="A20" s="72" t="s">
        <v>121</v>
      </c>
      <c r="B20" s="72" t="s">
        <v>163</v>
      </c>
      <c r="D20" s="72" t="s">
        <v>180</v>
      </c>
      <c r="E20" s="73"/>
      <c r="F20" s="73">
        <v>18.2</v>
      </c>
      <c r="G20" s="73"/>
      <c r="H20" s="73">
        <v>12.1</v>
      </c>
      <c r="I20" s="73"/>
      <c r="J20" s="73">
        <v>17.7</v>
      </c>
      <c r="K20" s="73"/>
      <c r="L20" s="73">
        <v>143</v>
      </c>
      <c r="M20" s="73"/>
      <c r="N20" s="73">
        <v>138</v>
      </c>
      <c r="O20" s="73"/>
      <c r="P20" s="73">
        <v>140</v>
      </c>
      <c r="Q20" s="73"/>
      <c r="R20" s="73">
        <v>2.92</v>
      </c>
      <c r="S20" s="73"/>
      <c r="T20" s="73">
        <v>2.67</v>
      </c>
      <c r="U20" s="73">
        <v>1</v>
      </c>
      <c r="V20" s="73">
        <v>0.196</v>
      </c>
      <c r="W20" s="73"/>
      <c r="X20" s="73"/>
      <c r="Y20" s="73"/>
      <c r="Z20" s="73"/>
      <c r="AA20" s="73"/>
      <c r="AB20" s="73"/>
      <c r="AC20" s="73"/>
    </row>
    <row r="21" spans="1:29" ht="12.75">
      <c r="A21" s="72" t="s">
        <v>121</v>
      </c>
      <c r="B21" s="72" t="s">
        <v>165</v>
      </c>
      <c r="D21" s="72" t="s">
        <v>180</v>
      </c>
      <c r="E21" s="73">
        <v>1</v>
      </c>
      <c r="F21" s="73">
        <v>2.9</v>
      </c>
      <c r="G21" s="73">
        <v>1</v>
      </c>
      <c r="H21" s="73">
        <v>2.8</v>
      </c>
      <c r="I21" s="73">
        <v>1</v>
      </c>
      <c r="J21" s="73">
        <v>2.8</v>
      </c>
      <c r="K21" s="73"/>
      <c r="L21" s="73">
        <v>50</v>
      </c>
      <c r="M21" s="73"/>
      <c r="N21" s="73">
        <v>35</v>
      </c>
      <c r="O21" s="73"/>
      <c r="P21" s="73">
        <v>42</v>
      </c>
      <c r="Q21" s="73">
        <v>1</v>
      </c>
      <c r="R21" s="73">
        <v>2.5</v>
      </c>
      <c r="S21" s="73">
        <v>1</v>
      </c>
      <c r="T21" s="73">
        <v>2.5</v>
      </c>
      <c r="U21" s="73">
        <v>1</v>
      </c>
      <c r="V21" s="73">
        <v>2.4</v>
      </c>
      <c r="W21" s="73"/>
      <c r="X21" s="73"/>
      <c r="Y21" s="73"/>
      <c r="Z21" s="73"/>
      <c r="AA21" s="73"/>
      <c r="AB21" s="73"/>
      <c r="AC21" s="73"/>
    </row>
    <row r="22" spans="1:29" ht="12.75">
      <c r="A22" s="72" t="s">
        <v>121</v>
      </c>
      <c r="B22" s="72" t="s">
        <v>166</v>
      </c>
      <c r="D22" s="72" t="s">
        <v>180</v>
      </c>
      <c r="E22" s="73">
        <v>1</v>
      </c>
      <c r="F22" s="73">
        <v>0.055</v>
      </c>
      <c r="G22" s="73">
        <v>1</v>
      </c>
      <c r="H22" s="73">
        <v>0.055</v>
      </c>
      <c r="I22" s="73">
        <v>1</v>
      </c>
      <c r="J22" s="73">
        <v>0.046</v>
      </c>
      <c r="K22" s="73"/>
      <c r="L22" s="73">
        <v>0.62</v>
      </c>
      <c r="M22" s="73"/>
      <c r="N22" s="73">
        <v>0.65</v>
      </c>
      <c r="O22" s="73"/>
      <c r="P22" s="73">
        <v>0.7</v>
      </c>
      <c r="Q22" s="73">
        <v>1</v>
      </c>
      <c r="R22" s="73">
        <v>18.2</v>
      </c>
      <c r="S22" s="73">
        <v>1</v>
      </c>
      <c r="T22" s="73">
        <v>7.14</v>
      </c>
      <c r="U22" s="73">
        <v>1</v>
      </c>
      <c r="V22" s="73">
        <v>1.67</v>
      </c>
      <c r="W22" s="73"/>
      <c r="X22" s="73"/>
      <c r="Y22" s="73"/>
      <c r="Z22" s="73"/>
      <c r="AA22" s="73"/>
      <c r="AB22" s="73"/>
      <c r="AC22" s="73"/>
    </row>
    <row r="23" spans="1:29" ht="12.75">
      <c r="A23" s="72" t="s">
        <v>121</v>
      </c>
      <c r="B23" s="72" t="s">
        <v>167</v>
      </c>
      <c r="D23" s="72" t="s">
        <v>180</v>
      </c>
      <c r="E23" s="73">
        <v>1</v>
      </c>
      <c r="F23" s="73">
        <v>1.2</v>
      </c>
      <c r="G23" s="73">
        <v>1</v>
      </c>
      <c r="H23" s="73">
        <v>1.1</v>
      </c>
      <c r="I23" s="73">
        <v>1</v>
      </c>
      <c r="J23" s="73">
        <v>1.1</v>
      </c>
      <c r="K23" s="73">
        <v>1</v>
      </c>
      <c r="L23" s="73">
        <v>8.8</v>
      </c>
      <c r="M23" s="73">
        <v>1</v>
      </c>
      <c r="N23" s="73">
        <v>9.9</v>
      </c>
      <c r="O23" s="73">
        <v>1</v>
      </c>
      <c r="P23" s="73">
        <v>11</v>
      </c>
      <c r="Q23" s="73">
        <v>1</v>
      </c>
      <c r="R23" s="73">
        <v>0.99</v>
      </c>
      <c r="S23" s="73">
        <v>1</v>
      </c>
      <c r="T23" s="73">
        <v>0.99</v>
      </c>
      <c r="U23" s="73">
        <v>1</v>
      </c>
      <c r="V23" s="73">
        <v>0.98</v>
      </c>
      <c r="W23" s="73"/>
      <c r="X23" s="73"/>
      <c r="Y23" s="73"/>
      <c r="Z23" s="73"/>
      <c r="AA23" s="73"/>
      <c r="AB23" s="73"/>
      <c r="AC23" s="73"/>
    </row>
    <row r="24" spans="1:29" ht="12.75">
      <c r="A24" s="72" t="s">
        <v>121</v>
      </c>
      <c r="B24" s="72" t="s">
        <v>168</v>
      </c>
      <c r="D24" s="72" t="s">
        <v>180</v>
      </c>
      <c r="E24" s="73">
        <v>1</v>
      </c>
      <c r="F24" s="73">
        <v>5.7</v>
      </c>
      <c r="G24" s="73">
        <v>1</v>
      </c>
      <c r="H24" s="73">
        <v>5.6</v>
      </c>
      <c r="I24" s="73">
        <v>1</v>
      </c>
      <c r="J24" s="73">
        <v>5.5</v>
      </c>
      <c r="K24" s="73">
        <v>1</v>
      </c>
      <c r="L24" s="73">
        <v>30</v>
      </c>
      <c r="M24" s="73">
        <v>1</v>
      </c>
      <c r="N24" s="73">
        <v>50</v>
      </c>
      <c r="O24" s="73">
        <v>1</v>
      </c>
      <c r="P24" s="73">
        <v>40</v>
      </c>
      <c r="Q24" s="73">
        <v>1</v>
      </c>
      <c r="R24" s="73">
        <v>5</v>
      </c>
      <c r="S24" s="73">
        <v>1</v>
      </c>
      <c r="T24" s="73">
        <v>0.49</v>
      </c>
      <c r="U24" s="73">
        <v>1</v>
      </c>
      <c r="V24" s="73">
        <v>4.9</v>
      </c>
      <c r="W24" s="73"/>
      <c r="X24" s="73"/>
      <c r="Y24" s="73"/>
      <c r="Z24" s="73"/>
      <c r="AA24" s="73"/>
      <c r="AB24" s="73"/>
      <c r="AC24" s="73"/>
    </row>
    <row r="25" spans="2:34" ht="12.75">
      <c r="B25" s="72" t="s">
        <v>102</v>
      </c>
      <c r="D25" s="72" t="s">
        <v>52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>
        <v>94.6</v>
      </c>
      <c r="AF25" s="72">
        <v>77.5</v>
      </c>
      <c r="AH25" s="72">
        <v>123.5</v>
      </c>
    </row>
    <row r="26" spans="2:34" ht="12.75">
      <c r="B26" s="72" t="s">
        <v>49</v>
      </c>
      <c r="D26" s="72" t="s">
        <v>52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>
        <v>722.9</v>
      </c>
      <c r="AF26" s="72">
        <v>504.9</v>
      </c>
      <c r="AH26" s="72">
        <v>447.3</v>
      </c>
    </row>
    <row r="27" spans="5:29" ht="12.75"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2:34" ht="12.75">
      <c r="B28" s="11" t="s">
        <v>99</v>
      </c>
      <c r="D28" s="72" t="s">
        <v>17</v>
      </c>
      <c r="E28" s="73"/>
      <c r="F28" s="73">
        <f>'emiss 2'!$G$27</f>
        <v>8760</v>
      </c>
      <c r="G28" s="73"/>
      <c r="H28" s="73">
        <f>'emiss 2'!$I$27</f>
        <v>8783</v>
      </c>
      <c r="I28" s="73"/>
      <c r="J28" s="73">
        <f>'emiss 2'!$K$27</f>
        <v>9555</v>
      </c>
      <c r="K28" s="73"/>
      <c r="L28" s="73">
        <f>'emiss 2'!$G$27</f>
        <v>8760</v>
      </c>
      <c r="M28" s="73"/>
      <c r="N28" s="73">
        <f>'emiss 2'!$I$27</f>
        <v>8783</v>
      </c>
      <c r="O28" s="73"/>
      <c r="P28" s="73">
        <f>'emiss 2'!$K$27</f>
        <v>9555</v>
      </c>
      <c r="Q28" s="73"/>
      <c r="R28" s="73">
        <f>'emiss 2'!$G$27</f>
        <v>8760</v>
      </c>
      <c r="S28" s="73"/>
      <c r="T28" s="73">
        <f>'emiss 2'!$I$27</f>
        <v>8783</v>
      </c>
      <c r="U28" s="73"/>
      <c r="V28" s="73">
        <f>'emiss 2'!$K$27</f>
        <v>9555</v>
      </c>
      <c r="W28" s="73"/>
      <c r="X28" s="73"/>
      <c r="Y28" s="73"/>
      <c r="Z28" s="73"/>
      <c r="AA28" s="73"/>
      <c r="AB28" s="73"/>
      <c r="AC28" s="73"/>
      <c r="AD28" s="73">
        <f>'emiss 2'!$G$27</f>
        <v>8760</v>
      </c>
      <c r="AE28" s="73"/>
      <c r="AF28" s="73">
        <f>'emiss 2'!$I$27</f>
        <v>8783</v>
      </c>
      <c r="AG28" s="73"/>
      <c r="AH28" s="73">
        <f>'emiss 2'!$K$27</f>
        <v>9555</v>
      </c>
    </row>
    <row r="29" spans="2:34" ht="12.75">
      <c r="B29" s="11" t="s">
        <v>100</v>
      </c>
      <c r="D29" s="72" t="s">
        <v>18</v>
      </c>
      <c r="E29" s="73"/>
      <c r="F29" s="73">
        <f>'emiss 2'!$G$28</f>
        <v>7.73</v>
      </c>
      <c r="G29" s="73"/>
      <c r="H29" s="73">
        <f>'emiss 2'!$I$28</f>
        <v>8.83</v>
      </c>
      <c r="I29" s="73"/>
      <c r="J29" s="73">
        <f>'emiss 2'!$K$28</f>
        <v>8.92</v>
      </c>
      <c r="K29" s="73"/>
      <c r="L29" s="73">
        <f>'emiss 2'!$G$28</f>
        <v>7.73</v>
      </c>
      <c r="M29" s="73"/>
      <c r="N29" s="73">
        <f>'emiss 2'!$I$28</f>
        <v>8.83</v>
      </c>
      <c r="O29" s="73"/>
      <c r="P29" s="73">
        <f>'emiss 2'!$K$28</f>
        <v>8.92</v>
      </c>
      <c r="Q29" s="73"/>
      <c r="R29" s="73">
        <f>'emiss 2'!$G$28</f>
        <v>7.73</v>
      </c>
      <c r="S29" s="73"/>
      <c r="T29" s="73">
        <f>'emiss 2'!$I$28</f>
        <v>8.83</v>
      </c>
      <c r="U29" s="73"/>
      <c r="V29" s="73">
        <f>'emiss 2'!$K$28</f>
        <v>8.92</v>
      </c>
      <c r="W29" s="73"/>
      <c r="X29" s="73"/>
      <c r="Y29" s="73"/>
      <c r="Z29" s="73"/>
      <c r="AA29" s="73"/>
      <c r="AB29" s="73"/>
      <c r="AC29" s="73"/>
      <c r="AD29" s="73">
        <f>'emiss 2'!$G$28</f>
        <v>7.73</v>
      </c>
      <c r="AE29" s="73"/>
      <c r="AF29" s="73">
        <f>'emiss 2'!$I$28</f>
        <v>8.83</v>
      </c>
      <c r="AG29" s="73"/>
      <c r="AH29" s="73">
        <f>'emiss 2'!$K$28</f>
        <v>8.92</v>
      </c>
    </row>
    <row r="30" spans="5:29" ht="12.75"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2:29" ht="12.75">
      <c r="B31" s="47" t="s">
        <v>101</v>
      </c>
      <c r="C31" s="47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2:36" ht="12.75">
      <c r="B32" s="72" t="s">
        <v>157</v>
      </c>
      <c r="D32" s="72" t="s">
        <v>54</v>
      </c>
      <c r="E32" s="73">
        <v>100</v>
      </c>
      <c r="F32" s="90">
        <f aca="true" t="shared" si="0" ref="F32:F41">F$10*F15*454/F$28*14/(21-F$29)/0.0283/60</f>
        <v>236.34022704705868</v>
      </c>
      <c r="G32" s="73">
        <v>100</v>
      </c>
      <c r="H32" s="90">
        <f aca="true" t="shared" si="1" ref="H32:H41">H$10*H15*454/H$28*14/(21-H$29)/0.0283/60</f>
        <v>262.10163599179293</v>
      </c>
      <c r="I32" s="73">
        <v>100</v>
      </c>
      <c r="J32" s="90">
        <f aca="true" t="shared" si="2" ref="J32:J41">J$10*J15*454/J$28*14/(21-J$29)/0.0283/60</f>
        <v>236.29883794159647</v>
      </c>
      <c r="K32" s="73">
        <v>100</v>
      </c>
      <c r="L32" s="90">
        <f aca="true" t="shared" si="3" ref="L32:L41">L$10*L15*454/L$28*14/(21-L$29)/0.0283/60</f>
        <v>840.7394220276115</v>
      </c>
      <c r="M32" s="73">
        <v>100</v>
      </c>
      <c r="N32" s="90">
        <f aca="true" t="shared" si="4" ref="N32:N41">N$10*N15*454/N$28*14/(21-N$29)/0.0283/60</f>
        <v>730.1612835269203</v>
      </c>
      <c r="O32" s="73">
        <v>100</v>
      </c>
      <c r="P32" s="90">
        <f aca="true" t="shared" si="5" ref="P32:P41">P$10*P15*454/P$28*14/(21-P$29)/0.0283/60</f>
        <v>563.5057927197491</v>
      </c>
      <c r="Q32" s="73">
        <v>100</v>
      </c>
      <c r="R32" s="90">
        <f aca="true" t="shared" si="6" ref="R32:R41">R$10*R15*454/R$28*14/(21-R$29)/0.0283/60</f>
        <v>33.00938302962597</v>
      </c>
      <c r="S32" s="73">
        <v>100</v>
      </c>
      <c r="T32" s="90">
        <f aca="true" t="shared" si="7" ref="T32:T41">T$10*T15*454/T$28*14/(21-T$29)/0.0283/60</f>
        <v>27.819670198263097</v>
      </c>
      <c r="U32" s="73">
        <v>100</v>
      </c>
      <c r="V32" s="90">
        <f aca="true" t="shared" si="8" ref="V32:V41">V$10*V15*454/V$28*14/(21-V$29)/0.0283/60</f>
        <v>33.6689522330596</v>
      </c>
      <c r="W32" s="91">
        <f>SUM((R32*Q32/100),(L32*K32/100),(F32*E32/100))/X32*100</f>
        <v>100</v>
      </c>
      <c r="X32" s="90">
        <f aca="true" t="shared" si="9" ref="X32:AB45">AD32</f>
        <v>1110.0890321042962</v>
      </c>
      <c r="Y32" s="91">
        <f>SUM((T32*S32/100),(N32*M32/100),(H32*G32/100))/Z32*100</f>
        <v>100</v>
      </c>
      <c r="Z32" s="90">
        <f t="shared" si="9"/>
        <v>1020.0825897169764</v>
      </c>
      <c r="AA32" s="91">
        <f>SUM((V32*U32/100),(P32*O32/100),(J32*I32/100))/AB32*100</f>
        <v>100</v>
      </c>
      <c r="AB32" s="90">
        <f t="shared" si="9"/>
        <v>833.4735828944052</v>
      </c>
      <c r="AC32" s="91">
        <v>100</v>
      </c>
      <c r="AD32" s="90">
        <f aca="true" t="shared" si="10" ref="AD32:AH43">F32+L32+R32</f>
        <v>1110.0890321042962</v>
      </c>
      <c r="AE32" s="72">
        <v>100</v>
      </c>
      <c r="AF32" s="90">
        <f t="shared" si="10"/>
        <v>1020.0825897169764</v>
      </c>
      <c r="AG32" s="72">
        <v>100</v>
      </c>
      <c r="AH32" s="90">
        <f t="shared" si="10"/>
        <v>833.4735828944052</v>
      </c>
      <c r="AI32" s="72">
        <f>SUM((AH32*AG32/100),(AF32*AE32/100),(AD32*AC32/100))/AJ32*100/3</f>
        <v>100</v>
      </c>
      <c r="AJ32" s="90">
        <f aca="true" t="shared" si="11" ref="AJ32:AJ45">AVERAGE(AH32,AF32,AD32)</f>
        <v>987.8817349052259</v>
      </c>
    </row>
    <row r="33" spans="2:36" ht="12.75">
      <c r="B33" s="72" t="s">
        <v>159</v>
      </c>
      <c r="D33" s="72" t="s">
        <v>54</v>
      </c>
      <c r="E33" s="73">
        <v>100</v>
      </c>
      <c r="F33" s="90">
        <f t="shared" si="0"/>
        <v>195.8247595532772</v>
      </c>
      <c r="G33" s="73">
        <v>100</v>
      </c>
      <c r="H33" s="90">
        <f t="shared" si="1"/>
        <v>222.38926690212733</v>
      </c>
      <c r="I33" s="73">
        <v>100</v>
      </c>
      <c r="J33" s="90">
        <f t="shared" si="2"/>
        <v>200.49598370802124</v>
      </c>
      <c r="K33" s="73"/>
      <c r="L33" s="90">
        <f t="shared" si="3"/>
        <v>1556.9248556066882</v>
      </c>
      <c r="M33" s="73"/>
      <c r="N33" s="90">
        <f t="shared" si="4"/>
        <v>997.8870874867912</v>
      </c>
      <c r="O33" s="73"/>
      <c r="P33" s="90">
        <f t="shared" si="5"/>
        <v>950.9160252145767</v>
      </c>
      <c r="Q33" s="73">
        <v>100</v>
      </c>
      <c r="R33" s="90">
        <f t="shared" si="6"/>
        <v>27.50781919135498</v>
      </c>
      <c r="S33" s="73">
        <v>100</v>
      </c>
      <c r="T33" s="90">
        <f t="shared" si="7"/>
        <v>23.18305849855258</v>
      </c>
      <c r="U33" s="73">
        <v>100</v>
      </c>
      <c r="V33" s="90">
        <f t="shared" si="8"/>
        <v>27.863960468738977</v>
      </c>
      <c r="W33" s="91">
        <f aca="true" t="shared" si="12" ref="W33:AA43">SUM((R33*Q33/100),(L33*K33/100),(F33*E33/100))/X33*100</f>
        <v>12.544959758924348</v>
      </c>
      <c r="X33" s="90">
        <f t="shared" si="9"/>
        <v>1780.2574343513202</v>
      </c>
      <c r="Y33" s="91">
        <f t="shared" si="12"/>
        <v>19.749122718081306</v>
      </c>
      <c r="Z33" s="90">
        <f t="shared" si="9"/>
        <v>1243.459412887471</v>
      </c>
      <c r="AA33" s="91">
        <f t="shared" si="12"/>
        <v>19.364419364419362</v>
      </c>
      <c r="AB33" s="90">
        <f t="shared" si="9"/>
        <v>1179.275969391337</v>
      </c>
      <c r="AC33" s="91">
        <v>12.544959758924348</v>
      </c>
      <c r="AD33" s="90">
        <f t="shared" si="10"/>
        <v>1780.2574343513202</v>
      </c>
      <c r="AE33" s="72">
        <v>19.364419364419362</v>
      </c>
      <c r="AF33" s="90">
        <f t="shared" si="10"/>
        <v>1243.459412887471</v>
      </c>
      <c r="AG33" s="72">
        <v>19.364419364419362</v>
      </c>
      <c r="AH33" s="90">
        <f t="shared" si="10"/>
        <v>1179.275969391337</v>
      </c>
      <c r="AI33" s="72">
        <f aca="true" t="shared" si="13" ref="AI33:AI43">SUM((AH33*AG33/100),(AF33*AE33/100),(AD33*AC33/100))/AJ33*100/3</f>
        <v>16.475907727448508</v>
      </c>
      <c r="AJ33" s="90">
        <f t="shared" si="11"/>
        <v>1400.9976055433763</v>
      </c>
    </row>
    <row r="34" spans="2:36" ht="12.75">
      <c r="B34" s="72" t="s">
        <v>160</v>
      </c>
      <c r="D34" s="72" t="s">
        <v>54</v>
      </c>
      <c r="E34" s="73">
        <v>100</v>
      </c>
      <c r="F34" s="90">
        <f t="shared" si="0"/>
        <v>77.65464602974785</v>
      </c>
      <c r="G34" s="73">
        <v>100</v>
      </c>
      <c r="H34" s="90">
        <f t="shared" si="1"/>
        <v>66.79620480881754</v>
      </c>
      <c r="I34" s="73"/>
      <c r="J34" s="90">
        <f t="shared" si="2"/>
        <v>663.068860405813</v>
      </c>
      <c r="K34" s="73"/>
      <c r="L34" s="90">
        <f t="shared" si="3"/>
        <v>7037.3003473422295</v>
      </c>
      <c r="M34" s="73"/>
      <c r="N34" s="90">
        <f t="shared" si="4"/>
        <v>5354.516079197417</v>
      </c>
      <c r="O34" s="73"/>
      <c r="P34" s="90">
        <f t="shared" si="5"/>
        <v>3416.25386836348</v>
      </c>
      <c r="Q34" s="73">
        <v>100</v>
      </c>
      <c r="R34" s="90">
        <f t="shared" si="6"/>
        <v>1.0893096399776572</v>
      </c>
      <c r="S34" s="73">
        <v>100</v>
      </c>
      <c r="T34" s="90">
        <f t="shared" si="7"/>
        <v>0.9180491165426823</v>
      </c>
      <c r="U34" s="73">
        <v>100</v>
      </c>
      <c r="V34" s="90">
        <f t="shared" si="8"/>
        <v>1.1389393841597057</v>
      </c>
      <c r="W34" s="91">
        <f t="shared" si="12"/>
        <v>1.1065692162202552</v>
      </c>
      <c r="X34" s="90">
        <f t="shared" si="9"/>
        <v>7116.044303011955</v>
      </c>
      <c r="Y34" s="91">
        <f t="shared" si="12"/>
        <v>1.2488265854682374</v>
      </c>
      <c r="Z34" s="90">
        <f t="shared" si="9"/>
        <v>5422.230333122777</v>
      </c>
      <c r="AA34" s="91">
        <f t="shared" si="12"/>
        <v>0.0279120226284374</v>
      </c>
      <c r="AB34" s="90">
        <f t="shared" si="9"/>
        <v>4080.461668153452</v>
      </c>
      <c r="AC34" s="91">
        <v>1.1065692162202552</v>
      </c>
      <c r="AD34" s="90">
        <f t="shared" si="10"/>
        <v>7116.044303011955</v>
      </c>
      <c r="AE34" s="72">
        <v>0.0279120226284374</v>
      </c>
      <c r="AF34" s="90">
        <f t="shared" si="10"/>
        <v>5422.230333122777</v>
      </c>
      <c r="AG34" s="72">
        <v>0.0279120226284374</v>
      </c>
      <c r="AH34" s="90">
        <f t="shared" si="10"/>
        <v>4080.461668153452</v>
      </c>
      <c r="AI34" s="72">
        <f t="shared" si="13"/>
        <v>0.48978663432086283</v>
      </c>
      <c r="AJ34" s="90">
        <f t="shared" si="11"/>
        <v>5539.578768096061</v>
      </c>
    </row>
    <row r="35" spans="2:36" ht="12.75">
      <c r="B35" s="72" t="s">
        <v>161</v>
      </c>
      <c r="D35" s="72" t="s">
        <v>54</v>
      </c>
      <c r="E35" s="73"/>
      <c r="F35" s="90">
        <f t="shared" si="0"/>
        <v>104.66495769226884</v>
      </c>
      <c r="G35" s="73"/>
      <c r="H35" s="90">
        <f t="shared" si="1"/>
        <v>62.348419470774985</v>
      </c>
      <c r="I35" s="73"/>
      <c r="J35" s="90">
        <f t="shared" si="2"/>
        <v>303.60820390071785</v>
      </c>
      <c r="K35" s="73"/>
      <c r="L35" s="90">
        <f t="shared" si="3"/>
        <v>2544.015214061328</v>
      </c>
      <c r="M35" s="73"/>
      <c r="N35" s="90">
        <f t="shared" si="4"/>
        <v>2188.049979635672</v>
      </c>
      <c r="O35" s="73"/>
      <c r="P35" s="90">
        <f t="shared" si="5"/>
        <v>1352.4139025273982</v>
      </c>
      <c r="Q35" s="73">
        <v>100</v>
      </c>
      <c r="R35" s="90">
        <f t="shared" si="6"/>
        <v>1.0893096399776572</v>
      </c>
      <c r="S35" s="73">
        <v>100</v>
      </c>
      <c r="T35" s="90">
        <f t="shared" si="7"/>
        <v>0.9180491165426823</v>
      </c>
      <c r="U35" s="73">
        <v>100</v>
      </c>
      <c r="V35" s="90">
        <f t="shared" si="8"/>
        <v>1.1377783858068418</v>
      </c>
      <c r="W35" s="91">
        <f t="shared" si="12"/>
        <v>0.04110960019830723</v>
      </c>
      <c r="X35" s="90">
        <f t="shared" si="9"/>
        <v>2649.7694813935746</v>
      </c>
      <c r="Y35" s="91">
        <f t="shared" si="12"/>
        <v>0.0407783240453521</v>
      </c>
      <c r="Z35" s="90">
        <f t="shared" si="9"/>
        <v>2251.3164482229895</v>
      </c>
      <c r="AA35" s="91">
        <f t="shared" si="12"/>
        <v>0.06865833503654954</v>
      </c>
      <c r="AB35" s="90">
        <f t="shared" si="9"/>
        <v>1657.1598848139229</v>
      </c>
      <c r="AC35" s="91">
        <v>0.04110960019830723</v>
      </c>
      <c r="AD35" s="90">
        <f t="shared" si="10"/>
        <v>2649.7694813935746</v>
      </c>
      <c r="AE35" s="72">
        <v>0.06865833503654954</v>
      </c>
      <c r="AF35" s="90">
        <f t="shared" si="10"/>
        <v>2251.3164482229895</v>
      </c>
      <c r="AG35" s="72">
        <v>0.06865833503654954</v>
      </c>
      <c r="AH35" s="90">
        <f t="shared" si="10"/>
        <v>1657.1598848139229</v>
      </c>
      <c r="AI35" s="72">
        <f t="shared" si="13"/>
        <v>0.05752764568898694</v>
      </c>
      <c r="AJ35" s="90">
        <f t="shared" si="11"/>
        <v>2186.081938143496</v>
      </c>
    </row>
    <row r="36" spans="2:36" ht="12.75">
      <c r="B36" s="72" t="s">
        <v>162</v>
      </c>
      <c r="D36" s="72" t="s">
        <v>54</v>
      </c>
      <c r="E36" s="73">
        <v>100</v>
      </c>
      <c r="F36" s="90">
        <f t="shared" si="0"/>
        <v>11.614434014884024</v>
      </c>
      <c r="G36" s="73">
        <v>100</v>
      </c>
      <c r="H36" s="90">
        <f t="shared" si="1"/>
        <v>13.343356014127641</v>
      </c>
      <c r="I36" s="73"/>
      <c r="J36" s="90">
        <f t="shared" si="2"/>
        <v>31.578117434013343</v>
      </c>
      <c r="K36" s="73"/>
      <c r="L36" s="90">
        <f t="shared" si="3"/>
        <v>6.601361387772356</v>
      </c>
      <c r="M36" s="73"/>
      <c r="N36" s="90">
        <f t="shared" si="4"/>
        <v>6.255048328880619</v>
      </c>
      <c r="O36" s="73"/>
      <c r="P36" s="90">
        <f t="shared" si="5"/>
        <v>3.1697200840485893</v>
      </c>
      <c r="Q36" s="73">
        <v>100</v>
      </c>
      <c r="R36" s="90">
        <f t="shared" si="6"/>
        <v>1.639466023804757</v>
      </c>
      <c r="S36" s="73">
        <v>100</v>
      </c>
      <c r="T36" s="90">
        <f t="shared" si="7"/>
        <v>1.3724370631143124</v>
      </c>
      <c r="U36" s="73">
        <v>100</v>
      </c>
      <c r="V36" s="90">
        <f t="shared" si="8"/>
        <v>1.7066675787102623</v>
      </c>
      <c r="W36" s="91">
        <f t="shared" si="12"/>
        <v>66.7525838819996</v>
      </c>
      <c r="X36" s="90">
        <f t="shared" si="9"/>
        <v>19.855261426461137</v>
      </c>
      <c r="Y36" s="91">
        <f t="shared" si="12"/>
        <v>70.17264015427432</v>
      </c>
      <c r="Z36" s="90">
        <f t="shared" si="9"/>
        <v>20.970841406122574</v>
      </c>
      <c r="AA36" s="91">
        <f t="shared" si="12"/>
        <v>4.681636944953002</v>
      </c>
      <c r="AB36" s="90">
        <f t="shared" si="9"/>
        <v>36.454505096772195</v>
      </c>
      <c r="AC36" s="91">
        <v>66.7525838819996</v>
      </c>
      <c r="AD36" s="90">
        <f t="shared" si="10"/>
        <v>19.855261426461137</v>
      </c>
      <c r="AE36" s="72">
        <v>4.681636944953002</v>
      </c>
      <c r="AF36" s="90">
        <f t="shared" si="10"/>
        <v>20.970841406122574</v>
      </c>
      <c r="AG36" s="72">
        <v>4.681636944953002</v>
      </c>
      <c r="AH36" s="90">
        <f t="shared" si="10"/>
        <v>36.454505096772195</v>
      </c>
      <c r="AI36" s="72">
        <f t="shared" si="13"/>
        <v>20.629167786709008</v>
      </c>
      <c r="AJ36" s="90">
        <f t="shared" si="11"/>
        <v>25.760202643118635</v>
      </c>
    </row>
    <row r="37" spans="2:36" ht="12.75">
      <c r="B37" s="72" t="s">
        <v>163</v>
      </c>
      <c r="D37" s="72" t="s">
        <v>54</v>
      </c>
      <c r="E37" s="73"/>
      <c r="F37" s="90">
        <f t="shared" si="0"/>
        <v>1228.9691806447051</v>
      </c>
      <c r="G37" s="73"/>
      <c r="H37" s="90">
        <f t="shared" si="1"/>
        <v>961.0393319699073</v>
      </c>
      <c r="I37" s="73"/>
      <c r="J37" s="90">
        <f t="shared" si="2"/>
        <v>1267.421039868563</v>
      </c>
      <c r="K37" s="73"/>
      <c r="L37" s="90">
        <f t="shared" si="3"/>
        <v>4452.805087035127</v>
      </c>
      <c r="M37" s="73"/>
      <c r="N37" s="90">
        <f t="shared" si="4"/>
        <v>3358.741904223834</v>
      </c>
      <c r="O37" s="73"/>
      <c r="P37" s="90">
        <f t="shared" si="5"/>
        <v>2465.3378431489027</v>
      </c>
      <c r="Q37" s="73"/>
      <c r="R37" s="90">
        <f t="shared" si="6"/>
        <v>32.129132815502615</v>
      </c>
      <c r="S37" s="73"/>
      <c r="T37" s="90">
        <f t="shared" si="7"/>
        <v>24.759506476454153</v>
      </c>
      <c r="U37" s="73">
        <v>100</v>
      </c>
      <c r="V37" s="90">
        <f t="shared" si="8"/>
        <v>2.2755567716136835</v>
      </c>
      <c r="W37" s="91">
        <f t="shared" si="12"/>
        <v>0</v>
      </c>
      <c r="X37" s="90">
        <f t="shared" si="9"/>
        <v>5713.9034004953355</v>
      </c>
      <c r="Y37" s="91">
        <f t="shared" si="12"/>
        <v>0</v>
      </c>
      <c r="Z37" s="90">
        <f t="shared" si="9"/>
        <v>4344.540742670196</v>
      </c>
      <c r="AA37" s="91">
        <f t="shared" si="12"/>
        <v>0.06092465299308422</v>
      </c>
      <c r="AB37" s="90">
        <f t="shared" si="9"/>
        <v>3735.034439789079</v>
      </c>
      <c r="AC37" s="91">
        <v>0</v>
      </c>
      <c r="AD37" s="90">
        <f t="shared" si="10"/>
        <v>5713.9034004953355</v>
      </c>
      <c r="AE37" s="72">
        <v>0.06092465299308422</v>
      </c>
      <c r="AF37" s="90">
        <f t="shared" si="10"/>
        <v>4344.540742670196</v>
      </c>
      <c r="AG37" s="72">
        <v>0.06092465299308422</v>
      </c>
      <c r="AH37" s="90">
        <f t="shared" si="10"/>
        <v>3735.034439789079</v>
      </c>
      <c r="AJ37" s="90">
        <f t="shared" si="11"/>
        <v>4597.826194318203</v>
      </c>
    </row>
    <row r="38" spans="2:36" ht="12.75">
      <c r="B38" s="72" t="s">
        <v>165</v>
      </c>
      <c r="D38" s="72" t="s">
        <v>54</v>
      </c>
      <c r="E38" s="73">
        <v>100</v>
      </c>
      <c r="F38" s="90">
        <f t="shared" si="0"/>
        <v>195.8247595532772</v>
      </c>
      <c r="G38" s="73">
        <v>100</v>
      </c>
      <c r="H38" s="90">
        <f t="shared" si="1"/>
        <v>222.38926690212733</v>
      </c>
      <c r="I38" s="73">
        <v>100</v>
      </c>
      <c r="J38" s="90">
        <f t="shared" si="2"/>
        <v>200.49598370802124</v>
      </c>
      <c r="K38" s="73"/>
      <c r="L38" s="90">
        <f t="shared" si="3"/>
        <v>1556.9248556066882</v>
      </c>
      <c r="M38" s="73"/>
      <c r="N38" s="90">
        <f t="shared" si="4"/>
        <v>851.8548307814071</v>
      </c>
      <c r="O38" s="73"/>
      <c r="P38" s="90">
        <f t="shared" si="5"/>
        <v>739.6013529446707</v>
      </c>
      <c r="Q38" s="73">
        <v>100</v>
      </c>
      <c r="R38" s="90">
        <f t="shared" si="6"/>
        <v>27.50781919135498</v>
      </c>
      <c r="S38" s="73">
        <v>100</v>
      </c>
      <c r="T38" s="90">
        <f t="shared" si="7"/>
        <v>23.18305849855258</v>
      </c>
      <c r="U38" s="73">
        <v>100</v>
      </c>
      <c r="V38" s="90">
        <f t="shared" si="8"/>
        <v>27.863960468738977</v>
      </c>
      <c r="W38" s="91">
        <f t="shared" si="12"/>
        <v>12.544959758924348</v>
      </c>
      <c r="X38" s="90">
        <f t="shared" si="9"/>
        <v>1780.2574343513202</v>
      </c>
      <c r="Y38" s="91">
        <f t="shared" si="12"/>
        <v>22.377095738638182</v>
      </c>
      <c r="Z38" s="90">
        <f t="shared" si="9"/>
        <v>1097.427156182087</v>
      </c>
      <c r="AA38" s="91">
        <f t="shared" si="12"/>
        <v>23.591846580629603</v>
      </c>
      <c r="AB38" s="90">
        <f t="shared" si="9"/>
        <v>967.9612971214308</v>
      </c>
      <c r="AC38" s="91">
        <v>12.544959758924348</v>
      </c>
      <c r="AD38" s="90">
        <f t="shared" si="10"/>
        <v>1780.2574343513202</v>
      </c>
      <c r="AE38" s="72">
        <v>23.591846580629603</v>
      </c>
      <c r="AF38" s="90">
        <f t="shared" si="10"/>
        <v>1097.427156182087</v>
      </c>
      <c r="AG38" s="72">
        <v>23.591846580629603</v>
      </c>
      <c r="AH38" s="90">
        <f t="shared" si="10"/>
        <v>967.9612971214308</v>
      </c>
      <c r="AI38" s="72">
        <f t="shared" si="13"/>
        <v>18.47793256844494</v>
      </c>
      <c r="AJ38" s="90">
        <f t="shared" si="11"/>
        <v>1281.8819625516128</v>
      </c>
    </row>
    <row r="39" spans="2:36" ht="12.75">
      <c r="B39" s="72" t="s">
        <v>166</v>
      </c>
      <c r="D39" s="72" t="s">
        <v>54</v>
      </c>
      <c r="E39" s="73">
        <v>100</v>
      </c>
      <c r="F39" s="90">
        <f t="shared" si="0"/>
        <v>3.713917853596636</v>
      </c>
      <c r="G39" s="73">
        <v>100</v>
      </c>
      <c r="H39" s="90">
        <f t="shared" si="1"/>
        <v>4.368360599863215</v>
      </c>
      <c r="I39" s="73">
        <v>100</v>
      </c>
      <c r="J39" s="90">
        <f t="shared" si="2"/>
        <v>3.29386258948892</v>
      </c>
      <c r="K39" s="73"/>
      <c r="L39" s="90">
        <f t="shared" si="3"/>
        <v>19.30586820952293</v>
      </c>
      <c r="M39" s="73"/>
      <c r="N39" s="90">
        <f t="shared" si="4"/>
        <v>15.820161143083274</v>
      </c>
      <c r="O39" s="73"/>
      <c r="P39" s="90">
        <f t="shared" si="5"/>
        <v>12.326689215744512</v>
      </c>
      <c r="Q39" s="73">
        <v>100</v>
      </c>
      <c r="R39" s="90">
        <f t="shared" si="6"/>
        <v>200.25692371306423</v>
      </c>
      <c r="S39" s="73">
        <v>100</v>
      </c>
      <c r="T39" s="90">
        <f t="shared" si="7"/>
        <v>66.21081507186618</v>
      </c>
      <c r="U39" s="73">
        <v>100</v>
      </c>
      <c r="V39" s="90">
        <f t="shared" si="8"/>
        <v>19.388672492830878</v>
      </c>
      <c r="W39" s="91">
        <f t="shared" si="12"/>
        <v>168.16610925676542</v>
      </c>
      <c r="X39" s="90">
        <f t="shared" si="9"/>
        <v>121.29128899285337</v>
      </c>
      <c r="Y39" s="91">
        <f t="shared" si="12"/>
        <v>138.09337177688127</v>
      </c>
      <c r="Z39" s="90">
        <f t="shared" si="9"/>
        <v>51.10974897894797</v>
      </c>
      <c r="AA39" s="91">
        <f t="shared" si="12"/>
        <v>95.83647340281225</v>
      </c>
      <c r="AB39" s="90">
        <f t="shared" si="9"/>
        <v>23.66795675690441</v>
      </c>
      <c r="AC39" s="91"/>
      <c r="AD39" s="90">
        <f>F39/2+L39+R39/2</f>
        <v>121.29128899285337</v>
      </c>
      <c r="AF39" s="90">
        <f>H39/2+N39+T39/2</f>
        <v>51.10974897894797</v>
      </c>
      <c r="AH39" s="90">
        <f>J39/2+P39+V39/2</f>
        <v>23.66795675690441</v>
      </c>
      <c r="AI39" s="72">
        <f t="shared" si="13"/>
        <v>0</v>
      </c>
      <c r="AJ39" s="90">
        <f t="shared" si="11"/>
        <v>65.35633157623525</v>
      </c>
    </row>
    <row r="40" spans="2:36" ht="12.75">
      <c r="B40" s="72" t="s">
        <v>167</v>
      </c>
      <c r="D40" s="72" t="s">
        <v>54</v>
      </c>
      <c r="E40" s="73">
        <v>100</v>
      </c>
      <c r="F40" s="90">
        <f t="shared" si="0"/>
        <v>81.03093498756299</v>
      </c>
      <c r="G40" s="73">
        <v>100</v>
      </c>
      <c r="H40" s="90">
        <f t="shared" si="1"/>
        <v>87.36721199726433</v>
      </c>
      <c r="I40" s="73">
        <v>100</v>
      </c>
      <c r="J40" s="90">
        <f t="shared" si="2"/>
        <v>78.7662793138655</v>
      </c>
      <c r="K40" s="73">
        <v>100</v>
      </c>
      <c r="L40" s="90">
        <f t="shared" si="3"/>
        <v>274.0187745867771</v>
      </c>
      <c r="M40" s="73">
        <v>100</v>
      </c>
      <c r="N40" s="90">
        <f t="shared" si="4"/>
        <v>240.9532235638837</v>
      </c>
      <c r="O40" s="73">
        <v>100</v>
      </c>
      <c r="P40" s="90">
        <f t="shared" si="5"/>
        <v>193.70511624741374</v>
      </c>
      <c r="Q40" s="73">
        <v>100</v>
      </c>
      <c r="R40" s="90">
        <f t="shared" si="6"/>
        <v>10.893096399776569</v>
      </c>
      <c r="S40" s="73">
        <v>100</v>
      </c>
      <c r="T40" s="90">
        <f t="shared" si="7"/>
        <v>9.18049116542682</v>
      </c>
      <c r="U40" s="73">
        <v>100</v>
      </c>
      <c r="V40" s="90">
        <f t="shared" si="8"/>
        <v>11.377783858068415</v>
      </c>
      <c r="W40" s="91">
        <f t="shared" si="12"/>
        <v>100</v>
      </c>
      <c r="X40" s="90">
        <f t="shared" si="9"/>
        <v>365.9428059741167</v>
      </c>
      <c r="Y40" s="91">
        <f t="shared" si="12"/>
        <v>100</v>
      </c>
      <c r="Z40" s="90">
        <f t="shared" si="9"/>
        <v>337.50092672657485</v>
      </c>
      <c r="AA40" s="91">
        <f t="shared" si="12"/>
        <v>100</v>
      </c>
      <c r="AB40" s="90">
        <f t="shared" si="9"/>
        <v>283.84917941934765</v>
      </c>
      <c r="AC40" s="91">
        <v>100</v>
      </c>
      <c r="AD40" s="90">
        <f t="shared" si="10"/>
        <v>365.9428059741167</v>
      </c>
      <c r="AE40" s="72">
        <v>100</v>
      </c>
      <c r="AF40" s="90">
        <f t="shared" si="10"/>
        <v>337.50092672657485</v>
      </c>
      <c r="AG40" s="72">
        <v>100</v>
      </c>
      <c r="AH40" s="90">
        <f t="shared" si="10"/>
        <v>283.84917941934765</v>
      </c>
      <c r="AI40" s="72">
        <f t="shared" si="13"/>
        <v>100</v>
      </c>
      <c r="AJ40" s="90">
        <f t="shared" si="11"/>
        <v>329.0976373733464</v>
      </c>
    </row>
    <row r="41" spans="2:36" ht="12.75">
      <c r="B41" s="72" t="s">
        <v>168</v>
      </c>
      <c r="D41" s="72" t="s">
        <v>54</v>
      </c>
      <c r="E41" s="73">
        <v>100</v>
      </c>
      <c r="F41" s="90">
        <f t="shared" si="0"/>
        <v>384.89694119092405</v>
      </c>
      <c r="G41" s="73"/>
      <c r="H41" s="90">
        <f t="shared" si="1"/>
        <v>444.77853380425466</v>
      </c>
      <c r="I41" s="73">
        <v>100</v>
      </c>
      <c r="J41" s="90">
        <f t="shared" si="2"/>
        <v>393.8313965693274</v>
      </c>
      <c r="K41" s="73">
        <v>100</v>
      </c>
      <c r="L41" s="90">
        <f t="shared" si="3"/>
        <v>934.1549133640128</v>
      </c>
      <c r="M41" s="73">
        <v>100</v>
      </c>
      <c r="N41" s="90">
        <f t="shared" si="4"/>
        <v>1216.9354725448675</v>
      </c>
      <c r="O41" s="73">
        <v>100</v>
      </c>
      <c r="P41" s="90">
        <f t="shared" si="5"/>
        <v>704.3822408996864</v>
      </c>
      <c r="Q41" s="73">
        <v>100</v>
      </c>
      <c r="R41" s="90">
        <f t="shared" si="6"/>
        <v>55.01563838270996</v>
      </c>
      <c r="S41" s="73">
        <v>100</v>
      </c>
      <c r="T41" s="90">
        <f t="shared" si="7"/>
        <v>4.543879465716306</v>
      </c>
      <c r="U41" s="73">
        <v>100</v>
      </c>
      <c r="V41" s="90">
        <f t="shared" si="8"/>
        <v>56.88891929034208</v>
      </c>
      <c r="W41" s="91">
        <f t="shared" si="12"/>
        <v>100</v>
      </c>
      <c r="X41" s="90">
        <f t="shared" si="9"/>
        <v>1374.0674929376469</v>
      </c>
      <c r="Y41" s="91">
        <f t="shared" si="12"/>
        <v>73.30674095584263</v>
      </c>
      <c r="Z41" s="90">
        <f t="shared" si="9"/>
        <v>1666.2578858148386</v>
      </c>
      <c r="AA41" s="91">
        <f t="shared" si="12"/>
        <v>100</v>
      </c>
      <c r="AB41" s="90">
        <f t="shared" si="9"/>
        <v>1155.1025567593558</v>
      </c>
      <c r="AC41" s="91">
        <v>100</v>
      </c>
      <c r="AD41" s="90">
        <f t="shared" si="10"/>
        <v>1374.0674929376469</v>
      </c>
      <c r="AE41" s="72">
        <v>100</v>
      </c>
      <c r="AF41" s="90">
        <f t="shared" si="10"/>
        <v>1666.2578858148386</v>
      </c>
      <c r="AG41" s="72">
        <v>100</v>
      </c>
      <c r="AH41" s="90">
        <f t="shared" si="10"/>
        <v>1155.1025567593558</v>
      </c>
      <c r="AI41" s="72">
        <f t="shared" si="13"/>
        <v>99.99999999999999</v>
      </c>
      <c r="AJ41" s="90">
        <f t="shared" si="11"/>
        <v>1398.475978503947</v>
      </c>
    </row>
    <row r="42" spans="2:36" ht="12.75">
      <c r="B42" s="72" t="s">
        <v>55</v>
      </c>
      <c r="D42" s="72" t="s">
        <v>54</v>
      </c>
      <c r="E42" s="73">
        <v>100</v>
      </c>
      <c r="F42" s="90">
        <f>F38+F36</f>
        <v>207.43919356816122</v>
      </c>
      <c r="G42" s="73">
        <v>100</v>
      </c>
      <c r="H42" s="90">
        <f>H38/2+H36/2</f>
        <v>117.86631145812748</v>
      </c>
      <c r="I42" s="73">
        <f>J38/J42*100</f>
        <v>86.39308855291577</v>
      </c>
      <c r="J42" s="90">
        <f>J38+J36</f>
        <v>232.07410114203458</v>
      </c>
      <c r="K42" s="73"/>
      <c r="L42" s="90">
        <f>L38+L36</f>
        <v>1563.5262169944606</v>
      </c>
      <c r="M42" s="73"/>
      <c r="N42" s="90">
        <f>N38+N36</f>
        <v>858.1098791102878</v>
      </c>
      <c r="O42" s="73"/>
      <c r="P42" s="90">
        <f>P38+P36</f>
        <v>742.7710730287192</v>
      </c>
      <c r="Q42" s="73">
        <v>100</v>
      </c>
      <c r="R42" s="90">
        <f>R38+R36</f>
        <v>29.147285215159737</v>
      </c>
      <c r="S42" s="73">
        <v>100</v>
      </c>
      <c r="T42" s="90">
        <f>T38/2+T36/2</f>
        <v>12.277747780833446</v>
      </c>
      <c r="U42" s="73">
        <v>100</v>
      </c>
      <c r="V42" s="90">
        <f>V38/2+V36/2</f>
        <v>14.78531402372462</v>
      </c>
      <c r="W42" s="91">
        <f t="shared" si="12"/>
        <v>13.14287040684962</v>
      </c>
      <c r="X42" s="90">
        <f t="shared" si="9"/>
        <v>1800.1126957777815</v>
      </c>
      <c r="Y42" s="91">
        <f t="shared" si="12"/>
        <v>13.169090877224319</v>
      </c>
      <c r="Z42" s="90">
        <f t="shared" si="9"/>
        <v>988.2539383492488</v>
      </c>
      <c r="AA42" s="91">
        <f t="shared" si="12"/>
        <v>21.753705074761157</v>
      </c>
      <c r="AB42" s="90">
        <f t="shared" si="9"/>
        <v>989.6304881944784</v>
      </c>
      <c r="AC42" s="91">
        <v>13.14287040684962</v>
      </c>
      <c r="AD42" s="90">
        <f>F42+L42+R42</f>
        <v>1800.1126957777815</v>
      </c>
      <c r="AE42" s="72">
        <v>21.753705074761157</v>
      </c>
      <c r="AF42" s="90">
        <f t="shared" si="10"/>
        <v>988.2539383492488</v>
      </c>
      <c r="AG42" s="72">
        <v>21.753705074761157</v>
      </c>
      <c r="AH42" s="90">
        <f t="shared" si="10"/>
        <v>989.6304881944784</v>
      </c>
      <c r="AI42" s="72">
        <f t="shared" si="13"/>
        <v>17.65087696105781</v>
      </c>
      <c r="AJ42" s="90">
        <f t="shared" si="11"/>
        <v>1259.3323741071697</v>
      </c>
    </row>
    <row r="43" spans="2:36" ht="12.75">
      <c r="B43" s="72" t="s">
        <v>56</v>
      </c>
      <c r="D43" s="72" t="s">
        <v>54</v>
      </c>
      <c r="E43" s="91">
        <f>F33/F43*100</f>
        <v>12.803532008830022</v>
      </c>
      <c r="F43" s="90">
        <f>F37+F33+F35</f>
        <v>1529.4588978902514</v>
      </c>
      <c r="G43" s="91">
        <f>H33/H43*100</f>
        <v>19.60098004900245</v>
      </c>
      <c r="H43" s="90">
        <f>H37+H33/2+H35</f>
        <v>1134.582384891746</v>
      </c>
      <c r="I43" s="73">
        <f>J33/J43*100</f>
        <v>11.317704122877931</v>
      </c>
      <c r="J43" s="90">
        <f>J37+J33+J35</f>
        <v>1771.525227477302</v>
      </c>
      <c r="K43" s="73"/>
      <c r="L43" s="90">
        <f>L37+L33+L35</f>
        <v>8553.745156703144</v>
      </c>
      <c r="M43" s="73"/>
      <c r="N43" s="90">
        <f>N37+N33+N35</f>
        <v>6544.678971346297</v>
      </c>
      <c r="O43" s="73"/>
      <c r="P43" s="90">
        <f>P37+P33+P35</f>
        <v>4768.667770890877</v>
      </c>
      <c r="Q43" s="90">
        <f>SUM(R33,R35)/R43*100</f>
        <v>47.091864468200754</v>
      </c>
      <c r="R43" s="90">
        <f>R37+R33+R35</f>
        <v>60.726261646835255</v>
      </c>
      <c r="S43" s="90">
        <f>SUM(T33,T35)/T43*100</f>
        <v>65.47424108829829</v>
      </c>
      <c r="T43" s="90">
        <f>T37+T33/2+T35/2</f>
        <v>36.81006028400178</v>
      </c>
      <c r="U43" s="73">
        <v>100</v>
      </c>
      <c r="V43" s="90">
        <f>V37+V33/2+V35/2</f>
        <v>16.776426198886593</v>
      </c>
      <c r="W43" s="91">
        <f t="shared" si="12"/>
        <v>2.212376084892015</v>
      </c>
      <c r="X43" s="90">
        <f t="shared" si="9"/>
        <v>10143.930316240232</v>
      </c>
      <c r="Y43" s="91">
        <f t="shared" si="12"/>
        <v>3.1945061315713708</v>
      </c>
      <c r="Z43" s="90">
        <f t="shared" si="9"/>
        <v>7716.071416522044</v>
      </c>
      <c r="AA43" s="91">
        <f t="shared" si="12"/>
        <v>3.313610234216604</v>
      </c>
      <c r="AB43" s="90">
        <f t="shared" si="9"/>
        <v>6556.969424567066</v>
      </c>
      <c r="AC43" s="91">
        <v>2.212376084892015</v>
      </c>
      <c r="AD43" s="90">
        <f t="shared" si="10"/>
        <v>10143.930316240232</v>
      </c>
      <c r="AE43" s="72">
        <v>3.313610234216604</v>
      </c>
      <c r="AF43" s="90">
        <f t="shared" si="10"/>
        <v>7716.071416522044</v>
      </c>
      <c r="AG43" s="72">
        <v>3.313610234216604</v>
      </c>
      <c r="AH43" s="90">
        <f t="shared" si="10"/>
        <v>6556.969424567066</v>
      </c>
      <c r="AI43" s="72">
        <f t="shared" si="13"/>
        <v>2.8561070328312215</v>
      </c>
      <c r="AJ43" s="90">
        <f t="shared" si="11"/>
        <v>8138.9903857764475</v>
      </c>
    </row>
    <row r="44" spans="2:36" ht="12.75">
      <c r="B44" s="72" t="s">
        <v>49</v>
      </c>
      <c r="D44" s="72" t="s">
        <v>60</v>
      </c>
      <c r="E44" s="73"/>
      <c r="F44" s="90">
        <f>F38/2+F36/2</f>
        <v>103.71959678408061</v>
      </c>
      <c r="G44" s="73"/>
      <c r="H44" s="90">
        <f>H38/2+H36/2</f>
        <v>117.86631145812748</v>
      </c>
      <c r="I44" s="73"/>
      <c r="J44" s="90">
        <f>J38/2+J36/2</f>
        <v>116.03705057101729</v>
      </c>
      <c r="K44" s="73"/>
      <c r="L44" s="90">
        <f>SUM(L36,L38)</f>
        <v>1563.5262169944606</v>
      </c>
      <c r="M44" s="73"/>
      <c r="N44" s="90">
        <f>SUM(N36,N38)</f>
        <v>858.1098791102878</v>
      </c>
      <c r="O44" s="73"/>
      <c r="P44" s="90">
        <f>SUM(P36,P38)</f>
        <v>742.7710730287192</v>
      </c>
      <c r="Q44" s="73"/>
      <c r="R44" s="90">
        <f>SUM(R36,R38)/2</f>
        <v>14.573642607579869</v>
      </c>
      <c r="S44" s="73"/>
      <c r="T44" s="90">
        <f>SUM(T36,T38)/2</f>
        <v>12.277747780833446</v>
      </c>
      <c r="U44" s="73"/>
      <c r="V44" s="90">
        <f>SUM(V36,V38)/2</f>
        <v>14.78531402372462</v>
      </c>
      <c r="W44" s="90"/>
      <c r="X44" s="90">
        <f t="shared" si="9"/>
        <v>23278.20016790227</v>
      </c>
      <c r="Y44" s="90"/>
      <c r="Z44" s="90">
        <f t="shared" si="9"/>
        <v>17681.45957087492</v>
      </c>
      <c r="AA44" s="90"/>
      <c r="AB44" s="90">
        <f t="shared" si="9"/>
        <v>14505.993386483877</v>
      </c>
      <c r="AC44" s="90"/>
      <c r="AD44" s="90">
        <f>AD26*454*1000/AD$28/0.0283/60*14/(21-AD$29)</f>
        <v>23278.20016790227</v>
      </c>
      <c r="AF44" s="90">
        <f>AF26*454*1000/AF$28/0.0283/60*14/(21-AF$29)</f>
        <v>17681.45957087492</v>
      </c>
      <c r="AH44" s="90">
        <f>AH26*454*1000/AH$28/0.0283/60*14/(21-AH$29)</f>
        <v>14505.993386483877</v>
      </c>
      <c r="AJ44" s="90">
        <f t="shared" si="11"/>
        <v>18488.551041753686</v>
      </c>
    </row>
    <row r="45" spans="2:37" ht="12.75">
      <c r="B45" s="72" t="s">
        <v>102</v>
      </c>
      <c r="D45" s="72" t="s">
        <v>54</v>
      </c>
      <c r="E45" s="73"/>
      <c r="F45" s="90">
        <f>SUM(F37,F35,F33/2)</f>
        <v>1431.5465181136126</v>
      </c>
      <c r="G45" s="73"/>
      <c r="H45" s="90">
        <f>SUM(H37,H35,H33/2)</f>
        <v>1134.582384891746</v>
      </c>
      <c r="I45" s="73"/>
      <c r="J45" s="90">
        <f>SUM(J37,J35,J33/2)</f>
        <v>1671.2772356232915</v>
      </c>
      <c r="K45" s="73"/>
      <c r="L45" s="90">
        <f>SUM(L37,L35,L33)</f>
        <v>8553.745156703144</v>
      </c>
      <c r="M45" s="73"/>
      <c r="N45" s="90">
        <f>SUM(N37,N35,N33)</f>
        <v>6544.678971346297</v>
      </c>
      <c r="O45" s="73"/>
      <c r="P45" s="90">
        <f>SUM(P37,P35,P33)</f>
        <v>4768.667770890877</v>
      </c>
      <c r="Q45" s="73"/>
      <c r="R45" s="90">
        <f>SUM(R37,R35/2,R33/2)</f>
        <v>46.427697231168935</v>
      </c>
      <c r="S45" s="73"/>
      <c r="T45" s="90">
        <f>SUM(T37,T35/2,T33/2)</f>
        <v>36.810060284001786</v>
      </c>
      <c r="U45" s="73"/>
      <c r="V45" s="90">
        <f>SUM(V37/2,V35/2,V33/2)</f>
        <v>15.638647813079752</v>
      </c>
      <c r="W45" s="90"/>
      <c r="X45" s="90">
        <f t="shared" si="9"/>
        <v>3046227.3286534166</v>
      </c>
      <c r="Y45" s="90"/>
      <c r="Z45" s="90">
        <f t="shared" si="9"/>
        <v>2714028.751718769</v>
      </c>
      <c r="AA45" s="90"/>
      <c r="AB45" s="90">
        <f t="shared" si="9"/>
        <v>4005120.016165344</v>
      </c>
      <c r="AC45" s="90"/>
      <c r="AD45" s="90">
        <f>AD25*454*1000000/AD$28/0.0283/60*14/(21-AD$29)</f>
        <v>3046227.3286534166</v>
      </c>
      <c r="AF45" s="90">
        <f>AF25*454*1000000/AF$28/0.0283/60*14/(21-AF$29)</f>
        <v>2714028.751718769</v>
      </c>
      <c r="AH45" s="90">
        <f>AH25*454*1000000/AH$28/0.0283/60*14/(21-AH$29)</f>
        <v>4005120.016165344</v>
      </c>
      <c r="AJ45" s="90">
        <f t="shared" si="11"/>
        <v>3255125.3655125103</v>
      </c>
      <c r="AK45" s="72" t="s">
        <v>181</v>
      </c>
    </row>
    <row r="46" spans="5:29" ht="12.75"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  <row r="47" spans="2:36" ht="12.75">
      <c r="B47" s="88" t="s">
        <v>124</v>
      </c>
      <c r="C47" s="88"/>
      <c r="E47" s="73"/>
      <c r="F47" s="89" t="s">
        <v>110</v>
      </c>
      <c r="G47" s="89"/>
      <c r="H47" s="89" t="s">
        <v>111</v>
      </c>
      <c r="I47" s="89"/>
      <c r="J47" s="89" t="s">
        <v>112</v>
      </c>
      <c r="K47" s="89"/>
      <c r="L47" s="89" t="s">
        <v>110</v>
      </c>
      <c r="M47" s="89"/>
      <c r="N47" s="89" t="s">
        <v>111</v>
      </c>
      <c r="O47" s="89"/>
      <c r="P47" s="89" t="s">
        <v>112</v>
      </c>
      <c r="Q47" s="89"/>
      <c r="R47" s="89" t="s">
        <v>110</v>
      </c>
      <c r="S47" s="89"/>
      <c r="T47" s="89" t="s">
        <v>111</v>
      </c>
      <c r="U47" s="89"/>
      <c r="V47" s="89" t="s">
        <v>112</v>
      </c>
      <c r="W47" s="89"/>
      <c r="X47" s="89" t="s">
        <v>110</v>
      </c>
      <c r="Y47" s="89"/>
      <c r="Z47" s="89" t="s">
        <v>111</v>
      </c>
      <c r="AA47" s="89"/>
      <c r="AB47" s="89" t="s">
        <v>112</v>
      </c>
      <c r="AC47" s="89"/>
      <c r="AD47" s="89" t="s">
        <v>110</v>
      </c>
      <c r="AE47" s="89"/>
      <c r="AF47" s="89" t="s">
        <v>111</v>
      </c>
      <c r="AG47" s="89"/>
      <c r="AH47" s="89" t="s">
        <v>112</v>
      </c>
      <c r="AI47" s="89"/>
      <c r="AJ47" s="89" t="s">
        <v>47</v>
      </c>
    </row>
    <row r="48" spans="2:36" ht="12.75">
      <c r="B48" s="72" t="s">
        <v>223</v>
      </c>
      <c r="F48" s="72" t="s">
        <v>225</v>
      </c>
      <c r="H48" s="72" t="s">
        <v>225</v>
      </c>
      <c r="J48" s="72" t="s">
        <v>225</v>
      </c>
      <c r="L48" s="72" t="s">
        <v>227</v>
      </c>
      <c r="N48" s="72" t="s">
        <v>227</v>
      </c>
      <c r="P48" s="72" t="s">
        <v>227</v>
      </c>
      <c r="R48" s="72" t="s">
        <v>229</v>
      </c>
      <c r="T48" s="72" t="s">
        <v>229</v>
      </c>
      <c r="V48" s="72" t="s">
        <v>229</v>
      </c>
      <c r="AD48" s="72" t="s">
        <v>230</v>
      </c>
      <c r="AF48" s="72" t="s">
        <v>230</v>
      </c>
      <c r="AH48" s="72" t="s">
        <v>230</v>
      </c>
      <c r="AJ48" s="72" t="s">
        <v>230</v>
      </c>
    </row>
    <row r="49" spans="2:36" ht="12.75">
      <c r="B49" s="72" t="s">
        <v>224</v>
      </c>
      <c r="F49" s="72" t="s">
        <v>228</v>
      </c>
      <c r="H49" s="72" t="s">
        <v>228</v>
      </c>
      <c r="J49" s="72" t="s">
        <v>228</v>
      </c>
      <c r="L49" s="72" t="s">
        <v>235</v>
      </c>
      <c r="N49" s="72" t="s">
        <v>235</v>
      </c>
      <c r="P49" s="72" t="s">
        <v>235</v>
      </c>
      <c r="R49" s="72" t="s">
        <v>228</v>
      </c>
      <c r="T49" s="72" t="s">
        <v>228</v>
      </c>
      <c r="V49" s="72" t="s">
        <v>228</v>
      </c>
      <c r="AD49" s="72" t="s">
        <v>25</v>
      </c>
      <c r="AF49" s="72" t="s">
        <v>25</v>
      </c>
      <c r="AH49" s="72" t="s">
        <v>25</v>
      </c>
      <c r="AJ49" s="72" t="s">
        <v>25</v>
      </c>
    </row>
    <row r="50" spans="2:36" ht="12.75">
      <c r="B50" s="72" t="s">
        <v>237</v>
      </c>
      <c r="X50" s="72" t="s">
        <v>61</v>
      </c>
      <c r="Z50" s="72" t="s">
        <v>61</v>
      </c>
      <c r="AB50" s="72" t="s">
        <v>61</v>
      </c>
      <c r="AD50" s="72" t="s">
        <v>25</v>
      </c>
      <c r="AF50" s="72" t="s">
        <v>25</v>
      </c>
      <c r="AH50" s="72" t="s">
        <v>25</v>
      </c>
      <c r="AJ50" s="72" t="s">
        <v>25</v>
      </c>
    </row>
    <row r="51" spans="2:36" ht="12.75">
      <c r="B51" s="72" t="s">
        <v>48</v>
      </c>
      <c r="F51" s="72" t="s">
        <v>173</v>
      </c>
      <c r="L51" s="72" t="s">
        <v>174</v>
      </c>
      <c r="R51" s="72" t="s">
        <v>175</v>
      </c>
      <c r="AD51" s="72" t="s">
        <v>25</v>
      </c>
      <c r="AF51" s="72" t="s">
        <v>25</v>
      </c>
      <c r="AH51" s="72" t="s">
        <v>25</v>
      </c>
      <c r="AJ51" s="72" t="s">
        <v>25</v>
      </c>
    </row>
    <row r="52" spans="1:29" ht="12.75">
      <c r="A52" s="72" t="s">
        <v>124</v>
      </c>
      <c r="B52" s="72" t="s">
        <v>176</v>
      </c>
      <c r="D52" s="72" t="s">
        <v>52</v>
      </c>
      <c r="E52" s="73"/>
      <c r="F52" s="73">
        <v>2404</v>
      </c>
      <c r="G52" s="73"/>
      <c r="H52" s="73">
        <v>2187</v>
      </c>
      <c r="I52" s="73"/>
      <c r="J52" s="73">
        <v>2513</v>
      </c>
      <c r="K52" s="73"/>
      <c r="L52" s="73">
        <v>764</v>
      </c>
      <c r="M52" s="73"/>
      <c r="N52" s="73">
        <v>767</v>
      </c>
      <c r="O52" s="73"/>
      <c r="P52" s="73">
        <v>887</v>
      </c>
      <c r="Q52" s="73"/>
      <c r="R52" s="73">
        <v>250</v>
      </c>
      <c r="S52" s="73"/>
      <c r="T52" s="73">
        <v>239.3</v>
      </c>
      <c r="U52" s="73"/>
      <c r="V52" s="73">
        <v>173.3</v>
      </c>
      <c r="W52" s="73"/>
      <c r="X52" s="73"/>
      <c r="Y52" s="73"/>
      <c r="Z52" s="73"/>
      <c r="AA52" s="73"/>
      <c r="AB52" s="73"/>
      <c r="AC52" s="73"/>
    </row>
    <row r="53" spans="2:29" ht="12.75">
      <c r="B53" s="72" t="s">
        <v>177</v>
      </c>
      <c r="D53" s="72" t="s">
        <v>52</v>
      </c>
      <c r="E53" s="73"/>
      <c r="F53" s="73"/>
      <c r="G53" s="73"/>
      <c r="H53" s="73"/>
      <c r="I53" s="73"/>
      <c r="J53" s="73"/>
      <c r="K53" s="73"/>
      <c r="L53" s="73">
        <v>3800</v>
      </c>
      <c r="M53" s="73"/>
      <c r="N53" s="73">
        <v>3975</v>
      </c>
      <c r="O53" s="73"/>
      <c r="P53" s="73">
        <v>3943</v>
      </c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</row>
    <row r="54" spans="1:29" ht="12.75">
      <c r="A54" s="72" t="s">
        <v>124</v>
      </c>
      <c r="B54" s="72" t="s">
        <v>178</v>
      </c>
      <c r="D54" s="72" t="s">
        <v>104</v>
      </c>
      <c r="E54" s="73"/>
      <c r="F54" s="73">
        <v>10720</v>
      </c>
      <c r="G54" s="73"/>
      <c r="H54" s="73">
        <v>10469</v>
      </c>
      <c r="I54" s="73"/>
      <c r="J54" s="73">
        <v>10991</v>
      </c>
      <c r="K54" s="73"/>
      <c r="L54" s="73">
        <v>2358</v>
      </c>
      <c r="M54" s="73"/>
      <c r="N54" s="73">
        <v>1865</v>
      </c>
      <c r="O54" s="73"/>
      <c r="P54" s="73">
        <v>1825</v>
      </c>
      <c r="Q54" s="73"/>
      <c r="R54" s="73">
        <v>11426</v>
      </c>
      <c r="S54" s="73"/>
      <c r="T54" s="73">
        <v>13337</v>
      </c>
      <c r="U54" s="73"/>
      <c r="V54" s="73">
        <v>14798</v>
      </c>
      <c r="W54" s="73"/>
      <c r="X54" s="73"/>
      <c r="Y54" s="73"/>
      <c r="Z54" s="73"/>
      <c r="AA54" s="73"/>
      <c r="AB54" s="73"/>
      <c r="AC54" s="73"/>
    </row>
    <row r="55" spans="1:29" ht="12.75">
      <c r="A55" s="72" t="s">
        <v>124</v>
      </c>
      <c r="B55" s="72" t="s">
        <v>49</v>
      </c>
      <c r="D55" s="72" t="s">
        <v>179</v>
      </c>
      <c r="E55" s="73"/>
      <c r="F55" s="73">
        <v>0.31</v>
      </c>
      <c r="G55" s="73"/>
      <c r="H55" s="73">
        <v>0.29</v>
      </c>
      <c r="I55" s="73"/>
      <c r="J55" s="73">
        <v>0.29</v>
      </c>
      <c r="K55" s="73"/>
      <c r="L55" s="73">
        <v>68.33</v>
      </c>
      <c r="M55" s="73"/>
      <c r="N55" s="73">
        <v>74.24</v>
      </c>
      <c r="O55" s="73"/>
      <c r="P55" s="73">
        <v>74.5</v>
      </c>
      <c r="Q55" s="73"/>
      <c r="R55" s="73">
        <v>0.1</v>
      </c>
      <c r="S55" s="73"/>
      <c r="T55" s="73">
        <v>0.17</v>
      </c>
      <c r="U55" s="73"/>
      <c r="V55" s="73">
        <v>0.07</v>
      </c>
      <c r="W55" s="73"/>
      <c r="X55" s="73"/>
      <c r="Y55" s="73"/>
      <c r="Z55" s="73"/>
      <c r="AA55" s="73"/>
      <c r="AB55" s="73"/>
      <c r="AC55" s="73"/>
    </row>
    <row r="56" spans="1:29" ht="12.75">
      <c r="A56" s="72" t="s">
        <v>124</v>
      </c>
      <c r="B56" s="72" t="s">
        <v>102</v>
      </c>
      <c r="D56" s="72" t="s">
        <v>180</v>
      </c>
      <c r="E56" s="73"/>
      <c r="F56" s="73">
        <v>10500</v>
      </c>
      <c r="G56" s="73"/>
      <c r="H56" s="73">
        <v>10700</v>
      </c>
      <c r="I56" s="73"/>
      <c r="J56" s="73">
        <v>13100</v>
      </c>
      <c r="K56" s="73"/>
      <c r="L56" s="73">
        <v>16900</v>
      </c>
      <c r="M56" s="73"/>
      <c r="N56" s="73">
        <v>11900</v>
      </c>
      <c r="O56" s="73"/>
      <c r="P56" s="73">
        <v>12600</v>
      </c>
      <c r="Q56" s="73"/>
      <c r="R56" s="73">
        <v>133000</v>
      </c>
      <c r="S56" s="73"/>
      <c r="T56" s="73">
        <v>18400</v>
      </c>
      <c r="U56" s="73"/>
      <c r="V56" s="73">
        <v>5100</v>
      </c>
      <c r="W56" s="73"/>
      <c r="X56" s="73"/>
      <c r="Y56" s="73"/>
      <c r="Z56" s="73"/>
      <c r="AA56" s="73"/>
      <c r="AB56" s="73"/>
      <c r="AC56" s="73"/>
    </row>
    <row r="57" spans="1:29" ht="12.75">
      <c r="A57" s="72" t="s">
        <v>124</v>
      </c>
      <c r="B57" s="72" t="s">
        <v>157</v>
      </c>
      <c r="D57" s="72" t="s">
        <v>180</v>
      </c>
      <c r="E57" s="73">
        <v>1</v>
      </c>
      <c r="F57" s="73">
        <v>3.3</v>
      </c>
      <c r="G57" s="73">
        <v>1</v>
      </c>
      <c r="H57" s="73">
        <v>3.3</v>
      </c>
      <c r="I57" s="73">
        <v>1</v>
      </c>
      <c r="J57" s="73">
        <v>3.2</v>
      </c>
      <c r="K57" s="73">
        <v>1</v>
      </c>
      <c r="L57" s="73">
        <v>32</v>
      </c>
      <c r="M57" s="73">
        <v>1</v>
      </c>
      <c r="N57" s="73">
        <v>26</v>
      </c>
      <c r="O57" s="73">
        <v>1</v>
      </c>
      <c r="P57" s="73">
        <v>30</v>
      </c>
      <c r="Q57" s="73">
        <v>1</v>
      </c>
      <c r="R57" s="73">
        <v>2.9</v>
      </c>
      <c r="S57" s="73">
        <v>1</v>
      </c>
      <c r="T57" s="73">
        <v>2.7</v>
      </c>
      <c r="U57" s="73">
        <v>1</v>
      </c>
      <c r="V57" s="73">
        <v>3</v>
      </c>
      <c r="W57" s="73"/>
      <c r="X57" s="73"/>
      <c r="Y57" s="73"/>
      <c r="Z57" s="73"/>
      <c r="AA57" s="73"/>
      <c r="AB57" s="73"/>
      <c r="AC57" s="73"/>
    </row>
    <row r="58" spans="1:29" ht="12.75">
      <c r="A58" s="72" t="s">
        <v>124</v>
      </c>
      <c r="B58" s="72" t="s">
        <v>159</v>
      </c>
      <c r="D58" s="72" t="s">
        <v>180</v>
      </c>
      <c r="E58" s="73">
        <v>1</v>
      </c>
      <c r="F58" s="73">
        <v>2.7</v>
      </c>
      <c r="G58" s="73">
        <v>1</v>
      </c>
      <c r="H58" s="73">
        <v>2.7</v>
      </c>
      <c r="I58" s="73">
        <v>1</v>
      </c>
      <c r="J58" s="73">
        <v>2.7</v>
      </c>
      <c r="K58" s="73"/>
      <c r="L58" s="73">
        <v>13</v>
      </c>
      <c r="M58" s="73"/>
      <c r="N58" s="73">
        <v>43</v>
      </c>
      <c r="O58" s="73"/>
      <c r="P58" s="73">
        <v>40</v>
      </c>
      <c r="Q58" s="73">
        <v>1</v>
      </c>
      <c r="R58" s="73">
        <v>2.5</v>
      </c>
      <c r="S58" s="73">
        <v>1</v>
      </c>
      <c r="T58" s="73">
        <v>2.2</v>
      </c>
      <c r="U58" s="73">
        <v>1</v>
      </c>
      <c r="V58" s="73">
        <v>2.5</v>
      </c>
      <c r="W58" s="73"/>
      <c r="X58" s="73"/>
      <c r="Y58" s="73"/>
      <c r="Z58" s="73"/>
      <c r="AA58" s="73"/>
      <c r="AB58" s="73"/>
      <c r="AC58" s="73"/>
    </row>
    <row r="59" spans="1:29" ht="12.75">
      <c r="A59" s="72" t="s">
        <v>124</v>
      </c>
      <c r="B59" s="72" t="s">
        <v>160</v>
      </c>
      <c r="D59" s="72" t="s">
        <v>180</v>
      </c>
      <c r="E59" s="73"/>
      <c r="F59" s="73">
        <v>0.657</v>
      </c>
      <c r="G59" s="73"/>
      <c r="H59" s="73">
        <v>0.65</v>
      </c>
      <c r="I59" s="73"/>
      <c r="J59" s="73">
        <v>1.64</v>
      </c>
      <c r="K59" s="73"/>
      <c r="L59" s="73">
        <v>92.1</v>
      </c>
      <c r="M59" s="73"/>
      <c r="N59" s="73">
        <v>164</v>
      </c>
      <c r="O59" s="73"/>
      <c r="P59" s="73">
        <v>210</v>
      </c>
      <c r="Q59" s="73">
        <v>1</v>
      </c>
      <c r="R59" s="73">
        <v>0.098</v>
      </c>
      <c r="S59" s="73">
        <v>1</v>
      </c>
      <c r="T59" s="73">
        <v>0.09</v>
      </c>
      <c r="U59" s="73">
        <v>1</v>
      </c>
      <c r="V59" s="73">
        <v>0.098</v>
      </c>
      <c r="W59" s="73"/>
      <c r="X59" s="73"/>
      <c r="Y59" s="73"/>
      <c r="Z59" s="73"/>
      <c r="AA59" s="73"/>
      <c r="AB59" s="73"/>
      <c r="AC59" s="73"/>
    </row>
    <row r="60" spans="1:29" ht="12.75">
      <c r="A60" s="72" t="s">
        <v>124</v>
      </c>
      <c r="B60" s="72" t="s">
        <v>161</v>
      </c>
      <c r="D60" s="72" t="s">
        <v>180</v>
      </c>
      <c r="E60" s="73"/>
      <c r="F60" s="73">
        <v>0.383</v>
      </c>
      <c r="G60" s="73"/>
      <c r="H60" s="73">
        <v>0.325</v>
      </c>
      <c r="I60" s="73"/>
      <c r="J60" s="73">
        <v>0.438</v>
      </c>
      <c r="K60" s="73"/>
      <c r="L60" s="73">
        <v>38</v>
      </c>
      <c r="M60" s="73"/>
      <c r="N60" s="73">
        <v>66.9</v>
      </c>
      <c r="O60" s="73"/>
      <c r="P60" s="73">
        <v>76.8</v>
      </c>
      <c r="Q60" s="73">
        <v>1</v>
      </c>
      <c r="R60" s="73">
        <v>0.098</v>
      </c>
      <c r="S60" s="73">
        <v>1</v>
      </c>
      <c r="T60" s="73">
        <v>0.09</v>
      </c>
      <c r="U60" s="73">
        <v>1</v>
      </c>
      <c r="V60" s="73">
        <v>0.098</v>
      </c>
      <c r="W60" s="73"/>
      <c r="X60" s="73"/>
      <c r="Y60" s="73"/>
      <c r="Z60" s="73"/>
      <c r="AA60" s="73"/>
      <c r="AB60" s="73"/>
      <c r="AC60" s="73"/>
    </row>
    <row r="61" spans="1:29" ht="12.75">
      <c r="A61" s="72" t="s">
        <v>124</v>
      </c>
      <c r="B61" s="72" t="s">
        <v>162</v>
      </c>
      <c r="D61" s="72" t="s">
        <v>180</v>
      </c>
      <c r="E61" s="73">
        <v>1</v>
      </c>
      <c r="F61" s="73">
        <v>0.164</v>
      </c>
      <c r="G61" s="73">
        <v>1</v>
      </c>
      <c r="H61" s="73">
        <v>0.162</v>
      </c>
      <c r="I61" s="73">
        <v>1</v>
      </c>
      <c r="J61" s="73">
        <v>0.164</v>
      </c>
      <c r="K61" s="73">
        <v>1</v>
      </c>
      <c r="L61" s="73">
        <v>0.135</v>
      </c>
      <c r="M61" s="73">
        <v>1</v>
      </c>
      <c r="N61" s="73">
        <v>0.149</v>
      </c>
      <c r="O61" s="73"/>
      <c r="P61" s="73">
        <v>0.163</v>
      </c>
      <c r="Q61" s="73">
        <v>1</v>
      </c>
      <c r="R61" s="73">
        <v>0.147</v>
      </c>
      <c r="S61" s="73">
        <v>1</v>
      </c>
      <c r="T61" s="73">
        <v>0.135</v>
      </c>
      <c r="U61" s="73">
        <v>1</v>
      </c>
      <c r="V61" s="73">
        <v>0.148</v>
      </c>
      <c r="W61" s="73"/>
      <c r="X61" s="73"/>
      <c r="Y61" s="73"/>
      <c r="Z61" s="73"/>
      <c r="AA61" s="73"/>
      <c r="AB61" s="73"/>
      <c r="AC61" s="73"/>
    </row>
    <row r="62" spans="1:29" ht="12.75">
      <c r="A62" s="72" t="s">
        <v>124</v>
      </c>
      <c r="B62" s="72" t="s">
        <v>163</v>
      </c>
      <c r="D62" s="72" t="s">
        <v>180</v>
      </c>
      <c r="E62" s="73"/>
      <c r="F62" s="73">
        <v>13.5</v>
      </c>
      <c r="G62" s="73"/>
      <c r="H62" s="73">
        <v>12.9</v>
      </c>
      <c r="I62" s="73"/>
      <c r="J62" s="73">
        <v>13.3</v>
      </c>
      <c r="K62" s="73"/>
      <c r="L62" s="73">
        <v>57.3</v>
      </c>
      <c r="M62" s="73"/>
      <c r="N62" s="73">
        <v>100</v>
      </c>
      <c r="O62" s="73"/>
      <c r="P62" s="73">
        <v>128</v>
      </c>
      <c r="Q62" s="73">
        <v>1</v>
      </c>
      <c r="R62" s="73">
        <v>0.197</v>
      </c>
      <c r="S62" s="73">
        <v>1</v>
      </c>
      <c r="T62" s="73">
        <v>0.18</v>
      </c>
      <c r="U62" s="73">
        <v>1</v>
      </c>
      <c r="V62" s="73">
        <v>0.197</v>
      </c>
      <c r="W62" s="73"/>
      <c r="X62" s="73"/>
      <c r="Y62" s="73"/>
      <c r="Z62" s="73"/>
      <c r="AA62" s="73"/>
      <c r="AB62" s="73"/>
      <c r="AC62" s="73"/>
    </row>
    <row r="63" spans="1:29" ht="12.75">
      <c r="A63" s="72" t="s">
        <v>124</v>
      </c>
      <c r="B63" s="72" t="s">
        <v>165</v>
      </c>
      <c r="D63" s="72" t="s">
        <v>180</v>
      </c>
      <c r="E63" s="73">
        <v>1</v>
      </c>
      <c r="F63" s="73">
        <v>2.7</v>
      </c>
      <c r="G63" s="73">
        <v>1</v>
      </c>
      <c r="H63" s="73">
        <v>2.7</v>
      </c>
      <c r="I63" s="73">
        <v>1</v>
      </c>
      <c r="J63" s="73">
        <v>2.7</v>
      </c>
      <c r="K63" s="73"/>
      <c r="L63" s="73">
        <v>23</v>
      </c>
      <c r="M63" s="73"/>
      <c r="N63" s="73">
        <v>27</v>
      </c>
      <c r="O63" s="73"/>
      <c r="P63" s="73">
        <v>38</v>
      </c>
      <c r="Q63" s="73">
        <v>1</v>
      </c>
      <c r="R63" s="73">
        <v>2.5</v>
      </c>
      <c r="S63" s="73">
        <v>1</v>
      </c>
      <c r="T63" s="73">
        <v>2.2</v>
      </c>
      <c r="U63" s="73">
        <v>1</v>
      </c>
      <c r="V63" s="73">
        <v>2.5</v>
      </c>
      <c r="W63" s="73"/>
      <c r="X63" s="73"/>
      <c r="Y63" s="73"/>
      <c r="Z63" s="73"/>
      <c r="AA63" s="73"/>
      <c r="AB63" s="73"/>
      <c r="AC63" s="73"/>
    </row>
    <row r="64" spans="1:29" ht="12.75">
      <c r="A64" s="72" t="s">
        <v>124</v>
      </c>
      <c r="B64" s="72" t="s">
        <v>166</v>
      </c>
      <c r="D64" s="72" t="s">
        <v>180</v>
      </c>
      <c r="E64" s="73">
        <v>1</v>
      </c>
      <c r="F64" s="73">
        <v>0.045</v>
      </c>
      <c r="G64" s="73">
        <v>1</v>
      </c>
      <c r="H64" s="73">
        <v>0.049</v>
      </c>
      <c r="I64" s="73">
        <v>1</v>
      </c>
      <c r="J64" s="73">
        <v>0.045</v>
      </c>
      <c r="K64" s="73"/>
      <c r="L64" s="73">
        <v>0.72</v>
      </c>
      <c r="M64" s="73"/>
      <c r="N64" s="73">
        <v>0.67</v>
      </c>
      <c r="O64" s="73"/>
      <c r="P64" s="73">
        <v>0.64</v>
      </c>
      <c r="Q64" s="73">
        <v>1</v>
      </c>
      <c r="R64" s="73">
        <v>1.67</v>
      </c>
      <c r="S64" s="73">
        <v>1</v>
      </c>
      <c r="T64" s="73">
        <v>16.7</v>
      </c>
      <c r="U64" s="73">
        <v>1</v>
      </c>
      <c r="V64" s="73">
        <v>2</v>
      </c>
      <c r="W64" s="73"/>
      <c r="X64" s="73"/>
      <c r="Y64" s="73"/>
      <c r="Z64" s="73"/>
      <c r="AA64" s="73"/>
      <c r="AB64" s="73"/>
      <c r="AC64" s="73"/>
    </row>
    <row r="65" spans="1:29" ht="12.75">
      <c r="A65" s="72" t="s">
        <v>124</v>
      </c>
      <c r="B65" s="72" t="s">
        <v>167</v>
      </c>
      <c r="D65" s="72" t="s">
        <v>180</v>
      </c>
      <c r="E65" s="73">
        <v>1</v>
      </c>
      <c r="F65" s="73">
        <v>1.1</v>
      </c>
      <c r="G65" s="73">
        <v>1</v>
      </c>
      <c r="H65" s="73">
        <v>1.1</v>
      </c>
      <c r="I65" s="73">
        <v>1</v>
      </c>
      <c r="J65" s="73">
        <v>1.1</v>
      </c>
      <c r="K65" s="73">
        <v>1</v>
      </c>
      <c r="L65" s="73">
        <v>11</v>
      </c>
      <c r="M65" s="73">
        <v>1</v>
      </c>
      <c r="N65" s="73">
        <v>8.8</v>
      </c>
      <c r="O65" s="73">
        <v>1</v>
      </c>
      <c r="P65" s="73">
        <v>1</v>
      </c>
      <c r="Q65" s="73">
        <v>1</v>
      </c>
      <c r="R65" s="73">
        <v>0.98</v>
      </c>
      <c r="S65" s="73">
        <v>1</v>
      </c>
      <c r="T65" s="73">
        <v>0.9</v>
      </c>
      <c r="U65" s="73">
        <v>1</v>
      </c>
      <c r="V65" s="73">
        <v>0.98</v>
      </c>
      <c r="W65" s="73"/>
      <c r="X65" s="73"/>
      <c r="Y65" s="73"/>
      <c r="Z65" s="73"/>
      <c r="AA65" s="73"/>
      <c r="AB65" s="73"/>
      <c r="AC65" s="73"/>
    </row>
    <row r="66" spans="1:29" ht="12.75">
      <c r="A66" s="72" t="s">
        <v>124</v>
      </c>
      <c r="B66" s="72" t="s">
        <v>168</v>
      </c>
      <c r="D66" s="72" t="s">
        <v>180</v>
      </c>
      <c r="E66" s="73">
        <v>1</v>
      </c>
      <c r="F66" s="73">
        <v>5.5</v>
      </c>
      <c r="G66" s="73">
        <v>1</v>
      </c>
      <c r="H66" s="73">
        <v>5.4</v>
      </c>
      <c r="I66" s="73">
        <v>1</v>
      </c>
      <c r="J66" s="73">
        <v>5.5</v>
      </c>
      <c r="K66" s="73">
        <v>1</v>
      </c>
      <c r="L66" s="73">
        <v>50</v>
      </c>
      <c r="M66" s="73">
        <v>1</v>
      </c>
      <c r="N66" s="73">
        <v>50</v>
      </c>
      <c r="O66" s="73">
        <v>1</v>
      </c>
      <c r="P66" s="73">
        <v>40</v>
      </c>
      <c r="Q66" s="73">
        <v>1</v>
      </c>
      <c r="R66" s="73">
        <v>4.9</v>
      </c>
      <c r="S66" s="73">
        <v>1</v>
      </c>
      <c r="T66" s="73">
        <v>4.5</v>
      </c>
      <c r="U66" s="73">
        <v>1</v>
      </c>
      <c r="V66" s="73">
        <v>4.9</v>
      </c>
      <c r="W66" s="73"/>
      <c r="X66" s="73"/>
      <c r="Y66" s="73"/>
      <c r="Z66" s="73"/>
      <c r="AA66" s="73"/>
      <c r="AB66" s="73"/>
      <c r="AC66" s="73"/>
    </row>
    <row r="67" spans="2:34" ht="12.75">
      <c r="B67" s="72" t="s">
        <v>49</v>
      </c>
      <c r="D67" s="72" t="s">
        <v>52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>
        <v>529.6</v>
      </c>
      <c r="AF67" s="72">
        <v>576.3</v>
      </c>
      <c r="AH67" s="72">
        <v>668.3</v>
      </c>
    </row>
    <row r="68" spans="2:34" ht="12.75">
      <c r="B68" s="72" t="s">
        <v>102</v>
      </c>
      <c r="D68" s="72" t="s">
        <v>52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>
        <v>131.5</v>
      </c>
      <c r="AF68" s="72">
        <v>104.6</v>
      </c>
      <c r="AH68" s="72">
        <v>105.7</v>
      </c>
    </row>
    <row r="70" spans="2:34" ht="12.75">
      <c r="B70" s="11" t="s">
        <v>99</v>
      </c>
      <c r="D70" s="72" t="s">
        <v>17</v>
      </c>
      <c r="F70" s="72">
        <f>'emiss 2'!$G$62</f>
        <v>9889</v>
      </c>
      <c r="H70" s="72">
        <f>'emiss 2'!$I$62</f>
        <v>9363</v>
      </c>
      <c r="J70" s="72">
        <f>'emiss 2'!$K$62</f>
        <v>9166</v>
      </c>
      <c r="L70" s="72">
        <f>'emiss 2'!$G$62</f>
        <v>9889</v>
      </c>
      <c r="N70" s="72">
        <f>'emiss 2'!$I$62</f>
        <v>9363</v>
      </c>
      <c r="P70" s="72">
        <f>'emiss 2'!$K$62</f>
        <v>9166</v>
      </c>
      <c r="R70" s="72">
        <f>'emiss 2'!$G$62</f>
        <v>9889</v>
      </c>
      <c r="T70" s="72">
        <f>'emiss 2'!$I$62</f>
        <v>9363</v>
      </c>
      <c r="V70" s="72">
        <f>'emiss 2'!$K$62</f>
        <v>9166</v>
      </c>
      <c r="AD70" s="72">
        <f>'emiss 2'!$G$62</f>
        <v>9889</v>
      </c>
      <c r="AF70" s="72">
        <f>'emiss 2'!$I$62</f>
        <v>9363</v>
      </c>
      <c r="AH70" s="72">
        <f>'emiss 2'!$K$62</f>
        <v>9166</v>
      </c>
    </row>
    <row r="71" spans="2:34" ht="12.75">
      <c r="B71" s="11" t="s">
        <v>100</v>
      </c>
      <c r="D71" s="72" t="s">
        <v>18</v>
      </c>
      <c r="F71" s="72">
        <f>'emiss 2'!$G$63</f>
        <v>7.97</v>
      </c>
      <c r="H71" s="72">
        <f>'emiss 2'!$I$63</f>
        <v>8.6</v>
      </c>
      <c r="J71" s="72">
        <f>'emiss 2'!$K$63</f>
        <v>7.93</v>
      </c>
      <c r="L71" s="72">
        <f>'emiss 2'!$G$63</f>
        <v>7.97</v>
      </c>
      <c r="N71" s="72">
        <f>'emiss 2'!$I$63</f>
        <v>8.6</v>
      </c>
      <c r="P71" s="72">
        <f>'emiss 2'!$K$63</f>
        <v>7.93</v>
      </c>
      <c r="R71" s="72">
        <f>'emiss 2'!$G$63</f>
        <v>7.97</v>
      </c>
      <c r="T71" s="72">
        <f>'emiss 2'!$I$63</f>
        <v>8.6</v>
      </c>
      <c r="V71" s="72">
        <f>'emiss 2'!$K$63</f>
        <v>7.93</v>
      </c>
      <c r="AD71" s="72">
        <f>'emiss 2'!$G$63</f>
        <v>7.97</v>
      </c>
      <c r="AF71" s="72">
        <f>'emiss 2'!$I$63</f>
        <v>8.6</v>
      </c>
      <c r="AH71" s="72">
        <f>'emiss 2'!$K$63</f>
        <v>7.93</v>
      </c>
    </row>
    <row r="73" ht="12.75">
      <c r="B73" s="47" t="s">
        <v>101</v>
      </c>
    </row>
    <row r="74" spans="2:36" ht="12.75">
      <c r="B74" s="72" t="s">
        <v>157</v>
      </c>
      <c r="D74" s="72" t="s">
        <v>54</v>
      </c>
      <c r="E74" s="73">
        <v>100</v>
      </c>
      <c r="F74" s="90">
        <f aca="true" t="shared" si="14" ref="F74:F83">F$52*F57*454/F$70*14/(21-F$71)/0.0283/60</f>
        <v>230.46119698984887</v>
      </c>
      <c r="G74" s="73">
        <v>100</v>
      </c>
      <c r="H74" s="90">
        <f aca="true" t="shared" si="15" ref="H74:H83">H$52*H57*454/H$70*14/(21-H$71)/0.0283/60</f>
        <v>232.68705178237403</v>
      </c>
      <c r="I74" s="73">
        <v>100</v>
      </c>
      <c r="J74" s="90">
        <f aca="true" t="shared" si="16" ref="J74:J83">J$52*J57*454/J$70*14/(21-J$71)/0.0283/60</f>
        <v>251.26571241964072</v>
      </c>
      <c r="K74" s="73">
        <v>100</v>
      </c>
      <c r="L74" s="90">
        <f aca="true" t="shared" si="17" ref="L74:L83">L$52*L57*454/L$70*14/(21-L$71)/0.0283/60</f>
        <v>710.2197529380105</v>
      </c>
      <c r="M74" s="73">
        <v>100</v>
      </c>
      <c r="N74" s="90">
        <f aca="true" t="shared" si="18" ref="N74:N83">N$52*N57*454/N$70*14/(21-N$71)/0.0283/60</f>
        <v>642.9514883601588</v>
      </c>
      <c r="O74" s="73">
        <v>100</v>
      </c>
      <c r="P74" s="90">
        <f aca="true" t="shared" si="19" ref="P74:P83">P$52*P57*454/P$70*14/(21-P$71)/0.0283/60</f>
        <v>831.44904092303</v>
      </c>
      <c r="Q74" s="73">
        <v>100</v>
      </c>
      <c r="R74" s="90">
        <f aca="true" t="shared" si="20" ref="R74:R83">R$52*R57*454/R$70*14/(21-R$71)/0.0283/60</f>
        <v>21.061408740185602</v>
      </c>
      <c r="S74" s="73">
        <v>100</v>
      </c>
      <c r="T74" s="90">
        <f aca="true" t="shared" si="21" ref="T74:T83">T$52*T57*454/T$70*14/(21-T$71)/0.0283/60</f>
        <v>20.831280019275013</v>
      </c>
      <c r="U74" s="73">
        <v>100</v>
      </c>
      <c r="V74" s="90">
        <f aca="true" t="shared" si="22" ref="V74:V83">V$52*V57*454/V$70*14/(21-V$71)/0.0283/60</f>
        <v>16.2446582629043</v>
      </c>
      <c r="W74" s="91">
        <f>SUM((R74*Q74/100),(L74*K74/100),(F74*E74/100))/X74*100</f>
        <v>100</v>
      </c>
      <c r="X74" s="90">
        <f aca="true" t="shared" si="23" ref="X74:AB87">AD74</f>
        <v>961.742358668045</v>
      </c>
      <c r="Y74" s="91">
        <f>SUM((T74*S74/100),(N74*M74/100),(H74*G74/100))/Z74*100</f>
        <v>100</v>
      </c>
      <c r="Z74" s="90">
        <f t="shared" si="23"/>
        <v>896.4698201618079</v>
      </c>
      <c r="AA74" s="91">
        <f>SUM((V74*U74/100),(P74*O74/100),(J74*I74/100))/AB74*100</f>
        <v>100</v>
      </c>
      <c r="AB74" s="90">
        <f t="shared" si="23"/>
        <v>1098.959411605575</v>
      </c>
      <c r="AC74" s="72">
        <v>100</v>
      </c>
      <c r="AD74" s="90">
        <f aca="true" t="shared" si="24" ref="AD74:AF85">F74+L74+R74</f>
        <v>961.742358668045</v>
      </c>
      <c r="AE74" s="72">
        <v>100</v>
      </c>
      <c r="AF74" s="90">
        <f t="shared" si="24"/>
        <v>896.4698201618079</v>
      </c>
      <c r="AG74" s="72">
        <v>100</v>
      </c>
      <c r="AH74" s="90">
        <f aca="true" t="shared" si="25" ref="AH74:AH84">J74+P74+V74</f>
        <v>1098.959411605575</v>
      </c>
      <c r="AI74" s="72">
        <f aca="true" t="shared" si="26" ref="AI74:AI85">SUM((AH74*AG74/100),(AF74*AE74/100),(AD74*AC74/100))/AJ74*100/3</f>
        <v>100</v>
      </c>
      <c r="AJ74" s="90">
        <f aca="true" t="shared" si="27" ref="AJ74:AJ85">AVERAGE(AH74,AF74,AD74)</f>
        <v>985.7238634784759</v>
      </c>
    </row>
    <row r="75" spans="2:36" ht="12.75">
      <c r="B75" s="72" t="s">
        <v>159</v>
      </c>
      <c r="D75" s="72" t="s">
        <v>54</v>
      </c>
      <c r="E75" s="73">
        <v>100</v>
      </c>
      <c r="F75" s="90">
        <f t="shared" si="14"/>
        <v>188.55916117351273</v>
      </c>
      <c r="G75" s="73">
        <v>100</v>
      </c>
      <c r="H75" s="90">
        <f t="shared" si="15"/>
        <v>190.38031509466967</v>
      </c>
      <c r="I75" s="73">
        <v>100</v>
      </c>
      <c r="J75" s="90">
        <f t="shared" si="16"/>
        <v>212.00544485407187</v>
      </c>
      <c r="K75" s="73"/>
      <c r="L75" s="90">
        <f t="shared" si="17"/>
        <v>288.52677463106676</v>
      </c>
      <c r="M75" s="73"/>
      <c r="N75" s="90">
        <f t="shared" si="18"/>
        <v>1063.3428461341089</v>
      </c>
      <c r="O75" s="73"/>
      <c r="P75" s="90">
        <f t="shared" si="19"/>
        <v>1108.598721230707</v>
      </c>
      <c r="Q75" s="73">
        <v>100</v>
      </c>
      <c r="R75" s="90">
        <f t="shared" si="20"/>
        <v>18.15638684498759</v>
      </c>
      <c r="S75" s="73">
        <v>100</v>
      </c>
      <c r="T75" s="90">
        <f t="shared" si="21"/>
        <v>16.97363557126112</v>
      </c>
      <c r="U75" s="73">
        <v>100</v>
      </c>
      <c r="V75" s="90">
        <f t="shared" si="22"/>
        <v>13.537215219086912</v>
      </c>
      <c r="W75" s="91">
        <f>SUM((R75*Q75/100),(L75*K75/100),(F75*E75/100))/X75*100</f>
        <v>41.74028320369784</v>
      </c>
      <c r="X75" s="90">
        <f t="shared" si="23"/>
        <v>495.2423226495671</v>
      </c>
      <c r="Y75" s="91">
        <f>SUM((T75*S75/100),(N75*M75/100),(H75*G75/100))/Z75*100</f>
        <v>16.318129642579134</v>
      </c>
      <c r="Z75" s="90">
        <f t="shared" si="23"/>
        <v>1270.6967968000397</v>
      </c>
      <c r="AA75" s="91">
        <f>SUM((V75*U75/100),(P75*O75/100),(J75*I75/100))/AB75*100</f>
        <v>16.905454192023814</v>
      </c>
      <c r="AB75" s="90">
        <f t="shared" si="23"/>
        <v>1334.1413813038657</v>
      </c>
      <c r="AC75" s="72">
        <v>41.74028320369784</v>
      </c>
      <c r="AD75" s="90">
        <f t="shared" si="24"/>
        <v>495.2423226495671</v>
      </c>
      <c r="AE75" s="72">
        <v>16.318129642579134</v>
      </c>
      <c r="AF75" s="90">
        <f t="shared" si="24"/>
        <v>1270.6967968000397</v>
      </c>
      <c r="AG75" s="72">
        <v>16.905454192023814</v>
      </c>
      <c r="AH75" s="90">
        <f t="shared" si="25"/>
        <v>1334.1413813038657</v>
      </c>
      <c r="AI75" s="72">
        <f t="shared" si="26"/>
        <v>20.632114508063022</v>
      </c>
      <c r="AJ75" s="90">
        <f t="shared" si="27"/>
        <v>1033.360166917824</v>
      </c>
    </row>
    <row r="76" spans="2:36" ht="12.75">
      <c r="B76" s="72" t="s">
        <v>160</v>
      </c>
      <c r="D76" s="72" t="s">
        <v>54</v>
      </c>
      <c r="E76" s="73"/>
      <c r="F76" s="90">
        <f t="shared" si="14"/>
        <v>45.8827292188881</v>
      </c>
      <c r="G76" s="73"/>
      <c r="H76" s="90">
        <f t="shared" si="15"/>
        <v>45.83229807834639</v>
      </c>
      <c r="I76" s="73"/>
      <c r="J76" s="90">
        <f t="shared" si="16"/>
        <v>128.77367761506585</v>
      </c>
      <c r="K76" s="73"/>
      <c r="L76" s="90">
        <f t="shared" si="17"/>
        <v>2044.1012264247113</v>
      </c>
      <c r="M76" s="73"/>
      <c r="N76" s="90">
        <f t="shared" si="18"/>
        <v>4055.5401573486947</v>
      </c>
      <c r="O76" s="73"/>
      <c r="P76" s="90">
        <f t="shared" si="19"/>
        <v>5820.143286461212</v>
      </c>
      <c r="Q76" s="73">
        <v>100</v>
      </c>
      <c r="R76" s="90">
        <f t="shared" si="20"/>
        <v>0.7117303643235136</v>
      </c>
      <c r="S76" s="73">
        <v>100</v>
      </c>
      <c r="T76" s="90">
        <f t="shared" si="21"/>
        <v>0.6943760006425003</v>
      </c>
      <c r="U76" s="73">
        <v>100</v>
      </c>
      <c r="V76" s="90">
        <f t="shared" si="22"/>
        <v>0.5306588365882071</v>
      </c>
      <c r="W76" s="91"/>
      <c r="X76" s="90">
        <f t="shared" si="23"/>
        <v>2090.695686007923</v>
      </c>
      <c r="Y76" s="91"/>
      <c r="Z76" s="90">
        <f t="shared" si="23"/>
        <v>4102.066831427684</v>
      </c>
      <c r="AA76" s="91"/>
      <c r="AB76" s="90">
        <f t="shared" si="23"/>
        <v>5949.447622912866</v>
      </c>
      <c r="AD76" s="90">
        <f t="shared" si="24"/>
        <v>2090.695686007923</v>
      </c>
      <c r="AF76" s="90">
        <f t="shared" si="24"/>
        <v>4102.066831427684</v>
      </c>
      <c r="AH76" s="90">
        <f t="shared" si="25"/>
        <v>5949.447622912866</v>
      </c>
      <c r="AJ76" s="90">
        <f t="shared" si="27"/>
        <v>4047.403380116157</v>
      </c>
    </row>
    <row r="77" spans="2:36" ht="12.75">
      <c r="B77" s="72" t="s">
        <v>161</v>
      </c>
      <c r="D77" s="72" t="s">
        <v>54</v>
      </c>
      <c r="E77" s="73"/>
      <c r="F77" s="90">
        <f t="shared" si="14"/>
        <v>26.74746619609458</v>
      </c>
      <c r="G77" s="73"/>
      <c r="H77" s="90">
        <f t="shared" si="15"/>
        <v>22.916149039173195</v>
      </c>
      <c r="I77" s="73"/>
      <c r="J77" s="90">
        <f t="shared" si="16"/>
        <v>34.391994387438324</v>
      </c>
      <c r="K77" s="73"/>
      <c r="L77" s="90">
        <f t="shared" si="17"/>
        <v>843.3859566138875</v>
      </c>
      <c r="M77" s="73"/>
      <c r="N77" s="90">
        <f t="shared" si="18"/>
        <v>1654.3636373574857</v>
      </c>
      <c r="O77" s="73"/>
      <c r="P77" s="90">
        <f t="shared" si="19"/>
        <v>2128.509544762957</v>
      </c>
      <c r="Q77" s="73">
        <v>100</v>
      </c>
      <c r="R77" s="90">
        <f t="shared" si="20"/>
        <v>0.7117303643235136</v>
      </c>
      <c r="S77" s="73">
        <v>100</v>
      </c>
      <c r="T77" s="90">
        <f t="shared" si="21"/>
        <v>0.6943760006425003</v>
      </c>
      <c r="U77" s="73">
        <v>100</v>
      </c>
      <c r="V77" s="90">
        <f t="shared" si="22"/>
        <v>0.5306588365882071</v>
      </c>
      <c r="W77" s="91"/>
      <c r="X77" s="90">
        <f t="shared" si="23"/>
        <v>870.8451531743057</v>
      </c>
      <c r="Y77" s="91"/>
      <c r="Z77" s="90">
        <f t="shared" si="23"/>
        <v>1677.9741623973014</v>
      </c>
      <c r="AA77" s="91"/>
      <c r="AB77" s="90">
        <f t="shared" si="23"/>
        <v>2163.4321979869837</v>
      </c>
      <c r="AD77" s="90">
        <f t="shared" si="24"/>
        <v>870.8451531743057</v>
      </c>
      <c r="AF77" s="90">
        <f t="shared" si="24"/>
        <v>1677.9741623973014</v>
      </c>
      <c r="AH77" s="90">
        <f t="shared" si="25"/>
        <v>2163.4321979869837</v>
      </c>
      <c r="AJ77" s="90">
        <f t="shared" si="27"/>
        <v>1570.7505045195303</v>
      </c>
    </row>
    <row r="78" spans="2:36" ht="12.75">
      <c r="B78" s="72" t="s">
        <v>162</v>
      </c>
      <c r="D78" s="72" t="s">
        <v>54</v>
      </c>
      <c r="E78" s="73">
        <v>100</v>
      </c>
      <c r="F78" s="90">
        <f t="shared" si="14"/>
        <v>11.453223123131886</v>
      </c>
      <c r="G78" s="73">
        <v>100</v>
      </c>
      <c r="H78" s="90">
        <f t="shared" si="15"/>
        <v>11.42281890568018</v>
      </c>
      <c r="I78" s="73">
        <v>100</v>
      </c>
      <c r="J78" s="90">
        <f t="shared" si="16"/>
        <v>12.877367761506587</v>
      </c>
      <c r="K78" s="73">
        <v>100</v>
      </c>
      <c r="L78" s="90">
        <f t="shared" si="17"/>
        <v>2.996239582707232</v>
      </c>
      <c r="M78" s="73">
        <v>100</v>
      </c>
      <c r="N78" s="90">
        <f t="shared" si="18"/>
        <v>3.68460660637168</v>
      </c>
      <c r="O78" s="73"/>
      <c r="P78" s="90">
        <f t="shared" si="19"/>
        <v>4.517539789015131</v>
      </c>
      <c r="Q78" s="73">
        <v>100</v>
      </c>
      <c r="R78" s="90">
        <f t="shared" si="20"/>
        <v>1.0675955464852704</v>
      </c>
      <c r="S78" s="73">
        <v>100</v>
      </c>
      <c r="T78" s="90">
        <f t="shared" si="21"/>
        <v>1.0415640009637503</v>
      </c>
      <c r="U78" s="73">
        <v>100</v>
      </c>
      <c r="V78" s="90">
        <f t="shared" si="22"/>
        <v>0.8014031409699454</v>
      </c>
      <c r="W78" s="91">
        <f>SUM((R78*Q78/100),(L78*K78/100),(F78*E78/100))/X78*100</f>
        <v>100.00000000000003</v>
      </c>
      <c r="X78" s="90">
        <f t="shared" si="23"/>
        <v>15.517058252324388</v>
      </c>
      <c r="Y78" s="91">
        <f>SUM((T78*S78/100),(N78*M78/100),(H78*G78/100))/Z78*100</f>
        <v>100</v>
      </c>
      <c r="Z78" s="90">
        <f t="shared" si="23"/>
        <v>16.14898951301561</v>
      </c>
      <c r="AA78" s="91">
        <f>SUM((V78*U78/100),(P78*O78/100),(J78*I78/100))/AB78*100</f>
        <v>75.17332020975292</v>
      </c>
      <c r="AB78" s="90">
        <f t="shared" si="23"/>
        <v>18.196310691491664</v>
      </c>
      <c r="AC78" s="72">
        <v>100</v>
      </c>
      <c r="AD78" s="90">
        <f t="shared" si="24"/>
        <v>15.517058252324388</v>
      </c>
      <c r="AE78" s="72">
        <v>100</v>
      </c>
      <c r="AF78" s="90">
        <f t="shared" si="24"/>
        <v>16.14898951301561</v>
      </c>
      <c r="AG78" s="72">
        <v>75.17332020975292</v>
      </c>
      <c r="AH78" s="90">
        <f t="shared" si="25"/>
        <v>18.196310691491664</v>
      </c>
      <c r="AI78" s="72">
        <f t="shared" si="26"/>
        <v>90.93997971851611</v>
      </c>
      <c r="AJ78" s="90">
        <f t="shared" si="27"/>
        <v>16.620786152277223</v>
      </c>
    </row>
    <row r="79" spans="2:36" ht="12.75">
      <c r="B79" s="72" t="s">
        <v>163</v>
      </c>
      <c r="D79" s="72" t="s">
        <v>54</v>
      </c>
      <c r="E79" s="73"/>
      <c r="F79" s="90">
        <f t="shared" si="14"/>
        <v>942.7958058675636</v>
      </c>
      <c r="G79" s="73"/>
      <c r="H79" s="90">
        <f t="shared" si="15"/>
        <v>909.5948387856438</v>
      </c>
      <c r="I79" s="73"/>
      <c r="J79" s="90">
        <f t="shared" si="16"/>
        <v>1044.3231172441317</v>
      </c>
      <c r="K79" s="73"/>
      <c r="L79" s="90">
        <f t="shared" si="17"/>
        <v>1271.7372451046251</v>
      </c>
      <c r="M79" s="73"/>
      <c r="N79" s="90">
        <f t="shared" si="18"/>
        <v>2472.890339846765</v>
      </c>
      <c r="O79" s="73"/>
      <c r="P79" s="90">
        <f t="shared" si="19"/>
        <v>3547.5159079382615</v>
      </c>
      <c r="Q79" s="73">
        <v>100</v>
      </c>
      <c r="R79" s="90">
        <f t="shared" si="20"/>
        <v>1.430723283385022</v>
      </c>
      <c r="S79" s="73">
        <v>100</v>
      </c>
      <c r="T79" s="90">
        <f t="shared" si="21"/>
        <v>1.3887520012850005</v>
      </c>
      <c r="U79" s="73">
        <v>100</v>
      </c>
      <c r="V79" s="90">
        <f t="shared" si="22"/>
        <v>1.066732559264049</v>
      </c>
      <c r="W79" s="91"/>
      <c r="X79" s="90">
        <f t="shared" si="23"/>
        <v>2215.9637742555738</v>
      </c>
      <c r="Y79" s="91"/>
      <c r="Z79" s="90">
        <f t="shared" si="23"/>
        <v>3383.873930633694</v>
      </c>
      <c r="AA79" s="91"/>
      <c r="AB79" s="90">
        <f t="shared" si="23"/>
        <v>4592.905757741657</v>
      </c>
      <c r="AD79" s="90">
        <f t="shared" si="24"/>
        <v>2215.9637742555738</v>
      </c>
      <c r="AF79" s="90">
        <f t="shared" si="24"/>
        <v>3383.873930633694</v>
      </c>
      <c r="AH79" s="90">
        <f t="shared" si="25"/>
        <v>4592.905757741657</v>
      </c>
      <c r="AJ79" s="90">
        <f t="shared" si="27"/>
        <v>3397.581154210308</v>
      </c>
    </row>
    <row r="80" spans="2:36" ht="12.75">
      <c r="B80" s="72" t="s">
        <v>165</v>
      </c>
      <c r="D80" s="72" t="s">
        <v>54</v>
      </c>
      <c r="E80" s="73">
        <v>100</v>
      </c>
      <c r="F80" s="90">
        <f t="shared" si="14"/>
        <v>188.55916117351273</v>
      </c>
      <c r="G80" s="73">
        <v>100</v>
      </c>
      <c r="H80" s="90">
        <f t="shared" si="15"/>
        <v>190.38031509466967</v>
      </c>
      <c r="I80" s="73">
        <v>100</v>
      </c>
      <c r="J80" s="90">
        <f t="shared" si="16"/>
        <v>212.00544485407187</v>
      </c>
      <c r="K80" s="73"/>
      <c r="L80" s="90">
        <f t="shared" si="17"/>
        <v>510.47044742419513</v>
      </c>
      <c r="M80" s="73"/>
      <c r="N80" s="90">
        <f t="shared" si="18"/>
        <v>667.6803917586265</v>
      </c>
      <c r="O80" s="73"/>
      <c r="P80" s="90">
        <f t="shared" si="19"/>
        <v>1053.1687851691715</v>
      </c>
      <c r="Q80" s="73">
        <v>100</v>
      </c>
      <c r="R80" s="90">
        <f t="shared" si="20"/>
        <v>18.15638684498759</v>
      </c>
      <c r="S80" s="73">
        <v>100</v>
      </c>
      <c r="T80" s="90">
        <f t="shared" si="21"/>
        <v>16.97363557126112</v>
      </c>
      <c r="U80" s="73">
        <v>100</v>
      </c>
      <c r="V80" s="90">
        <f t="shared" si="22"/>
        <v>13.537215219086912</v>
      </c>
      <c r="W80" s="91">
        <f aca="true" t="shared" si="28" ref="W80:W85">SUM((R80*Q80/100),(L80*K80/100),(F80*E80/100))/X80*100</f>
        <v>28.823143414966097</v>
      </c>
      <c r="X80" s="90">
        <f t="shared" si="23"/>
        <v>717.1859954426955</v>
      </c>
      <c r="Y80" s="91">
        <f aca="true" t="shared" si="29" ref="Y80:Y85">SUM((T80*S80/100),(N80*M80/100),(H80*G80/100))/Z80*100</f>
        <v>23.696664303642258</v>
      </c>
      <c r="Z80" s="90">
        <f t="shared" si="23"/>
        <v>875.0343424245572</v>
      </c>
      <c r="AA80" s="91">
        <f aca="true" t="shared" si="30" ref="AA80:AA85">SUM((V80*U80/100),(P80*O80/100),(J80*I80/100))/AB80*100</f>
        <v>17.638276478429102</v>
      </c>
      <c r="AB80" s="90">
        <f t="shared" si="23"/>
        <v>1278.7114452423302</v>
      </c>
      <c r="AC80" s="72">
        <v>28.823143414966097</v>
      </c>
      <c r="AD80" s="90">
        <f t="shared" si="24"/>
        <v>717.1859954426955</v>
      </c>
      <c r="AE80" s="72">
        <v>23.696664303642258</v>
      </c>
      <c r="AF80" s="90">
        <f t="shared" si="24"/>
        <v>875.0343424245572</v>
      </c>
      <c r="AG80" s="72">
        <v>17.638276478429102</v>
      </c>
      <c r="AH80" s="90">
        <f t="shared" si="25"/>
        <v>1278.7114452423302</v>
      </c>
      <c r="AI80" s="72">
        <f t="shared" si="26"/>
        <v>22.278904797410718</v>
      </c>
      <c r="AJ80" s="90">
        <f t="shared" si="27"/>
        <v>956.9772610365276</v>
      </c>
    </row>
    <row r="81" spans="2:36" ht="12.75">
      <c r="B81" s="72" t="s">
        <v>166</v>
      </c>
      <c r="D81" s="72" t="s">
        <v>54</v>
      </c>
      <c r="E81" s="73">
        <v>100</v>
      </c>
      <c r="F81" s="90">
        <f t="shared" si="14"/>
        <v>3.1426526862252118</v>
      </c>
      <c r="G81" s="73">
        <v>100</v>
      </c>
      <c r="H81" s="90">
        <f t="shared" si="15"/>
        <v>3.45505016282919</v>
      </c>
      <c r="I81" s="73">
        <v>100</v>
      </c>
      <c r="J81" s="90">
        <f t="shared" si="16"/>
        <v>3.533424080901197</v>
      </c>
      <c r="K81" s="73"/>
      <c r="L81" s="90">
        <f t="shared" si="17"/>
        <v>15.979944441105237</v>
      </c>
      <c r="M81" s="73"/>
      <c r="N81" s="90">
        <f t="shared" si="18"/>
        <v>16.568365276973324</v>
      </c>
      <c r="O81" s="73"/>
      <c r="P81" s="90">
        <f t="shared" si="19"/>
        <v>17.73757953969131</v>
      </c>
      <c r="Q81" s="73">
        <v>100</v>
      </c>
      <c r="R81" s="90">
        <f t="shared" si="20"/>
        <v>12.12846641245171</v>
      </c>
      <c r="S81" s="73">
        <v>100</v>
      </c>
      <c r="T81" s="90">
        <f t="shared" si="21"/>
        <v>128.84532456366392</v>
      </c>
      <c r="U81" s="73">
        <v>100</v>
      </c>
      <c r="V81" s="90">
        <f t="shared" si="22"/>
        <v>10.829772175269534</v>
      </c>
      <c r="W81" s="91">
        <f t="shared" si="28"/>
        <v>48.86591804863538</v>
      </c>
      <c r="X81" s="90">
        <f t="shared" si="23"/>
        <v>31.25106353978216</v>
      </c>
      <c r="Y81" s="91">
        <f t="shared" si="29"/>
        <v>88.8704873322717</v>
      </c>
      <c r="Z81" s="90">
        <f t="shared" si="23"/>
        <v>148.86874000346643</v>
      </c>
      <c r="AA81" s="91">
        <f t="shared" si="30"/>
        <v>44.74407829739187</v>
      </c>
      <c r="AB81" s="90">
        <f t="shared" si="23"/>
        <v>32.10077579586204</v>
      </c>
      <c r="AC81" s="72">
        <v>48.86591804863538</v>
      </c>
      <c r="AD81" s="90">
        <f t="shared" si="24"/>
        <v>31.25106353978216</v>
      </c>
      <c r="AE81" s="72">
        <v>88.8704873322717</v>
      </c>
      <c r="AF81" s="90">
        <f t="shared" si="24"/>
        <v>148.86874000346643</v>
      </c>
      <c r="AG81" s="72">
        <v>44.74407829739187</v>
      </c>
      <c r="AH81" s="90">
        <f t="shared" si="25"/>
        <v>32.10077579586204</v>
      </c>
      <c r="AI81" s="72">
        <f t="shared" si="26"/>
        <v>76.30489492848982</v>
      </c>
      <c r="AJ81" s="90">
        <f t="shared" si="27"/>
        <v>70.74019311303688</v>
      </c>
    </row>
    <row r="82" spans="2:36" ht="12.75">
      <c r="B82" s="72" t="s">
        <v>167</v>
      </c>
      <c r="D82" s="72" t="s">
        <v>54</v>
      </c>
      <c r="E82" s="73">
        <v>100</v>
      </c>
      <c r="F82" s="90">
        <f t="shared" si="14"/>
        <v>76.8203989966163</v>
      </c>
      <c r="G82" s="73">
        <v>100</v>
      </c>
      <c r="H82" s="90">
        <f t="shared" si="15"/>
        <v>77.56235059412467</v>
      </c>
      <c r="I82" s="73">
        <v>100</v>
      </c>
      <c r="J82" s="90">
        <f t="shared" si="16"/>
        <v>86.37258864425151</v>
      </c>
      <c r="K82" s="73">
        <v>100</v>
      </c>
      <c r="L82" s="90">
        <f t="shared" si="17"/>
        <v>244.13804007244113</v>
      </c>
      <c r="M82" s="73">
        <v>100</v>
      </c>
      <c r="N82" s="90">
        <f t="shared" si="18"/>
        <v>217.61434990651532</v>
      </c>
      <c r="O82" s="73">
        <v>100</v>
      </c>
      <c r="P82" s="90">
        <f t="shared" si="19"/>
        <v>27.71496803076767</v>
      </c>
      <c r="Q82" s="73">
        <v>100</v>
      </c>
      <c r="R82" s="90">
        <f t="shared" si="20"/>
        <v>7.117303643235136</v>
      </c>
      <c r="S82" s="73">
        <v>100</v>
      </c>
      <c r="T82" s="90">
        <f t="shared" si="21"/>
        <v>6.943760006425004</v>
      </c>
      <c r="U82" s="73">
        <v>100</v>
      </c>
      <c r="V82" s="90">
        <f t="shared" si="22"/>
        <v>5.30658836588207</v>
      </c>
      <c r="W82" s="91">
        <f t="shared" si="28"/>
        <v>100.00000000000003</v>
      </c>
      <c r="X82" s="90">
        <f t="shared" si="23"/>
        <v>328.07574271229254</v>
      </c>
      <c r="Y82" s="91">
        <f t="shared" si="29"/>
        <v>100</v>
      </c>
      <c r="Z82" s="90">
        <f t="shared" si="23"/>
        <v>302.120460507065</v>
      </c>
      <c r="AA82" s="91">
        <f t="shared" si="30"/>
        <v>100</v>
      </c>
      <c r="AB82" s="90">
        <f t="shared" si="23"/>
        <v>119.39414504090124</v>
      </c>
      <c r="AC82" s="72">
        <v>100</v>
      </c>
      <c r="AD82" s="90">
        <f t="shared" si="24"/>
        <v>328.07574271229254</v>
      </c>
      <c r="AE82" s="72">
        <v>100</v>
      </c>
      <c r="AF82" s="90">
        <f t="shared" si="24"/>
        <v>302.120460507065</v>
      </c>
      <c r="AG82" s="72">
        <v>100</v>
      </c>
      <c r="AH82" s="90">
        <f t="shared" si="25"/>
        <v>119.39414504090124</v>
      </c>
      <c r="AI82" s="72">
        <f t="shared" si="26"/>
        <v>100</v>
      </c>
      <c r="AJ82" s="90">
        <f t="shared" si="27"/>
        <v>249.86344942008623</v>
      </c>
    </row>
    <row r="83" spans="2:36" ht="12.75">
      <c r="B83" s="72" t="s">
        <v>168</v>
      </c>
      <c r="D83" s="72" t="s">
        <v>54</v>
      </c>
      <c r="E83" s="73">
        <v>100</v>
      </c>
      <c r="F83" s="90">
        <f t="shared" si="14"/>
        <v>384.1019949830815</v>
      </c>
      <c r="G83" s="73">
        <v>100</v>
      </c>
      <c r="H83" s="90">
        <f t="shared" si="15"/>
        <v>380.76063018933934</v>
      </c>
      <c r="I83" s="73">
        <v>100</v>
      </c>
      <c r="J83" s="90">
        <f t="shared" si="16"/>
        <v>431.86294322125747</v>
      </c>
      <c r="K83" s="73">
        <v>100</v>
      </c>
      <c r="L83" s="90">
        <f t="shared" si="17"/>
        <v>1109.7183639656416</v>
      </c>
      <c r="M83" s="73">
        <v>100</v>
      </c>
      <c r="N83" s="90">
        <f t="shared" si="18"/>
        <v>1236.4451699233825</v>
      </c>
      <c r="O83" s="73">
        <v>100</v>
      </c>
      <c r="P83" s="90">
        <f t="shared" si="19"/>
        <v>1108.598721230707</v>
      </c>
      <c r="Q83" s="73">
        <v>100</v>
      </c>
      <c r="R83" s="90">
        <f t="shared" si="20"/>
        <v>35.586518216175676</v>
      </c>
      <c r="S83" s="73">
        <v>100</v>
      </c>
      <c r="T83" s="90">
        <f t="shared" si="21"/>
        <v>34.718800032125024</v>
      </c>
      <c r="U83" s="73">
        <v>100</v>
      </c>
      <c r="V83" s="90">
        <f t="shared" si="22"/>
        <v>26.53294182941036</v>
      </c>
      <c r="W83" s="91">
        <f t="shared" si="28"/>
        <v>100</v>
      </c>
      <c r="X83" s="90">
        <f t="shared" si="23"/>
        <v>1529.4068771648988</v>
      </c>
      <c r="Y83" s="91">
        <f t="shared" si="29"/>
        <v>100</v>
      </c>
      <c r="Z83" s="90">
        <f t="shared" si="23"/>
        <v>1651.9246001448469</v>
      </c>
      <c r="AA83" s="91">
        <f t="shared" si="30"/>
        <v>100</v>
      </c>
      <c r="AB83" s="90">
        <f t="shared" si="23"/>
        <v>1566.994606281375</v>
      </c>
      <c r="AC83" s="72">
        <v>100</v>
      </c>
      <c r="AD83" s="90">
        <f t="shared" si="24"/>
        <v>1529.4068771648988</v>
      </c>
      <c r="AE83" s="72">
        <v>100</v>
      </c>
      <c r="AF83" s="90">
        <f t="shared" si="24"/>
        <v>1651.9246001448469</v>
      </c>
      <c r="AG83" s="72">
        <v>100</v>
      </c>
      <c r="AH83" s="90">
        <f t="shared" si="25"/>
        <v>1566.994606281375</v>
      </c>
      <c r="AI83" s="72">
        <f t="shared" si="26"/>
        <v>100</v>
      </c>
      <c r="AJ83" s="90">
        <f t="shared" si="27"/>
        <v>1582.7753611970402</v>
      </c>
    </row>
    <row r="84" spans="2:36" ht="12.75">
      <c r="B84" s="72" t="s">
        <v>55</v>
      </c>
      <c r="D84" s="72" t="s">
        <v>54</v>
      </c>
      <c r="E84" s="73">
        <v>100</v>
      </c>
      <c r="F84" s="90">
        <f>F80+F78</f>
        <v>200.01238429664463</v>
      </c>
      <c r="G84" s="73">
        <v>100</v>
      </c>
      <c r="H84" s="90">
        <f>H80+H78</f>
        <v>201.80313400034984</v>
      </c>
      <c r="I84" s="73">
        <v>100</v>
      </c>
      <c r="J84" s="90">
        <f>J80+J78</f>
        <v>224.88281261557844</v>
      </c>
      <c r="K84" s="72">
        <f>L78/F84*100</f>
        <v>1.4980270312979296</v>
      </c>
      <c r="L84" s="90">
        <f>L80+L78</f>
        <v>513.4666870069024</v>
      </c>
      <c r="M84" s="72">
        <f>N78/H84*100</f>
        <v>1.825842113217772</v>
      </c>
      <c r="N84" s="90">
        <f>N80+N78</f>
        <v>671.3649983649981</v>
      </c>
      <c r="P84" s="90">
        <f>P80+P78</f>
        <v>1057.6863249581866</v>
      </c>
      <c r="Q84" s="73">
        <v>100</v>
      </c>
      <c r="R84" s="90">
        <f>R80/2+R78/2</f>
        <v>9.611991195736431</v>
      </c>
      <c r="S84" s="73">
        <v>100</v>
      </c>
      <c r="T84" s="90">
        <f>T80/2+T78/2</f>
        <v>9.007599786112435</v>
      </c>
      <c r="U84" s="73">
        <v>100</v>
      </c>
      <c r="V84" s="90">
        <f>V80/2+V78/2</f>
        <v>7.169309180028429</v>
      </c>
      <c r="W84" s="91">
        <f t="shared" si="28"/>
        <v>30.053786657150077</v>
      </c>
      <c r="X84" s="90">
        <f t="shared" si="23"/>
        <v>723.0910624992835</v>
      </c>
      <c r="Y84" s="91">
        <f t="shared" si="29"/>
        <v>25.286208918487414</v>
      </c>
      <c r="Z84" s="90">
        <f t="shared" si="23"/>
        <v>882.1757321514604</v>
      </c>
      <c r="AA84" s="91">
        <f t="shared" si="30"/>
        <v>17.99218456886901</v>
      </c>
      <c r="AB84" s="90">
        <f t="shared" si="23"/>
        <v>1289.7384467537934</v>
      </c>
      <c r="AC84" s="72">
        <v>30.053786657150077</v>
      </c>
      <c r="AD84" s="90">
        <f t="shared" si="24"/>
        <v>723.0910624992835</v>
      </c>
      <c r="AE84" s="72">
        <v>25.286208918487414</v>
      </c>
      <c r="AF84" s="90">
        <f t="shared" si="24"/>
        <v>882.1757321514604</v>
      </c>
      <c r="AG84" s="72">
        <v>17.99218456886901</v>
      </c>
      <c r="AH84" s="90">
        <f t="shared" si="25"/>
        <v>1289.7384467537934</v>
      </c>
      <c r="AI84" s="72">
        <f t="shared" si="26"/>
        <v>23.227493895307656</v>
      </c>
      <c r="AJ84" s="90">
        <f t="shared" si="27"/>
        <v>965.0017471348457</v>
      </c>
    </row>
    <row r="85" spans="2:36" ht="12.75">
      <c r="B85" s="72" t="s">
        <v>56</v>
      </c>
      <c r="D85" s="72" t="s">
        <v>54</v>
      </c>
      <c r="E85" s="72">
        <f>F75/F85*100</f>
        <v>16.281734306217214</v>
      </c>
      <c r="F85" s="90">
        <f>F77+F75+F79</f>
        <v>1158.1024332371708</v>
      </c>
      <c r="G85" s="72">
        <f>H75/H85*100</f>
        <v>16.954474097331243</v>
      </c>
      <c r="H85" s="90">
        <f>H77+H75+H79</f>
        <v>1122.8913029194866</v>
      </c>
      <c r="I85" s="72">
        <f>J75/J85*100</f>
        <v>16.425355882710793</v>
      </c>
      <c r="J85" s="90">
        <f>J77+J75+J79</f>
        <v>1290.720556485642</v>
      </c>
      <c r="L85" s="90">
        <f>L77+L75+L79</f>
        <v>2403.6499763495794</v>
      </c>
      <c r="N85" s="90">
        <f>N77+N75+N79</f>
        <v>5190.596823338359</v>
      </c>
      <c r="P85" s="90">
        <f>P77+P75+P79</f>
        <v>6784.624173931925</v>
      </c>
      <c r="Q85" s="73">
        <v>100</v>
      </c>
      <c r="R85" s="90">
        <f>R77/2+R75/2+R79/2</f>
        <v>10.149420246348063</v>
      </c>
      <c r="S85" s="73">
        <v>100</v>
      </c>
      <c r="T85" s="90">
        <f>T77/2+T75/2+T79/2</f>
        <v>9.52838178659431</v>
      </c>
      <c r="U85" s="73">
        <v>100</v>
      </c>
      <c r="V85" s="90">
        <f>V77/2+V75/2+V79/2</f>
        <v>7.567303307469584</v>
      </c>
      <c r="W85" s="91">
        <f t="shared" si="28"/>
        <v>5.563103099872868</v>
      </c>
      <c r="X85" s="90">
        <f t="shared" si="23"/>
        <v>3571.9018298330984</v>
      </c>
      <c r="Y85" s="91">
        <f t="shared" si="29"/>
        <v>3.161603273167652</v>
      </c>
      <c r="Z85" s="90">
        <f t="shared" si="23"/>
        <v>6323.01650804444</v>
      </c>
      <c r="AA85" s="91">
        <f t="shared" si="30"/>
        <v>2.7165054777956135</v>
      </c>
      <c r="AB85" s="90">
        <f t="shared" si="23"/>
        <v>8082.912033725037</v>
      </c>
      <c r="AC85" s="72">
        <v>5.563103099872868</v>
      </c>
      <c r="AD85" s="90">
        <f t="shared" si="24"/>
        <v>3571.9018298330984</v>
      </c>
      <c r="AE85" s="72">
        <v>3.161603273167652</v>
      </c>
      <c r="AF85" s="90">
        <f>H85+N85+T85</f>
        <v>6323.01650804444</v>
      </c>
      <c r="AG85" s="72">
        <v>2.7165054777956135</v>
      </c>
      <c r="AH85" s="90">
        <f>J85+P85+V85</f>
        <v>8082.912033725037</v>
      </c>
      <c r="AI85" s="72">
        <f t="shared" si="26"/>
        <v>3.4386242037256456</v>
      </c>
      <c r="AJ85" s="90">
        <f t="shared" si="27"/>
        <v>5992.6101238675255</v>
      </c>
    </row>
    <row r="86" spans="2:37" ht="12.75">
      <c r="B86" s="72" t="s">
        <v>49</v>
      </c>
      <c r="D86" s="72" t="s">
        <v>60</v>
      </c>
      <c r="E86" s="73"/>
      <c r="F86" s="90"/>
      <c r="G86" s="73"/>
      <c r="H86" s="90"/>
      <c r="I86" s="73"/>
      <c r="J86" s="90"/>
      <c r="K86" s="73"/>
      <c r="L86" s="90"/>
      <c r="M86" s="73"/>
      <c r="N86" s="90"/>
      <c r="O86" s="73"/>
      <c r="P86" s="90"/>
      <c r="Q86" s="73"/>
      <c r="R86" s="90"/>
      <c r="S86" s="73"/>
      <c r="T86" s="90"/>
      <c r="U86" s="73"/>
      <c r="V86" s="90"/>
      <c r="W86" s="90"/>
      <c r="X86" s="90">
        <f t="shared" si="23"/>
        <v>15384.995956968683</v>
      </c>
      <c r="Y86" s="90"/>
      <c r="Z86" s="90">
        <f t="shared" si="23"/>
        <v>18580.530676058544</v>
      </c>
      <c r="AA86" s="90"/>
      <c r="AB86" s="90">
        <f t="shared" si="23"/>
        <v>20881.525518559232</v>
      </c>
      <c r="AC86" s="90"/>
      <c r="AD86" s="90">
        <f>AD67*454*1000/AD$70/0.0283/60*14/(21-AD$71)</f>
        <v>15384.995956968683</v>
      </c>
      <c r="AF86" s="90">
        <f>AF67*454*1000/AF$70/0.0283/60*14/(21-AF$71)</f>
        <v>18580.530676058544</v>
      </c>
      <c r="AH86" s="90">
        <f>AH67*454*1000/AH$70/0.0283/60*14/(21-AH$71)</f>
        <v>20881.525518559232</v>
      </c>
      <c r="AJ86" s="90">
        <f>AVERAGE(AH86,AF86,AD86)</f>
        <v>18282.350717195488</v>
      </c>
      <c r="AK86" s="72" t="s">
        <v>181</v>
      </c>
    </row>
    <row r="87" spans="2:37" ht="12.75">
      <c r="B87" s="72" t="s">
        <v>102</v>
      </c>
      <c r="D87" s="72" t="s">
        <v>54</v>
      </c>
      <c r="E87" s="73"/>
      <c r="F87" s="90"/>
      <c r="G87" s="73"/>
      <c r="H87" s="90"/>
      <c r="I87" s="73"/>
      <c r="J87" s="90"/>
      <c r="K87" s="73"/>
      <c r="L87" s="90"/>
      <c r="M87" s="73"/>
      <c r="N87" s="90"/>
      <c r="O87" s="73"/>
      <c r="P87" s="90"/>
      <c r="Q87" s="73"/>
      <c r="R87" s="90"/>
      <c r="S87" s="73"/>
      <c r="T87" s="90"/>
      <c r="U87" s="73"/>
      <c r="V87" s="90"/>
      <c r="W87" s="90"/>
      <c r="X87" s="90">
        <f t="shared" si="23"/>
        <v>3820103.792185389</v>
      </c>
      <c r="Y87" s="90"/>
      <c r="Z87" s="90">
        <f t="shared" si="23"/>
        <v>3372416.2913685986</v>
      </c>
      <c r="AA87" s="90"/>
      <c r="AB87" s="90">
        <f t="shared" si="23"/>
        <v>3302674.3188862945</v>
      </c>
      <c r="AC87" s="90"/>
      <c r="AD87" s="90">
        <f>AD68*454*1000000/AD$70/0.0283/60*14/(21-AD$71)</f>
        <v>3820103.792185389</v>
      </c>
      <c r="AF87" s="90">
        <f>AF68*454*1000000/AF$70/0.0283/60*14/(21-AF$71)</f>
        <v>3372416.2913685986</v>
      </c>
      <c r="AH87" s="90">
        <f>AH68*454*1000000/AH$70/0.0283/60*14/(21-AH$71)</f>
        <v>3302674.3188862945</v>
      </c>
      <c r="AJ87" s="90">
        <f>AVERAGE(AH87,AF87,AD87)</f>
        <v>3498398.1341467607</v>
      </c>
      <c r="AK87" s="72" t="s">
        <v>181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B1">
      <selection activeCell="E5" sqref="E5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8.7109375" style="0" customWidth="1"/>
    <col min="6" max="6" width="8.140625" style="0" customWidth="1"/>
    <col min="7" max="7" width="8.28125" style="0" customWidth="1"/>
  </cols>
  <sheetData>
    <row r="1" spans="2:6" ht="12.75">
      <c r="B1" s="8" t="s">
        <v>64</v>
      </c>
      <c r="C1" s="14"/>
      <c r="D1" s="14"/>
      <c r="E1" s="14"/>
      <c r="F1" s="14"/>
    </row>
    <row r="2" spans="2:7" ht="12.75">
      <c r="B2" s="14"/>
      <c r="C2" s="14"/>
      <c r="D2" s="14"/>
      <c r="E2" s="48" t="s">
        <v>110</v>
      </c>
      <c r="F2" s="48" t="s">
        <v>111</v>
      </c>
      <c r="G2" s="53" t="s">
        <v>112</v>
      </c>
    </row>
    <row r="3" spans="1:6" ht="12.75">
      <c r="A3" t="s">
        <v>82</v>
      </c>
      <c r="B3" s="8" t="s">
        <v>151</v>
      </c>
      <c r="C3" s="14"/>
      <c r="D3" s="14"/>
      <c r="E3" s="14"/>
      <c r="F3" s="14"/>
    </row>
    <row r="4" spans="2:6" ht="12.75">
      <c r="B4" s="14"/>
      <c r="C4" s="14"/>
      <c r="D4" s="14"/>
      <c r="F4" s="14"/>
    </row>
    <row r="5" spans="2:5" ht="12.75">
      <c r="B5" t="s">
        <v>108</v>
      </c>
      <c r="C5" t="s">
        <v>109</v>
      </c>
      <c r="E5">
        <f>972.6*9/5+32</f>
        <v>1782.6799999999998</v>
      </c>
    </row>
    <row r="6" spans="2:5" ht="12.75">
      <c r="B6" t="s">
        <v>138</v>
      </c>
      <c r="C6" t="s">
        <v>139</v>
      </c>
      <c r="E6">
        <v>1831</v>
      </c>
    </row>
    <row r="7" spans="2:5" ht="12.75">
      <c r="B7" t="s">
        <v>136</v>
      </c>
      <c r="C7" t="s">
        <v>137</v>
      </c>
      <c r="E7">
        <v>4380</v>
      </c>
    </row>
    <row r="9" spans="1:3" ht="12.75">
      <c r="A9" t="s">
        <v>82</v>
      </c>
      <c r="B9" s="8" t="s">
        <v>152</v>
      </c>
      <c r="C9" s="14"/>
    </row>
    <row r="10" spans="2:3" ht="12.75">
      <c r="B10" s="14"/>
      <c r="C10" s="14"/>
    </row>
    <row r="11" spans="2:6" ht="12.75">
      <c r="B11" t="s">
        <v>108</v>
      </c>
      <c r="C11" t="s">
        <v>109</v>
      </c>
      <c r="E11">
        <f>976*9/5-32</f>
        <v>1724.8</v>
      </c>
      <c r="F11">
        <f>981*9/5-32</f>
        <v>1733.8</v>
      </c>
    </row>
    <row r="12" spans="2:6" ht="12.75">
      <c r="B12" t="s">
        <v>138</v>
      </c>
      <c r="C12" t="s">
        <v>139</v>
      </c>
      <c r="E12">
        <v>1733</v>
      </c>
      <c r="F12">
        <v>1775</v>
      </c>
    </row>
    <row r="13" spans="2:6" ht="12.75">
      <c r="B13" t="s">
        <v>136</v>
      </c>
      <c r="C13" t="s">
        <v>137</v>
      </c>
      <c r="E13">
        <v>4390</v>
      </c>
      <c r="F13">
        <v>4320</v>
      </c>
    </row>
    <row r="15" spans="1:3" ht="12.75">
      <c r="A15" t="s">
        <v>82</v>
      </c>
      <c r="B15" s="8" t="s">
        <v>153</v>
      </c>
      <c r="C15" s="14"/>
    </row>
    <row r="16" spans="2:3" ht="12.75">
      <c r="B16" s="14"/>
      <c r="C16" s="14"/>
    </row>
    <row r="17" spans="2:6" ht="12.75">
      <c r="B17" t="s">
        <v>108</v>
      </c>
      <c r="C17" t="s">
        <v>109</v>
      </c>
      <c r="E17">
        <f>975*9/5-32</f>
        <v>1723</v>
      </c>
      <c r="F17">
        <f>967*9/5-32</f>
        <v>1708.6</v>
      </c>
    </row>
    <row r="18" spans="2:6" ht="12.75">
      <c r="B18" t="s">
        <v>138</v>
      </c>
      <c r="C18" t="s">
        <v>139</v>
      </c>
      <c r="E18">
        <v>1749</v>
      </c>
      <c r="F18">
        <v>1713</v>
      </c>
    </row>
    <row r="19" spans="2:6" ht="12.75">
      <c r="B19" t="s">
        <v>136</v>
      </c>
      <c r="C19" t="s">
        <v>137</v>
      </c>
      <c r="E19">
        <v>4620</v>
      </c>
      <c r="F19">
        <v>4650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4.7109375" style="0" customWidth="1"/>
    <col min="4" max="4" width="5.140625" style="0" customWidth="1"/>
  </cols>
  <sheetData>
    <row r="1" ht="12.75">
      <c r="C1" s="8" t="s">
        <v>195</v>
      </c>
    </row>
    <row r="3" ht="12.75">
      <c r="C3" s="18" t="s">
        <v>121</v>
      </c>
    </row>
    <row r="5" spans="1:31" s="76" customFormat="1" ht="12.75">
      <c r="A5" s="76" t="s">
        <v>121</v>
      </c>
      <c r="B5" s="76" t="s">
        <v>191</v>
      </c>
      <c r="C5" s="76" t="s">
        <v>193</v>
      </c>
      <c r="D5" s="76" t="s">
        <v>109</v>
      </c>
      <c r="E5" s="77">
        <v>1673</v>
      </c>
      <c r="F5" s="77">
        <v>1678</v>
      </c>
      <c r="G5" s="77">
        <v>1680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</row>
    <row r="6" spans="1:22" s="76" customFormat="1" ht="12.75">
      <c r="A6" s="76" t="s">
        <v>121</v>
      </c>
      <c r="B6" s="76" t="s">
        <v>192</v>
      </c>
      <c r="C6" s="76" t="s">
        <v>194</v>
      </c>
      <c r="D6" s="76" t="s">
        <v>109</v>
      </c>
      <c r="E6" s="77">
        <v>436</v>
      </c>
      <c r="F6" s="77">
        <v>440</v>
      </c>
      <c r="G6" s="77">
        <v>441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5:22" s="76" customFormat="1" ht="12.75"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3:22" s="76" customFormat="1" ht="12.75">
      <c r="C8" s="18" t="s">
        <v>124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5:22" s="76" customFormat="1" ht="12.75"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31" s="76" customFormat="1" ht="12.75">
      <c r="A10" s="76" t="s">
        <v>124</v>
      </c>
      <c r="B10" s="76" t="s">
        <v>191</v>
      </c>
      <c r="C10" s="76" t="s">
        <v>193</v>
      </c>
      <c r="D10" s="76" t="s">
        <v>109</v>
      </c>
      <c r="E10" s="77">
        <v>1661</v>
      </c>
      <c r="F10" s="77">
        <v>1662</v>
      </c>
      <c r="G10" s="77">
        <v>1682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</row>
    <row r="11" spans="1:22" s="76" customFormat="1" ht="12.75">
      <c r="A11" s="76" t="s">
        <v>124</v>
      </c>
      <c r="B11" s="76" t="s">
        <v>192</v>
      </c>
      <c r="C11" s="76" t="s">
        <v>194</v>
      </c>
      <c r="D11" s="76" t="s">
        <v>109</v>
      </c>
      <c r="E11" s="77">
        <v>452</v>
      </c>
      <c r="F11" s="77">
        <v>446</v>
      </c>
      <c r="G11" s="77">
        <v>449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2004-02-25T16:30:40Z</cp:lastPrinted>
  <dcterms:created xsi:type="dcterms:W3CDTF">2000-01-10T00:44:42Z</dcterms:created>
  <dcterms:modified xsi:type="dcterms:W3CDTF">2004-02-25T16:30:47Z</dcterms:modified>
  <cp:category/>
  <cp:version/>
  <cp:contentType/>
  <cp:contentStatus/>
</cp:coreProperties>
</file>