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45" firstSheet="1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</sheets>
  <definedNames>
    <definedName name="_xlnm.Print_Area" localSheetId="9">'df c10'!$A$1:$R$41</definedName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<sst xmlns="http://schemas.openxmlformats.org/spreadsheetml/2006/main" count="1689" uniqueCount="260">
  <si>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</si>
  <si>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</si>
  <si>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</si>
  <si>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</si>
  <si>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</si>
  <si>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</si>
  <si>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</si>
  <si>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</si>
  <si>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</si>
  <si>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</si>
  <si>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</si>
  <si>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</si>
  <si>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</si>
  <si>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</si>
  <si>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</si>
  <si>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</si>
  <si>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</si>
  <si>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</si>
  <si>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</si>
  <si>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</si>
  <si>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</si>
  <si>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</si>
  <si>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</si>
  <si>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</si>
  <si>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</si>
  <si>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</si>
  <si>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</si>
  <si>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</si>
  <si>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</si>
  <si>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</si>
  <si>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</si>
  <si>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</si>
  <si>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</si>
  <si>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</si>
  <si>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</si>
  <si>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</si>
  <si>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</si>
  <si>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</si>
  <si>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</si>
  <si>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</si>
  <si>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</si>
  <si>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</si>
  <si>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</si>
  <si>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</si>
  <si>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</si>
  <si>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</si>
  <si>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</si>
  <si>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</si>
  <si>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</si>
  <si>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</si>
  <si>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</si>
  <si>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</si>
  <si>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</si>
  <si>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</si>
  <si>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</si>
  <si>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SVM</t>
  </si>
  <si>
    <t>LVM</t>
  </si>
  <si>
    <t>O2 (%)</t>
  </si>
  <si>
    <t>TEQ Cond Avg</t>
  </si>
  <si>
    <t>Total Cond Avg</t>
  </si>
  <si>
    <t>mg/dscm</t>
  </si>
  <si>
    <t>HW</t>
  </si>
  <si>
    <t>CO</t>
  </si>
  <si>
    <t>HC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</si>
  <si>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</si>
  <si>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</si>
  <si>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</si>
  <si>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</si>
  <si>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</si>
  <si>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</si>
  <si>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</si>
  <si>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</si>
  <si>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</si>
  <si>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</si>
  <si>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</si>
  <si>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</si>
  <si>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</si>
  <si>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</si>
  <si>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</si>
  <si>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</si>
  <si>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</si>
  <si>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</si>
  <si>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</si>
  <si>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</si>
  <si>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</si>
  <si>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</si>
  <si>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</si>
  <si>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</si>
  <si>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</si>
  <si>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</si>
  <si>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</si>
  <si>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</si>
  <si>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</si>
  <si>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</si>
  <si>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</si>
  <si>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</si>
  <si>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</si>
  <si>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</si>
  <si>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</si>
  <si>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</si>
  <si>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</si>
  <si>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</si>
  <si>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n</t>
  </si>
  <si>
    <t>Phase I ID No.</t>
  </si>
  <si>
    <t>Silver</t>
  </si>
  <si>
    <t>Arsenic</t>
  </si>
  <si>
    <t>Barium</t>
  </si>
  <si>
    <t>Cadmium</t>
  </si>
  <si>
    <t>Nickel</t>
  </si>
  <si>
    <t>Antimony</t>
  </si>
  <si>
    <t>Selenium</t>
  </si>
  <si>
    <t>Thallium</t>
  </si>
  <si>
    <t>Zinc</t>
  </si>
  <si>
    <t>CO (RA)</t>
  </si>
  <si>
    <t>in H2O</t>
  </si>
  <si>
    <t>gpm</t>
  </si>
  <si>
    <t>Run 2</t>
  </si>
  <si>
    <t>CO (MHRA)</t>
  </si>
  <si>
    <t xml:space="preserve">POHC </t>
  </si>
  <si>
    <t>POHC Feedrate</t>
  </si>
  <si>
    <t>Emission Rate</t>
  </si>
  <si>
    <t>Stack Gas Flowrate</t>
  </si>
  <si>
    <t>Oxygen</t>
  </si>
  <si>
    <t>Feedrate MTEC Calculations</t>
  </si>
  <si>
    <t>Run 4</t>
  </si>
  <si>
    <t>Run 5</t>
  </si>
  <si>
    <t>Total chlorine</t>
  </si>
  <si>
    <t>TX</t>
  </si>
  <si>
    <t>Chlorine</t>
  </si>
  <si>
    <t>Btu/lb</t>
  </si>
  <si>
    <t>MMBtu/hr</t>
  </si>
  <si>
    <t>TXD008081101</t>
  </si>
  <si>
    <t>Orange</t>
  </si>
  <si>
    <t>Dupont Sabine River Works (SRW)</t>
  </si>
  <si>
    <t>338C1</t>
  </si>
  <si>
    <t>METCO</t>
  </si>
  <si>
    <t>338C2</t>
  </si>
  <si>
    <t>SRW Incinerator</t>
  </si>
  <si>
    <t>Kiln Temp</t>
  </si>
  <si>
    <t>BH inlet temp</t>
  </si>
  <si>
    <t>Venturi pressure drop</t>
  </si>
  <si>
    <t>Venturi water flow</t>
  </si>
  <si>
    <t>Condenser water flow</t>
  </si>
  <si>
    <t>Scrubber water pH</t>
  </si>
  <si>
    <t>Afterburner temp (minimum)</t>
  </si>
  <si>
    <t>Afterburner temp (maximum)</t>
  </si>
  <si>
    <t>Acrylonitrile</t>
  </si>
  <si>
    <t>1,4-dichlorobenzene</t>
  </si>
  <si>
    <t>ppm</t>
  </si>
  <si>
    <t xml:space="preserve">PM/HCl/Cl2 </t>
  </si>
  <si>
    <t>ug/dscm</t>
  </si>
  <si>
    <t>Copper</t>
  </si>
  <si>
    <t>Manganese</t>
  </si>
  <si>
    <t>Total of 11 streams</t>
  </si>
  <si>
    <t>Metals train</t>
  </si>
  <si>
    <t>Cr 6</t>
  </si>
  <si>
    <t>Chromium (via Cr6 train)</t>
  </si>
  <si>
    <t>RCRA</t>
  </si>
  <si>
    <t xml:space="preserve">Metals (As, Cd, Cr, Pb), Cr6 </t>
  </si>
  <si>
    <t xml:space="preserve">PM, HCl/Cl2, metals, Cr6, D/Fs, VOCs/SVOCs, PSD, SO2 (No CO) </t>
  </si>
  <si>
    <t>Trial - risk burn (DRE)</t>
  </si>
  <si>
    <t>Trial - risk burn (Metals)</t>
  </si>
  <si>
    <t>Trial - risk burn, July 25, 26, 28, 2000</t>
  </si>
  <si>
    <t>FF/VS/CD</t>
  </si>
  <si>
    <t>Source Emission Survey of Dupont SRW Incinerator Stack Trial Burn, Orange, TX, July 2000</t>
  </si>
  <si>
    <t>Need spiking report (Appendix R) to calculate total complete feedrates</t>
  </si>
  <si>
    <t>338C10</t>
  </si>
  <si>
    <t>338C11</t>
  </si>
  <si>
    <t>Report Name/Date</t>
  </si>
  <si>
    <t>Report Prepare</t>
  </si>
  <si>
    <t>Testing Firm</t>
  </si>
  <si>
    <t>Testing Dates</t>
  </si>
  <si>
    <t>Condition Descr</t>
  </si>
  <si>
    <t>Content</t>
  </si>
  <si>
    <t>Cond Descr</t>
  </si>
  <si>
    <t>R1</t>
  </si>
  <si>
    <t>R2</t>
  </si>
  <si>
    <t>R3</t>
  </si>
  <si>
    <t/>
  </si>
  <si>
    <t>Sludge</t>
  </si>
  <si>
    <t>Liq aqueous</t>
  </si>
  <si>
    <t>Liq primary</t>
  </si>
  <si>
    <t>Thick slurry</t>
  </si>
  <si>
    <t>Direct burn</t>
  </si>
  <si>
    <t>Containerized</t>
  </si>
  <si>
    <t>Liquid secondary</t>
  </si>
  <si>
    <t>Feedrate</t>
  </si>
  <si>
    <t>Heating value</t>
  </si>
  <si>
    <t>wt %</t>
  </si>
  <si>
    <t>ppmw</t>
  </si>
  <si>
    <t>Condition Description</t>
  </si>
  <si>
    <t>Combustor Class</t>
  </si>
  <si>
    <t>Combustor Type</t>
  </si>
  <si>
    <t>Rotary kiln</t>
  </si>
  <si>
    <t>Baghouse, venturi scrubber, condenser</t>
  </si>
  <si>
    <t>E. I. Dupont Company Trial Burn Test Program Emission Test Results, Orange, Texas, Prepared by Alliance Technologies, Project # 5-954999, August 1990</t>
  </si>
  <si>
    <t>Alliance Technologies</t>
  </si>
  <si>
    <t>Trial burn, MEDIUM TEMP/TYPICAL OP PARAMETERS</t>
  </si>
  <si>
    <t>Trial burn, MAX TEMP/MAX WASTE,CL,ASH FEED</t>
  </si>
  <si>
    <t>Stack Gas Emissions 1</t>
  </si>
  <si>
    <t>Stack Gas Emissions 2</t>
  </si>
  <si>
    <t>Feedstream 1</t>
  </si>
  <si>
    <t>Feedstream 2</t>
  </si>
  <si>
    <t>33811</t>
  </si>
  <si>
    <t>F</t>
  </si>
  <si>
    <t>33815</t>
  </si>
  <si>
    <t>33814</t>
  </si>
  <si>
    <t>Process Information 2</t>
  </si>
  <si>
    <t>Afterburner Temperature</t>
  </si>
  <si>
    <t>FF Temperature</t>
  </si>
  <si>
    <t>FF Pressure Drop</t>
  </si>
  <si>
    <t>VS Temperature</t>
  </si>
  <si>
    <t>VS Pressure Drop</t>
  </si>
  <si>
    <t>Rotary kiln, afterburner.  Kiln has 14.5' diameter, 40' length.  Afterburner: 21 ft wide, 24 ft high.</t>
  </si>
  <si>
    <t>POHC DRE</t>
  </si>
  <si>
    <t>Carbon Tetrachloride</t>
  </si>
  <si>
    <t>Chlorobenzene</t>
  </si>
  <si>
    <t>Trichloro Trifluoro ethane</t>
  </si>
  <si>
    <t>Total Chlorine</t>
  </si>
  <si>
    <t>E1</t>
  </si>
  <si>
    <t>E2</t>
  </si>
  <si>
    <t>Chromium (Hex)</t>
  </si>
  <si>
    <t>Cond Dates</t>
  </si>
  <si>
    <t>July 25, 27, 28, 2000</t>
  </si>
  <si>
    <t>Number of Sister Facilities</t>
  </si>
  <si>
    <t>Liq, sludge</t>
  </si>
  <si>
    <t>APCS Detailed Acronym</t>
  </si>
  <si>
    <t>APCS General Class</t>
  </si>
  <si>
    <t>FF, HEWS</t>
  </si>
  <si>
    <t>Onsite incinerator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</si>
  <si>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</si>
  <si>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</si>
  <si>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</si>
  <si>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</si>
  <si>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</si>
  <si>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</si>
  <si>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</si>
  <si>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</si>
  <si>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</si>
  <si>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Feedstream Number</t>
  </si>
  <si>
    <t>Feed Class</t>
  </si>
  <si>
    <t>F1</t>
  </si>
  <si>
    <t>Sludge HW</t>
  </si>
  <si>
    <t>F2</t>
  </si>
  <si>
    <t>Liq HW</t>
  </si>
  <si>
    <t>F3</t>
  </si>
  <si>
    <t>F4</t>
  </si>
  <si>
    <t>Slurry HW</t>
  </si>
  <si>
    <t>F5</t>
  </si>
  <si>
    <t>F6</t>
  </si>
  <si>
    <t>Solid HW</t>
  </si>
  <si>
    <t>F7</t>
  </si>
  <si>
    <t>F8</t>
  </si>
  <si>
    <t>Thermal Feedrate</t>
  </si>
  <si>
    <t>Feed Class 2</t>
  </si>
  <si>
    <t>Estimated Firing Rate</t>
  </si>
  <si>
    <t>Full ND</t>
  </si>
  <si>
    <t>high NDs?</t>
  </si>
  <si>
    <t>Trichlorotrifluoroethane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</si>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</sst>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0.0E+00"/>
    <numFmt numFmtId="179" formatCode="mm/dd/yy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Helv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1" fontId="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230</v>
      </c>
    </row>
    <row r="2" ht="12.75">
      <c r="A2" t="s">
        <v>231</v>
      </c>
    </row>
    <row r="3" ht="12.75">
      <c r="A3" t="s">
        <v>232</v>
      </c>
    </row>
    <row r="4" ht="12.75">
      <c r="A4" t="s">
        <v>233</v>
      </c>
    </row>
    <row r="5" ht="12.75">
      <c r="A5" t="s">
        <v>234</v>
      </c>
    </row>
    <row r="6" ht="12.75">
      <c r="A6" t="s">
        <v>235</v>
      </c>
    </row>
    <row r="7" ht="12.75">
      <c r="A7" t="s">
        <v>236</v>
      </c>
    </row>
    <row r="8" ht="12.75">
      <c r="A8" t="s">
        <v>237</v>
      </c>
    </row>
    <row r="9" ht="12.75">
      <c r="A9" t="s">
        <v>238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3"/>
  <sheetViews>
    <sheetView workbookViewId="0" topLeftCell="A1">
      <selection activeCell="B9" sqref="B9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5.140625" style="0" customWidth="1"/>
    <col min="5" max="5" width="9.421875" style="0" customWidth="1"/>
    <col min="6" max="6" width="9.8515625" style="0" customWidth="1"/>
    <col min="8" max="8" width="9.8515625" style="0" customWidth="1"/>
    <col min="9" max="9" width="5.57421875" style="54" bestFit="1" customWidth="1"/>
    <col min="11" max="11" width="9.28125" style="0" customWidth="1"/>
    <col min="13" max="13" width="9.28125" style="0" customWidth="1"/>
    <col min="14" max="14" width="5.28125" style="0" customWidth="1"/>
    <col min="16" max="16" width="9.00390625" style="0" customWidth="1"/>
    <col min="18" max="18" width="9.00390625" style="0" customWidth="1"/>
    <col min="19" max="19" width="2.8515625" style="0" customWidth="1"/>
    <col min="22" max="22" width="9.00390625" style="0" customWidth="1"/>
  </cols>
  <sheetData>
    <row r="1" spans="1:22" ht="12.75">
      <c r="A1" s="44" t="s">
        <v>68</v>
      </c>
      <c r="B1" s="30"/>
      <c r="C1" s="30"/>
      <c r="D1" s="30"/>
      <c r="E1" s="37"/>
      <c r="F1" s="38"/>
      <c r="G1" s="37"/>
      <c r="H1" s="38"/>
      <c r="I1" s="41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2.75">
      <c r="A2" s="30" t="s">
        <v>259</v>
      </c>
      <c r="B2" s="30"/>
      <c r="C2" s="30"/>
      <c r="D2" s="30"/>
      <c r="E2" s="37"/>
      <c r="F2" s="38"/>
      <c r="G2" s="37"/>
      <c r="H2" s="38"/>
      <c r="I2" s="4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>
      <c r="A3" s="30" t="s">
        <v>20</v>
      </c>
      <c r="B3" s="30"/>
      <c r="C3" s="12" t="str">
        <f>source!C5</f>
        <v>Dupont Sabine River Works (SRW)</v>
      </c>
      <c r="D3" s="12"/>
      <c r="E3" s="37"/>
      <c r="F3" s="38"/>
      <c r="G3" s="37"/>
      <c r="H3" s="38"/>
      <c r="I3" s="41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2.75">
      <c r="A4" s="30" t="s">
        <v>21</v>
      </c>
      <c r="B4" s="30"/>
      <c r="C4" s="12" t="s">
        <v>166</v>
      </c>
      <c r="D4" s="12"/>
      <c r="E4" s="39"/>
      <c r="F4" s="40"/>
      <c r="G4" s="39"/>
      <c r="H4" s="40"/>
      <c r="I4" s="41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2.75">
      <c r="A5" s="30" t="s">
        <v>22</v>
      </c>
      <c r="B5" s="30"/>
      <c r="C5" s="15" t="s">
        <v>162</v>
      </c>
      <c r="D5" s="15"/>
      <c r="E5" s="15"/>
      <c r="F5" s="15"/>
      <c r="G5" s="15"/>
      <c r="H5" s="15"/>
      <c r="I5" s="49"/>
      <c r="J5" s="15"/>
      <c r="K5" s="37"/>
      <c r="L5" s="15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2.75">
      <c r="A6" s="30"/>
      <c r="B6" s="30"/>
      <c r="C6" s="32"/>
      <c r="D6" s="32"/>
      <c r="E6" s="41"/>
      <c r="F6" s="38"/>
      <c r="G6" s="41"/>
      <c r="H6" s="38"/>
      <c r="I6" s="41"/>
      <c r="J6" s="41"/>
      <c r="K6" s="37"/>
      <c r="L6" s="41"/>
      <c r="M6" s="37"/>
      <c r="N6" s="37"/>
      <c r="O6" s="41"/>
      <c r="P6" s="37"/>
      <c r="Q6" s="41"/>
      <c r="R6" s="37"/>
      <c r="S6" s="37"/>
      <c r="T6" s="41"/>
      <c r="U6" s="41"/>
      <c r="V6" s="37"/>
    </row>
    <row r="7" spans="1:19" ht="12.75">
      <c r="A7" s="30"/>
      <c r="B7" s="30"/>
      <c r="C7" s="32" t="s">
        <v>23</v>
      </c>
      <c r="D7" s="32"/>
      <c r="E7" s="42" t="s">
        <v>116</v>
      </c>
      <c r="F7" s="42"/>
      <c r="G7" s="42"/>
      <c r="H7" s="42"/>
      <c r="I7" s="14"/>
      <c r="J7" s="42" t="s">
        <v>124</v>
      </c>
      <c r="K7" s="42"/>
      <c r="L7" s="42"/>
      <c r="M7" s="42"/>
      <c r="N7" s="14"/>
      <c r="O7" s="42" t="s">
        <v>125</v>
      </c>
      <c r="P7" s="42"/>
      <c r="Q7" s="42"/>
      <c r="R7" s="42"/>
      <c r="S7" s="14"/>
    </row>
    <row r="8" spans="1:19" ht="12.75">
      <c r="A8" s="30"/>
      <c r="B8" s="30"/>
      <c r="C8" s="32" t="s">
        <v>24</v>
      </c>
      <c r="D8" s="30"/>
      <c r="E8" s="41" t="s">
        <v>25</v>
      </c>
      <c r="F8" s="40" t="s">
        <v>26</v>
      </c>
      <c r="G8" s="41" t="s">
        <v>25</v>
      </c>
      <c r="H8" s="40" t="s">
        <v>26</v>
      </c>
      <c r="I8" s="41"/>
      <c r="J8" s="41" t="s">
        <v>25</v>
      </c>
      <c r="K8" s="41" t="s">
        <v>27</v>
      </c>
      <c r="L8" s="41" t="s">
        <v>25</v>
      </c>
      <c r="M8" s="41" t="s">
        <v>27</v>
      </c>
      <c r="N8" s="37"/>
      <c r="O8" s="41" t="s">
        <v>25</v>
      </c>
      <c r="P8" s="41" t="s">
        <v>27</v>
      </c>
      <c r="Q8" s="41" t="s">
        <v>25</v>
      </c>
      <c r="R8" s="41" t="s">
        <v>27</v>
      </c>
      <c r="S8" s="37"/>
    </row>
    <row r="9" spans="1:19" ht="12.75">
      <c r="A9" s="30"/>
      <c r="B9" s="30"/>
      <c r="C9" s="32"/>
      <c r="D9" s="30"/>
      <c r="E9" s="41" t="s">
        <v>256</v>
      </c>
      <c r="F9" s="41" t="s">
        <v>256</v>
      </c>
      <c r="G9" s="41" t="s">
        <v>67</v>
      </c>
      <c r="H9" s="40" t="s">
        <v>67</v>
      </c>
      <c r="I9" s="41"/>
      <c r="J9" s="41" t="s">
        <v>256</v>
      </c>
      <c r="K9" s="41" t="s">
        <v>256</v>
      </c>
      <c r="L9" s="41" t="s">
        <v>67</v>
      </c>
      <c r="M9" s="40" t="s">
        <v>67</v>
      </c>
      <c r="N9" s="37"/>
      <c r="O9" s="41" t="s">
        <v>256</v>
      </c>
      <c r="P9" s="41" t="s">
        <v>256</v>
      </c>
      <c r="Q9" s="41" t="s">
        <v>67</v>
      </c>
      <c r="R9" s="40" t="s">
        <v>67</v>
      </c>
      <c r="S9" s="37"/>
    </row>
    <row r="10" spans="1:22" ht="12.75">
      <c r="A10" s="30" t="s">
        <v>101</v>
      </c>
      <c r="B10" s="30"/>
      <c r="C10" s="30"/>
      <c r="D10" s="30"/>
      <c r="E10" s="37"/>
      <c r="F10" s="38"/>
      <c r="G10" s="37"/>
      <c r="H10" s="38"/>
      <c r="I10" s="41"/>
      <c r="J10" s="37"/>
      <c r="K10" s="37"/>
      <c r="L10" s="37"/>
      <c r="M10" s="37"/>
      <c r="N10" s="37"/>
      <c r="O10" s="33"/>
      <c r="P10" s="37"/>
      <c r="Q10" s="37"/>
      <c r="R10" s="37"/>
      <c r="S10" s="37"/>
      <c r="T10" s="33"/>
      <c r="U10" s="37"/>
      <c r="V10" s="37"/>
    </row>
    <row r="11" spans="1:22" ht="12.75">
      <c r="A11" s="30"/>
      <c r="B11" s="30" t="s">
        <v>28</v>
      </c>
      <c r="C11" s="32">
        <v>1</v>
      </c>
      <c r="D11" s="87" t="s">
        <v>100</v>
      </c>
      <c r="E11" s="87">
        <v>70</v>
      </c>
      <c r="F11" s="35">
        <f aca="true" t="shared" si="0" ref="F11:F35">IF(E11="","",E11*$C11)</f>
        <v>70</v>
      </c>
      <c r="G11" s="35">
        <f aca="true" t="shared" si="1" ref="G11:G35">IF(E11=0,"",IF(D11="nd",E11/2,E11))</f>
        <v>35</v>
      </c>
      <c r="H11" s="35">
        <f aca="true" t="shared" si="2" ref="H11:H35">IF(G11="","",G11*$C11)</f>
        <v>35</v>
      </c>
      <c r="I11" s="87" t="s">
        <v>100</v>
      </c>
      <c r="J11" s="87">
        <v>61.9</v>
      </c>
      <c r="K11" s="35">
        <f aca="true" t="shared" si="3" ref="K11:K35">IF(J11="","",J11*$C11)</f>
        <v>61.9</v>
      </c>
      <c r="L11" s="35">
        <f>IF(J11=0,"",IF(I11="nd",J11/2,J11))</f>
        <v>30.95</v>
      </c>
      <c r="M11" s="35">
        <f aca="true" t="shared" si="4" ref="M11:M35">IF(L11="","",L11*$C11)</f>
        <v>30.95</v>
      </c>
      <c r="N11" s="87" t="s">
        <v>100</v>
      </c>
      <c r="O11" s="87">
        <v>71</v>
      </c>
      <c r="P11" s="43">
        <f aca="true" t="shared" si="5" ref="P11:P35">IF(O11="","",O11*$C11)</f>
        <v>71</v>
      </c>
      <c r="Q11" s="43">
        <f>IF(O11=0,"",IF(N11="nd",O11/2,O11))</f>
        <v>35.5</v>
      </c>
      <c r="R11" s="43">
        <f aca="true" t="shared" si="6" ref="R11:R35">IF(Q11="","",Q11*$C11)</f>
        <v>35.5</v>
      </c>
      <c r="U11" s="43">
        <f>IF(T11=0,"",IF(S11="nd",T11/2,T11))</f>
      </c>
      <c r="V11" s="43">
        <f aca="true" t="shared" si="7" ref="V11:V35">IF(U11="","",U11*$C11)</f>
      </c>
    </row>
    <row r="12" spans="1:22" ht="12.75">
      <c r="A12" s="30"/>
      <c r="B12" s="30" t="s">
        <v>90</v>
      </c>
      <c r="C12" s="32">
        <v>0</v>
      </c>
      <c r="D12" s="87" t="s">
        <v>100</v>
      </c>
      <c r="E12" s="87">
        <v>2862</v>
      </c>
      <c r="F12" s="43">
        <f t="shared" si="0"/>
        <v>0</v>
      </c>
      <c r="G12" s="43">
        <f>IF(E12=0,"",IF(D12="nd",E12/2,E12))</f>
        <v>1431</v>
      </c>
      <c r="H12" s="43">
        <f t="shared" si="2"/>
        <v>0</v>
      </c>
      <c r="I12" s="87" t="s">
        <v>100</v>
      </c>
      <c r="J12" s="87">
        <v>2362</v>
      </c>
      <c r="K12" s="35">
        <f t="shared" si="3"/>
        <v>0</v>
      </c>
      <c r="L12" s="43">
        <f>IF(J12=0,"",IF(I12="nd",J12/2,J12))</f>
        <v>1181</v>
      </c>
      <c r="M12" s="35">
        <f t="shared" si="4"/>
        <v>0</v>
      </c>
      <c r="N12" s="87" t="s">
        <v>100</v>
      </c>
      <c r="O12" s="87">
        <v>2681</v>
      </c>
      <c r="P12" s="43">
        <f t="shared" si="5"/>
        <v>0</v>
      </c>
      <c r="Q12" s="43">
        <f>IF(O12=0,"",IF(N12="nd",O12/2,O12))</f>
        <v>1340.5</v>
      </c>
      <c r="R12" s="43">
        <f t="shared" si="6"/>
        <v>0</v>
      </c>
      <c r="U12" s="43">
        <f>IF(T12=0,"",IF(S12="nd",T12/2,T12))</f>
      </c>
      <c r="V12" s="43">
        <f>IF(U12="","",U12*$C12)</f>
      </c>
    </row>
    <row r="13" spans="1:22" ht="12.75">
      <c r="A13" s="30"/>
      <c r="B13" s="30" t="s">
        <v>29</v>
      </c>
      <c r="C13" s="32">
        <v>0.5</v>
      </c>
      <c r="D13" s="87" t="s">
        <v>100</v>
      </c>
      <c r="E13" s="87">
        <v>270</v>
      </c>
      <c r="F13" s="35">
        <f t="shared" si="0"/>
        <v>135</v>
      </c>
      <c r="G13" s="35">
        <f t="shared" si="1"/>
        <v>135</v>
      </c>
      <c r="H13" s="35">
        <f t="shared" si="2"/>
        <v>67.5</v>
      </c>
      <c r="I13" s="87" t="s">
        <v>100</v>
      </c>
      <c r="J13" s="87">
        <v>222</v>
      </c>
      <c r="K13" s="35">
        <f t="shared" si="3"/>
        <v>111</v>
      </c>
      <c r="L13" s="35">
        <f aca="true" t="shared" si="8" ref="L13:L35">IF(J13=0,"",IF(I13="nd",J13/2,J13))</f>
        <v>111</v>
      </c>
      <c r="M13" s="35">
        <f t="shared" si="4"/>
        <v>55.5</v>
      </c>
      <c r="N13" s="87" t="s">
        <v>100</v>
      </c>
      <c r="O13" s="87">
        <v>258</v>
      </c>
      <c r="P13" s="43">
        <f t="shared" si="5"/>
        <v>129</v>
      </c>
      <c r="Q13" s="43">
        <f aca="true" t="shared" si="9" ref="Q13:Q35">IF(O13=0,"",IF(N13="nd",O13/2,O13))</f>
        <v>129</v>
      </c>
      <c r="R13" s="43">
        <f t="shared" si="6"/>
        <v>64.5</v>
      </c>
      <c r="U13" s="43">
        <f aca="true" t="shared" si="10" ref="U13:U35">IF(T13=0,"",IF(S13="nd",T13/2,T13))</f>
      </c>
      <c r="V13" s="43">
        <f t="shared" si="7"/>
      </c>
    </row>
    <row r="14" spans="1:22" ht="12.75">
      <c r="A14" s="30"/>
      <c r="B14" s="30" t="s">
        <v>91</v>
      </c>
      <c r="C14" s="32">
        <v>0</v>
      </c>
      <c r="D14" s="87" t="s">
        <v>100</v>
      </c>
      <c r="E14" s="87">
        <v>3814</v>
      </c>
      <c r="F14" s="43">
        <f t="shared" si="0"/>
        <v>0</v>
      </c>
      <c r="G14" s="43">
        <f>IF(E14=0,"",IF(D14="nd",E14/2,E14))</f>
        <v>1907</v>
      </c>
      <c r="H14" s="43">
        <f t="shared" si="2"/>
        <v>0</v>
      </c>
      <c r="I14" s="87" t="s">
        <v>100</v>
      </c>
      <c r="J14" s="87">
        <v>3063</v>
      </c>
      <c r="K14" s="35">
        <f t="shared" si="3"/>
        <v>0</v>
      </c>
      <c r="L14" s="43">
        <f>IF(J14=0,"",IF(I14="nd",J14/2,J14))</f>
        <v>1531.5</v>
      </c>
      <c r="M14" s="35">
        <f t="shared" si="4"/>
        <v>0</v>
      </c>
      <c r="N14" s="87" t="s">
        <v>100</v>
      </c>
      <c r="O14" s="87">
        <v>3454</v>
      </c>
      <c r="P14" s="43">
        <f t="shared" si="5"/>
        <v>0</v>
      </c>
      <c r="Q14" s="43">
        <f>IF(O14=0,"",IF(N14="nd",O14/2,O14))</f>
        <v>1727</v>
      </c>
      <c r="R14" s="43">
        <f t="shared" si="6"/>
        <v>0</v>
      </c>
      <c r="U14" s="43">
        <f>IF(T14=0,"",IF(S14="nd",T14/2,T14))</f>
      </c>
      <c r="V14" s="43">
        <f>IF(U14="","",U14*$C14)</f>
      </c>
    </row>
    <row r="15" spans="1:22" ht="12.75">
      <c r="A15" s="30"/>
      <c r="B15" s="30" t="s">
        <v>30</v>
      </c>
      <c r="C15" s="32">
        <v>0.1</v>
      </c>
      <c r="D15" s="87" t="s">
        <v>100</v>
      </c>
      <c r="E15" s="87">
        <v>177</v>
      </c>
      <c r="F15" s="35">
        <f t="shared" si="0"/>
        <v>17.7</v>
      </c>
      <c r="G15" s="35">
        <f t="shared" si="1"/>
        <v>88.5</v>
      </c>
      <c r="H15" s="35">
        <f t="shared" si="2"/>
        <v>8.85</v>
      </c>
      <c r="I15" s="87" t="s">
        <v>100</v>
      </c>
      <c r="J15" s="87">
        <v>144</v>
      </c>
      <c r="K15" s="35">
        <f t="shared" si="3"/>
        <v>14.4</v>
      </c>
      <c r="L15" s="35">
        <f t="shared" si="8"/>
        <v>72</v>
      </c>
      <c r="M15" s="35">
        <f t="shared" si="4"/>
        <v>7.2</v>
      </c>
      <c r="N15" s="87" t="s">
        <v>100</v>
      </c>
      <c r="O15" s="87">
        <v>154</v>
      </c>
      <c r="P15" s="43">
        <f t="shared" si="5"/>
        <v>15.4</v>
      </c>
      <c r="Q15" s="43">
        <f t="shared" si="9"/>
        <v>77</v>
      </c>
      <c r="R15" s="43">
        <f t="shared" si="6"/>
        <v>7.7</v>
      </c>
      <c r="U15" s="43">
        <f t="shared" si="10"/>
      </c>
      <c r="V15" s="43">
        <f t="shared" si="7"/>
      </c>
    </row>
    <row r="16" spans="1:22" ht="12.75">
      <c r="A16" s="30"/>
      <c r="B16" s="30" t="s">
        <v>31</v>
      </c>
      <c r="C16" s="32">
        <v>0.1</v>
      </c>
      <c r="D16" s="87" t="s">
        <v>100</v>
      </c>
      <c r="E16" s="87">
        <v>334</v>
      </c>
      <c r="F16" s="35">
        <f t="shared" si="0"/>
        <v>33.4</v>
      </c>
      <c r="G16" s="35">
        <f t="shared" si="1"/>
        <v>167</v>
      </c>
      <c r="H16" s="35">
        <f t="shared" si="2"/>
        <v>16.7</v>
      </c>
      <c r="I16" s="87" t="s">
        <v>100</v>
      </c>
      <c r="J16" s="87">
        <v>260</v>
      </c>
      <c r="K16" s="35">
        <f t="shared" si="3"/>
        <v>26</v>
      </c>
      <c r="L16" s="35">
        <f t="shared" si="8"/>
        <v>130</v>
      </c>
      <c r="M16" s="35">
        <f t="shared" si="4"/>
        <v>13</v>
      </c>
      <c r="N16" s="87" t="s">
        <v>100</v>
      </c>
      <c r="O16" s="87">
        <v>295</v>
      </c>
      <c r="P16" s="43">
        <f t="shared" si="5"/>
        <v>29.5</v>
      </c>
      <c r="Q16" s="43">
        <f t="shared" si="9"/>
        <v>147.5</v>
      </c>
      <c r="R16" s="43">
        <f t="shared" si="6"/>
        <v>14.75</v>
      </c>
      <c r="U16" s="43">
        <f t="shared" si="10"/>
      </c>
      <c r="V16" s="43">
        <f t="shared" si="7"/>
      </c>
    </row>
    <row r="17" spans="1:22" ht="12.75">
      <c r="A17" s="30"/>
      <c r="B17" s="30" t="s">
        <v>32</v>
      </c>
      <c r="C17" s="32">
        <v>0.1</v>
      </c>
      <c r="D17" s="87" t="s">
        <v>100</v>
      </c>
      <c r="E17" s="87">
        <v>193</v>
      </c>
      <c r="F17" s="35">
        <f t="shared" si="0"/>
        <v>19.3</v>
      </c>
      <c r="G17" s="35">
        <f t="shared" si="1"/>
        <v>96.5</v>
      </c>
      <c r="H17" s="35">
        <f t="shared" si="2"/>
        <v>9.65</v>
      </c>
      <c r="I17" s="87" t="s">
        <v>100</v>
      </c>
      <c r="J17" s="87">
        <v>158</v>
      </c>
      <c r="K17" s="35">
        <f t="shared" si="3"/>
        <v>15.8</v>
      </c>
      <c r="L17" s="35">
        <f t="shared" si="8"/>
        <v>79</v>
      </c>
      <c r="M17" s="35">
        <f t="shared" si="4"/>
        <v>7.9</v>
      </c>
      <c r="N17" s="87" t="s">
        <v>100</v>
      </c>
      <c r="O17" s="87">
        <v>180</v>
      </c>
      <c r="P17" s="43">
        <f t="shared" si="5"/>
        <v>18</v>
      </c>
      <c r="Q17" s="43">
        <f t="shared" si="9"/>
        <v>90</v>
      </c>
      <c r="R17" s="43">
        <f t="shared" si="6"/>
        <v>9</v>
      </c>
      <c r="U17" s="43">
        <f t="shared" si="10"/>
      </c>
      <c r="V17" s="43">
        <f t="shared" si="7"/>
      </c>
    </row>
    <row r="18" spans="1:22" ht="12.75">
      <c r="A18" s="30"/>
      <c r="B18" s="30" t="s">
        <v>92</v>
      </c>
      <c r="C18" s="32">
        <v>0</v>
      </c>
      <c r="D18" s="87" t="s">
        <v>100</v>
      </c>
      <c r="E18" s="87">
        <v>3573</v>
      </c>
      <c r="F18" s="43">
        <f t="shared" si="0"/>
        <v>0</v>
      </c>
      <c r="G18" s="43">
        <f>IF(E18=0,"",IF(D18="nd",E18/2,E18))</f>
        <v>1786.5</v>
      </c>
      <c r="H18" s="43">
        <f t="shared" si="2"/>
        <v>0</v>
      </c>
      <c r="I18" s="87" t="s">
        <v>100</v>
      </c>
      <c r="J18" s="87">
        <v>2724</v>
      </c>
      <c r="K18" s="35">
        <f t="shared" si="3"/>
        <v>0</v>
      </c>
      <c r="L18" s="43">
        <f>IF(J18=0,"",IF(I18="nd",J18/2,J18))</f>
        <v>1362</v>
      </c>
      <c r="M18" s="35">
        <f t="shared" si="4"/>
        <v>0</v>
      </c>
      <c r="N18" s="87" t="s">
        <v>100</v>
      </c>
      <c r="O18" s="87">
        <v>3106</v>
      </c>
      <c r="P18" s="43">
        <f t="shared" si="5"/>
        <v>0</v>
      </c>
      <c r="Q18" s="43">
        <f>IF(O18=0,"",IF(N18="nd",O18/2,O18))</f>
        <v>1553</v>
      </c>
      <c r="R18" s="43">
        <f t="shared" si="6"/>
        <v>0</v>
      </c>
      <c r="U18" s="43">
        <f>IF(T18=0,"",IF(S18="nd",T18/2,T18))</f>
      </c>
      <c r="V18" s="43">
        <f>IF(U18="","",U18*$C18)</f>
      </c>
    </row>
    <row r="19" spans="1:22" ht="12.75">
      <c r="A19" s="30"/>
      <c r="B19" s="30" t="s">
        <v>33</v>
      </c>
      <c r="C19" s="32">
        <v>0.01</v>
      </c>
      <c r="D19" s="87" t="s">
        <v>100</v>
      </c>
      <c r="E19" s="87">
        <v>721</v>
      </c>
      <c r="F19" s="35">
        <f t="shared" si="0"/>
        <v>7.21</v>
      </c>
      <c r="G19" s="35">
        <f t="shared" si="1"/>
        <v>360.5</v>
      </c>
      <c r="H19" s="35">
        <f t="shared" si="2"/>
        <v>3.605</v>
      </c>
      <c r="I19" s="87" t="s">
        <v>100</v>
      </c>
      <c r="J19" s="87">
        <v>486</v>
      </c>
      <c r="K19" s="35">
        <f t="shared" si="3"/>
        <v>4.86</v>
      </c>
      <c r="L19" s="35">
        <f t="shared" si="8"/>
        <v>243</v>
      </c>
      <c r="M19" s="35">
        <f t="shared" si="4"/>
        <v>2.43</v>
      </c>
      <c r="N19" s="87"/>
      <c r="O19" s="87">
        <v>576</v>
      </c>
      <c r="P19" s="43">
        <f t="shared" si="5"/>
        <v>5.76</v>
      </c>
      <c r="Q19" s="43">
        <f t="shared" si="9"/>
        <v>576</v>
      </c>
      <c r="R19" s="43">
        <f t="shared" si="6"/>
        <v>5.76</v>
      </c>
      <c r="U19" s="43">
        <f t="shared" si="10"/>
      </c>
      <c r="V19" s="43">
        <f t="shared" si="7"/>
      </c>
    </row>
    <row r="20" spans="1:22" ht="12.75">
      <c r="A20" s="30"/>
      <c r="B20" s="30" t="s">
        <v>93</v>
      </c>
      <c r="C20" s="32">
        <v>0</v>
      </c>
      <c r="D20" s="87" t="s">
        <v>100</v>
      </c>
      <c r="E20" s="87">
        <v>1426</v>
      </c>
      <c r="F20" s="43">
        <f t="shared" si="0"/>
        <v>0</v>
      </c>
      <c r="G20" s="43">
        <f>IF(E20=0,"",IF(D20="nd",E20/2,E20))</f>
        <v>713</v>
      </c>
      <c r="H20" s="43">
        <f t="shared" si="2"/>
        <v>0</v>
      </c>
      <c r="I20" s="87" t="s">
        <v>100</v>
      </c>
      <c r="J20" s="87">
        <v>945</v>
      </c>
      <c r="K20" s="35">
        <f t="shared" si="3"/>
        <v>0</v>
      </c>
      <c r="L20" s="43">
        <f>IF(J20=0,"",IF(I20="nd",J20/2,J20))</f>
        <v>472.5</v>
      </c>
      <c r="M20" s="35">
        <f t="shared" si="4"/>
        <v>0</v>
      </c>
      <c r="N20" s="87" t="s">
        <v>100</v>
      </c>
      <c r="O20" s="87">
        <v>1130</v>
      </c>
      <c r="P20" s="43">
        <f t="shared" si="5"/>
        <v>0</v>
      </c>
      <c r="Q20" s="43">
        <f>IF(O20=0,"",IF(N20="nd",O20/2,O20))</f>
        <v>565</v>
      </c>
      <c r="R20" s="43">
        <f t="shared" si="6"/>
        <v>0</v>
      </c>
      <c r="U20" s="43">
        <f>IF(T20=0,"",IF(S20="nd",T20/2,T20))</f>
      </c>
      <c r="V20" s="43">
        <f>IF(U20="","",U20*$C20)</f>
      </c>
    </row>
    <row r="21" spans="1:22" ht="12.75">
      <c r="A21" s="30"/>
      <c r="B21" s="30" t="s">
        <v>34</v>
      </c>
      <c r="C21" s="32">
        <v>0.001</v>
      </c>
      <c r="D21" s="87"/>
      <c r="E21" s="87">
        <v>630</v>
      </c>
      <c r="F21" s="35">
        <f t="shared" si="0"/>
        <v>0.63</v>
      </c>
      <c r="G21" s="35">
        <f t="shared" si="1"/>
        <v>630</v>
      </c>
      <c r="H21" s="35">
        <f t="shared" si="2"/>
        <v>0.63</v>
      </c>
      <c r="I21" s="87"/>
      <c r="J21" s="87">
        <v>411</v>
      </c>
      <c r="K21" s="35">
        <f t="shared" si="3"/>
        <v>0.41100000000000003</v>
      </c>
      <c r="L21" s="43">
        <f t="shared" si="8"/>
        <v>411</v>
      </c>
      <c r="M21" s="35">
        <f t="shared" si="4"/>
        <v>0.41100000000000003</v>
      </c>
      <c r="N21" s="87"/>
      <c r="O21" s="87">
        <v>502</v>
      </c>
      <c r="P21" s="43">
        <f t="shared" si="5"/>
        <v>0.502</v>
      </c>
      <c r="Q21" s="43">
        <f t="shared" si="9"/>
        <v>502</v>
      </c>
      <c r="R21" s="43">
        <f t="shared" si="6"/>
        <v>0.502</v>
      </c>
      <c r="U21" s="43">
        <f t="shared" si="10"/>
      </c>
      <c r="V21" s="43">
        <f t="shared" si="7"/>
      </c>
    </row>
    <row r="22" spans="1:22" ht="12.75">
      <c r="A22" s="30"/>
      <c r="B22" s="30" t="s">
        <v>35</v>
      </c>
      <c r="C22" s="32">
        <v>0.1</v>
      </c>
      <c r="D22" s="87" t="s">
        <v>100</v>
      </c>
      <c r="E22" s="87">
        <v>747</v>
      </c>
      <c r="F22" s="35">
        <f t="shared" si="0"/>
        <v>74.7</v>
      </c>
      <c r="G22" s="35">
        <f t="shared" si="1"/>
        <v>373.5</v>
      </c>
      <c r="H22" s="35">
        <f t="shared" si="2"/>
        <v>37.35</v>
      </c>
      <c r="I22" s="87" t="s">
        <v>100</v>
      </c>
      <c r="J22" s="87">
        <v>637</v>
      </c>
      <c r="K22" s="35">
        <f t="shared" si="3"/>
        <v>63.7</v>
      </c>
      <c r="L22" s="43">
        <f t="shared" si="8"/>
        <v>318.5</v>
      </c>
      <c r="M22" s="35">
        <f t="shared" si="4"/>
        <v>31.85</v>
      </c>
      <c r="N22" s="87" t="s">
        <v>100</v>
      </c>
      <c r="O22" s="87">
        <v>789</v>
      </c>
      <c r="P22" s="43">
        <f t="shared" si="5"/>
        <v>78.9</v>
      </c>
      <c r="Q22" s="43">
        <f t="shared" si="9"/>
        <v>394.5</v>
      </c>
      <c r="R22" s="43">
        <f t="shared" si="6"/>
        <v>39.45</v>
      </c>
      <c r="U22" s="43">
        <f t="shared" si="10"/>
      </c>
      <c r="V22" s="43">
        <f t="shared" si="7"/>
      </c>
    </row>
    <row r="23" spans="1:22" ht="12.75">
      <c r="A23" s="30"/>
      <c r="B23" s="30" t="s">
        <v>94</v>
      </c>
      <c r="C23" s="32">
        <v>0</v>
      </c>
      <c r="D23" s="87" t="s">
        <v>100</v>
      </c>
      <c r="E23" s="87">
        <v>20502</v>
      </c>
      <c r="F23" s="43">
        <f t="shared" si="0"/>
        <v>0</v>
      </c>
      <c r="G23" s="43">
        <f>IF(E23=0,"",IF(D23="nd",E23/2,E23))</f>
        <v>10251</v>
      </c>
      <c r="H23" s="43">
        <f t="shared" si="2"/>
        <v>0</v>
      </c>
      <c r="I23" s="87" t="s">
        <v>100</v>
      </c>
      <c r="J23" s="87">
        <v>17702</v>
      </c>
      <c r="K23" s="35">
        <f t="shared" si="3"/>
        <v>0</v>
      </c>
      <c r="L23" s="43">
        <f>IF(J23=0,"",IF(I23="nd",J23/2,J23))</f>
        <v>8851</v>
      </c>
      <c r="M23" s="35">
        <f t="shared" si="4"/>
        <v>0</v>
      </c>
      <c r="N23" s="87" t="s">
        <v>100</v>
      </c>
      <c r="O23" s="87">
        <v>21101</v>
      </c>
      <c r="P23" s="43">
        <f t="shared" si="5"/>
        <v>0</v>
      </c>
      <c r="Q23" s="43">
        <f>IF(O23=0,"",IF(N23="nd",O23/2,O23))</f>
        <v>10550.5</v>
      </c>
      <c r="R23" s="43">
        <f t="shared" si="6"/>
        <v>0</v>
      </c>
      <c r="U23" s="43">
        <f>IF(T23=0,"",IF(S23="nd",T23/2,T23))</f>
      </c>
      <c r="V23" s="43">
        <f>IF(U23="","",U23*$C23)</f>
      </c>
    </row>
    <row r="24" spans="1:22" ht="12.75">
      <c r="A24" s="30"/>
      <c r="B24" s="30" t="s">
        <v>36</v>
      </c>
      <c r="C24" s="32">
        <v>0.05</v>
      </c>
      <c r="D24" s="87" t="s">
        <v>100</v>
      </c>
      <c r="E24" s="87">
        <v>740</v>
      </c>
      <c r="F24" s="43">
        <f t="shared" si="0"/>
        <v>37</v>
      </c>
      <c r="G24" s="43">
        <f t="shared" si="1"/>
        <v>370</v>
      </c>
      <c r="H24" s="43">
        <f t="shared" si="2"/>
        <v>18.5</v>
      </c>
      <c r="I24" s="87" t="s">
        <v>100</v>
      </c>
      <c r="J24" s="87">
        <v>677</v>
      </c>
      <c r="K24" s="35">
        <f t="shared" si="3"/>
        <v>33.85</v>
      </c>
      <c r="L24" s="43">
        <f t="shared" si="8"/>
        <v>338.5</v>
      </c>
      <c r="M24" s="35">
        <f t="shared" si="4"/>
        <v>16.925</v>
      </c>
      <c r="N24" s="87" t="s">
        <v>100</v>
      </c>
      <c r="O24" s="87">
        <v>777</v>
      </c>
      <c r="P24" s="43">
        <f t="shared" si="5"/>
        <v>38.85</v>
      </c>
      <c r="Q24" s="43">
        <f t="shared" si="9"/>
        <v>388.5</v>
      </c>
      <c r="R24" s="43">
        <f t="shared" si="6"/>
        <v>19.425</v>
      </c>
      <c r="U24" s="43">
        <f t="shared" si="10"/>
      </c>
      <c r="V24" s="43">
        <f t="shared" si="7"/>
      </c>
    </row>
    <row r="25" spans="1:22" ht="12.75">
      <c r="A25" s="30"/>
      <c r="B25" s="30" t="s">
        <v>37</v>
      </c>
      <c r="C25" s="32">
        <v>0.5</v>
      </c>
      <c r="D25" s="87" t="s">
        <v>100</v>
      </c>
      <c r="E25" s="87">
        <v>1252</v>
      </c>
      <c r="F25" s="43">
        <f t="shared" si="0"/>
        <v>626</v>
      </c>
      <c r="G25" s="43">
        <f t="shared" si="1"/>
        <v>626</v>
      </c>
      <c r="H25" s="43">
        <f t="shared" si="2"/>
        <v>313</v>
      </c>
      <c r="I25" s="87" t="s">
        <v>100</v>
      </c>
      <c r="J25" s="87">
        <v>1152</v>
      </c>
      <c r="K25" s="35">
        <f t="shared" si="3"/>
        <v>576</v>
      </c>
      <c r="L25" s="43">
        <f t="shared" si="8"/>
        <v>576</v>
      </c>
      <c r="M25" s="35">
        <f t="shared" si="4"/>
        <v>288</v>
      </c>
      <c r="N25" s="87" t="s">
        <v>100</v>
      </c>
      <c r="O25" s="87">
        <v>1514</v>
      </c>
      <c r="P25" s="43">
        <f t="shared" si="5"/>
        <v>757</v>
      </c>
      <c r="Q25" s="43">
        <f t="shared" si="9"/>
        <v>757</v>
      </c>
      <c r="R25" s="43">
        <f t="shared" si="6"/>
        <v>378.5</v>
      </c>
      <c r="U25" s="43">
        <f t="shared" si="10"/>
      </c>
      <c r="V25" s="43">
        <f t="shared" si="7"/>
      </c>
    </row>
    <row r="26" spans="1:22" ht="12.75">
      <c r="A26" s="30"/>
      <c r="B26" s="30" t="s">
        <v>95</v>
      </c>
      <c r="C26" s="32">
        <v>0</v>
      </c>
      <c r="D26" s="87" t="s">
        <v>100</v>
      </c>
      <c r="E26" s="87">
        <v>11602</v>
      </c>
      <c r="F26" s="43">
        <f t="shared" si="0"/>
        <v>0</v>
      </c>
      <c r="G26" s="43">
        <f>IF(E26=0,"",IF(D26="nd",E26/2,E26))</f>
        <v>5801</v>
      </c>
      <c r="H26" s="43">
        <f t="shared" si="2"/>
        <v>0</v>
      </c>
      <c r="I26" s="87" t="s">
        <v>100</v>
      </c>
      <c r="J26" s="87">
        <v>11402</v>
      </c>
      <c r="K26" s="35">
        <f t="shared" si="3"/>
        <v>0</v>
      </c>
      <c r="L26" s="43">
        <f>IF(J26=0,"",IF(I26="nd",J26/2,J26))</f>
        <v>5701</v>
      </c>
      <c r="M26" s="35">
        <f t="shared" si="4"/>
        <v>0</v>
      </c>
      <c r="N26" s="87" t="s">
        <v>100</v>
      </c>
      <c r="O26" s="87">
        <v>13704</v>
      </c>
      <c r="P26" s="43">
        <f t="shared" si="5"/>
        <v>0</v>
      </c>
      <c r="Q26" s="43">
        <f>IF(O26=0,"",IF(N26="nd",O26/2,O26))</f>
        <v>6852</v>
      </c>
      <c r="R26" s="43">
        <f t="shared" si="6"/>
        <v>0</v>
      </c>
      <c r="U26" s="43">
        <f>IF(T26=0,"",IF(S26="nd",T26/2,T26))</f>
      </c>
      <c r="V26" s="43">
        <f>IF(U26="","",U26*$C26)</f>
      </c>
    </row>
    <row r="27" spans="1:22" ht="12.75">
      <c r="A27" s="30"/>
      <c r="B27" s="30" t="s">
        <v>38</v>
      </c>
      <c r="C27" s="32">
        <v>0.1</v>
      </c>
      <c r="D27" s="87" t="s">
        <v>100</v>
      </c>
      <c r="E27" s="87">
        <v>727</v>
      </c>
      <c r="F27" s="43">
        <f t="shared" si="0"/>
        <v>72.7</v>
      </c>
      <c r="G27" s="43">
        <f t="shared" si="1"/>
        <v>363.5</v>
      </c>
      <c r="H27" s="43">
        <f t="shared" si="2"/>
        <v>36.35</v>
      </c>
      <c r="I27" s="87" t="s">
        <v>100</v>
      </c>
      <c r="J27" s="87">
        <v>807</v>
      </c>
      <c r="K27" s="35">
        <f t="shared" si="3"/>
        <v>80.7</v>
      </c>
      <c r="L27" s="43">
        <f t="shared" si="8"/>
        <v>403.5</v>
      </c>
      <c r="M27" s="35">
        <f t="shared" si="4"/>
        <v>40.35</v>
      </c>
      <c r="N27" s="87"/>
      <c r="O27" s="87">
        <v>979</v>
      </c>
      <c r="P27" s="43">
        <f t="shared" si="5"/>
        <v>97.9</v>
      </c>
      <c r="Q27" s="43">
        <f t="shared" si="9"/>
        <v>979</v>
      </c>
      <c r="R27" s="43">
        <f t="shared" si="6"/>
        <v>97.9</v>
      </c>
      <c r="U27" s="43">
        <f t="shared" si="10"/>
      </c>
      <c r="V27" s="43">
        <f t="shared" si="7"/>
      </c>
    </row>
    <row r="28" spans="1:22" ht="12.75">
      <c r="A28" s="30"/>
      <c r="B28" s="30" t="s">
        <v>39</v>
      </c>
      <c r="C28" s="32">
        <v>0.1</v>
      </c>
      <c r="D28" s="87" t="s">
        <v>100</v>
      </c>
      <c r="E28" s="87">
        <v>609</v>
      </c>
      <c r="F28" s="43">
        <f t="shared" si="0"/>
        <v>60.900000000000006</v>
      </c>
      <c r="G28" s="43">
        <f t="shared" si="1"/>
        <v>304.5</v>
      </c>
      <c r="H28" s="43">
        <f t="shared" si="2"/>
        <v>30.450000000000003</v>
      </c>
      <c r="I28" s="87" t="s">
        <v>100</v>
      </c>
      <c r="J28" s="87">
        <v>631</v>
      </c>
      <c r="K28" s="35">
        <f t="shared" si="3"/>
        <v>63.1</v>
      </c>
      <c r="L28" s="43">
        <f t="shared" si="8"/>
        <v>315.5</v>
      </c>
      <c r="M28" s="35">
        <f t="shared" si="4"/>
        <v>31.55</v>
      </c>
      <c r="N28" s="87"/>
      <c r="O28" s="87">
        <v>776</v>
      </c>
      <c r="P28" s="43">
        <f t="shared" si="5"/>
        <v>77.60000000000001</v>
      </c>
      <c r="Q28" s="43">
        <f t="shared" si="9"/>
        <v>776</v>
      </c>
      <c r="R28" s="43">
        <f t="shared" si="6"/>
        <v>77.60000000000001</v>
      </c>
      <c r="U28" s="43">
        <f t="shared" si="10"/>
      </c>
      <c r="V28" s="43">
        <f t="shared" si="7"/>
      </c>
    </row>
    <row r="29" spans="1:22" ht="12.75">
      <c r="A29" s="30"/>
      <c r="B29" s="30" t="s">
        <v>40</v>
      </c>
      <c r="C29" s="32">
        <v>0.1</v>
      </c>
      <c r="D29" s="87" t="s">
        <v>100</v>
      </c>
      <c r="E29" s="87">
        <v>599</v>
      </c>
      <c r="F29" s="43">
        <f t="shared" si="0"/>
        <v>59.900000000000006</v>
      </c>
      <c r="G29" s="43">
        <f t="shared" si="1"/>
        <v>299.5</v>
      </c>
      <c r="H29" s="43">
        <f t="shared" si="2"/>
        <v>29.950000000000003</v>
      </c>
      <c r="I29" s="87" t="s">
        <v>100</v>
      </c>
      <c r="J29" s="87">
        <v>565</v>
      </c>
      <c r="K29" s="35">
        <f t="shared" si="3"/>
        <v>56.5</v>
      </c>
      <c r="L29" s="43">
        <f t="shared" si="8"/>
        <v>282.5</v>
      </c>
      <c r="M29" s="35">
        <f t="shared" si="4"/>
        <v>28.25</v>
      </c>
      <c r="N29" s="87"/>
      <c r="O29" s="87">
        <v>690</v>
      </c>
      <c r="P29" s="43">
        <f t="shared" si="5"/>
        <v>69</v>
      </c>
      <c r="Q29" s="43">
        <f t="shared" si="9"/>
        <v>690</v>
      </c>
      <c r="R29" s="43">
        <f t="shared" si="6"/>
        <v>69</v>
      </c>
      <c r="U29" s="43">
        <f t="shared" si="10"/>
      </c>
      <c r="V29" s="43">
        <f t="shared" si="7"/>
      </c>
    </row>
    <row r="30" spans="1:22" ht="12.75">
      <c r="A30" s="30"/>
      <c r="B30" s="30" t="s">
        <v>41</v>
      </c>
      <c r="C30" s="32">
        <v>0.1</v>
      </c>
      <c r="D30" s="87" t="s">
        <v>100</v>
      </c>
      <c r="E30" s="87">
        <v>286</v>
      </c>
      <c r="F30" s="43">
        <f t="shared" si="0"/>
        <v>28.6</v>
      </c>
      <c r="G30" s="43">
        <f t="shared" si="1"/>
        <v>143</v>
      </c>
      <c r="H30" s="43">
        <f t="shared" si="2"/>
        <v>14.3</v>
      </c>
      <c r="I30" s="87" t="s">
        <v>100</v>
      </c>
      <c r="J30" s="87">
        <v>254</v>
      </c>
      <c r="K30" s="35">
        <f t="shared" si="3"/>
        <v>25.400000000000002</v>
      </c>
      <c r="L30" s="43">
        <f t="shared" si="8"/>
        <v>127</v>
      </c>
      <c r="M30" s="35">
        <f t="shared" si="4"/>
        <v>12.700000000000001</v>
      </c>
      <c r="N30" s="87" t="s">
        <v>100</v>
      </c>
      <c r="O30" s="87">
        <v>308</v>
      </c>
      <c r="P30" s="43">
        <f t="shared" si="5"/>
        <v>30.8</v>
      </c>
      <c r="Q30" s="43">
        <f t="shared" si="9"/>
        <v>154</v>
      </c>
      <c r="R30" s="43">
        <f t="shared" si="6"/>
        <v>15.4</v>
      </c>
      <c r="U30" s="43">
        <f t="shared" si="10"/>
      </c>
      <c r="V30" s="43">
        <f t="shared" si="7"/>
      </c>
    </row>
    <row r="31" spans="1:22" ht="12.75">
      <c r="A31" s="30"/>
      <c r="B31" s="30" t="s">
        <v>96</v>
      </c>
      <c r="C31" s="32">
        <v>0</v>
      </c>
      <c r="D31" s="87" t="s">
        <v>100</v>
      </c>
      <c r="E31" s="87">
        <v>5212</v>
      </c>
      <c r="F31" s="43">
        <f t="shared" si="0"/>
        <v>0</v>
      </c>
      <c r="G31" s="43">
        <f>IF(E31=0,"",IF(D31="nd",E31/2,E31))</f>
        <v>2606</v>
      </c>
      <c r="H31" s="43">
        <f t="shared" si="2"/>
        <v>0</v>
      </c>
      <c r="I31" s="87" t="s">
        <v>100</v>
      </c>
      <c r="J31" s="87">
        <v>5292</v>
      </c>
      <c r="K31" s="35">
        <f t="shared" si="3"/>
        <v>0</v>
      </c>
      <c r="L31" s="43">
        <f>IF(J31=0,"",IF(I31="nd",J31/2,J31))</f>
        <v>2646</v>
      </c>
      <c r="M31" s="35">
        <f t="shared" si="4"/>
        <v>0</v>
      </c>
      <c r="N31" s="87" t="s">
        <v>100</v>
      </c>
      <c r="O31" s="87">
        <v>6517</v>
      </c>
      <c r="P31" s="43">
        <f t="shared" si="5"/>
        <v>0</v>
      </c>
      <c r="Q31" s="43">
        <f>IF(O31=0,"",IF(N31="nd",O31/2,O31))</f>
        <v>3258.5</v>
      </c>
      <c r="R31" s="43">
        <f t="shared" si="6"/>
        <v>0</v>
      </c>
      <c r="U31" s="43">
        <f>IF(T31=0,"",IF(S31="nd",T31/2,T31))</f>
      </c>
      <c r="V31" s="43">
        <f>IF(U31="","",U31*$C31)</f>
      </c>
    </row>
    <row r="32" spans="1:22" ht="12.75">
      <c r="A32" s="30"/>
      <c r="B32" s="30" t="s">
        <v>42</v>
      </c>
      <c r="C32" s="32">
        <v>0.01</v>
      </c>
      <c r="D32" s="87" t="s">
        <v>100</v>
      </c>
      <c r="E32" s="87">
        <v>938</v>
      </c>
      <c r="F32" s="43">
        <f t="shared" si="0"/>
        <v>9.38</v>
      </c>
      <c r="G32" s="43">
        <f t="shared" si="1"/>
        <v>469</v>
      </c>
      <c r="H32" s="43">
        <f t="shared" si="2"/>
        <v>4.69</v>
      </c>
      <c r="I32" s="87" t="s">
        <v>100</v>
      </c>
      <c r="J32" s="87">
        <v>1000</v>
      </c>
      <c r="K32" s="35">
        <f t="shared" si="3"/>
        <v>10</v>
      </c>
      <c r="L32" s="43">
        <f t="shared" si="8"/>
        <v>500</v>
      </c>
      <c r="M32" s="35">
        <f t="shared" si="4"/>
        <v>5</v>
      </c>
      <c r="N32" s="87"/>
      <c r="O32" s="87">
        <v>1257</v>
      </c>
      <c r="P32" s="43">
        <f t="shared" si="5"/>
        <v>12.57</v>
      </c>
      <c r="Q32" s="43">
        <f t="shared" si="9"/>
        <v>1257</v>
      </c>
      <c r="R32" s="43">
        <f t="shared" si="6"/>
        <v>12.57</v>
      </c>
      <c r="U32" s="43">
        <f t="shared" si="10"/>
      </c>
      <c r="V32" s="43">
        <f t="shared" si="7"/>
      </c>
    </row>
    <row r="33" spans="1:22" ht="12.75">
      <c r="A33" s="30"/>
      <c r="B33" s="30" t="s">
        <v>43</v>
      </c>
      <c r="C33" s="32">
        <v>0.01</v>
      </c>
      <c r="D33" s="87" t="s">
        <v>100</v>
      </c>
      <c r="E33" s="87">
        <v>189</v>
      </c>
      <c r="F33" s="43">
        <f t="shared" si="0"/>
        <v>1.8900000000000001</v>
      </c>
      <c r="G33" s="43">
        <f t="shared" si="1"/>
        <v>94.5</v>
      </c>
      <c r="H33" s="43">
        <f t="shared" si="2"/>
        <v>0.9450000000000001</v>
      </c>
      <c r="I33" s="87" t="s">
        <v>100</v>
      </c>
      <c r="J33" s="87">
        <v>186</v>
      </c>
      <c r="K33" s="35">
        <f t="shared" si="3"/>
        <v>1.86</v>
      </c>
      <c r="L33" s="43">
        <f t="shared" si="8"/>
        <v>93</v>
      </c>
      <c r="M33" s="35">
        <f t="shared" si="4"/>
        <v>0.93</v>
      </c>
      <c r="N33" s="87" t="s">
        <v>100</v>
      </c>
      <c r="O33" s="87">
        <v>277</v>
      </c>
      <c r="P33" s="43">
        <f t="shared" si="5"/>
        <v>2.77</v>
      </c>
      <c r="Q33" s="43">
        <f t="shared" si="9"/>
        <v>138.5</v>
      </c>
      <c r="R33" s="43">
        <f t="shared" si="6"/>
        <v>1.385</v>
      </c>
      <c r="U33" s="43">
        <f t="shared" si="10"/>
      </c>
      <c r="V33" s="43">
        <f t="shared" si="7"/>
      </c>
    </row>
    <row r="34" spans="1:22" ht="12.75">
      <c r="A34" s="30"/>
      <c r="B34" s="30" t="s">
        <v>97</v>
      </c>
      <c r="C34" s="32">
        <v>0</v>
      </c>
      <c r="D34" s="87" t="s">
        <v>100</v>
      </c>
      <c r="E34" s="87">
        <v>1534</v>
      </c>
      <c r="F34" s="43">
        <f t="shared" si="0"/>
        <v>0</v>
      </c>
      <c r="G34" s="43">
        <f>IF(E34=0,"",IF(D34="nd",E34/2,E34))</f>
        <v>767</v>
      </c>
      <c r="H34" s="43">
        <f t="shared" si="2"/>
        <v>0</v>
      </c>
      <c r="I34" s="87" t="s">
        <v>100</v>
      </c>
      <c r="J34" s="87">
        <v>1553</v>
      </c>
      <c r="K34" s="35">
        <f t="shared" si="3"/>
        <v>0</v>
      </c>
      <c r="L34" s="43">
        <f>IF(J34=0,"",IF(I34="nd",J34/2,J34))</f>
        <v>776.5</v>
      </c>
      <c r="M34" s="35">
        <f t="shared" si="4"/>
        <v>0</v>
      </c>
      <c r="N34" s="87" t="s">
        <v>100</v>
      </c>
      <c r="O34" s="87">
        <v>2077</v>
      </c>
      <c r="P34" s="43">
        <f t="shared" si="5"/>
        <v>0</v>
      </c>
      <c r="Q34" s="43">
        <f>IF(O34=0,"",IF(N34="nd",O34/2,O34))</f>
        <v>1038.5</v>
      </c>
      <c r="R34" s="43">
        <f t="shared" si="6"/>
        <v>0</v>
      </c>
      <c r="U34" s="43">
        <f>IF(T34=0,"",IF(S34="nd",T34/2,T34))</f>
      </c>
      <c r="V34" s="43">
        <f>IF(U34="","",U34*$C34)</f>
      </c>
    </row>
    <row r="35" spans="1:22" ht="12.75">
      <c r="A35" s="30"/>
      <c r="B35" s="30" t="s">
        <v>44</v>
      </c>
      <c r="C35" s="32">
        <v>0.001</v>
      </c>
      <c r="D35" s="87" t="s">
        <v>100</v>
      </c>
      <c r="E35" s="87">
        <v>250</v>
      </c>
      <c r="F35" s="43">
        <f t="shared" si="0"/>
        <v>0.25</v>
      </c>
      <c r="G35" s="43">
        <f t="shared" si="1"/>
        <v>125</v>
      </c>
      <c r="H35" s="43">
        <f t="shared" si="2"/>
        <v>0.125</v>
      </c>
      <c r="I35" s="87" t="s">
        <v>100</v>
      </c>
      <c r="J35" s="87">
        <v>241</v>
      </c>
      <c r="K35" s="35">
        <f t="shared" si="3"/>
        <v>0.241</v>
      </c>
      <c r="L35" s="43">
        <f t="shared" si="8"/>
        <v>120.5</v>
      </c>
      <c r="M35" s="35">
        <f t="shared" si="4"/>
        <v>0.1205</v>
      </c>
      <c r="N35" s="87"/>
      <c r="O35" s="87">
        <v>345</v>
      </c>
      <c r="P35" s="43">
        <f t="shared" si="5"/>
        <v>0.34500000000000003</v>
      </c>
      <c r="Q35" s="43">
        <f t="shared" si="9"/>
        <v>345</v>
      </c>
      <c r="R35" s="43">
        <f t="shared" si="6"/>
        <v>0.34500000000000003</v>
      </c>
      <c r="U35" s="43">
        <f t="shared" si="10"/>
      </c>
      <c r="V35" s="43">
        <f t="shared" si="7"/>
      </c>
    </row>
    <row r="36" spans="1:22" ht="12.75">
      <c r="A36" s="30"/>
      <c r="B36" s="30"/>
      <c r="C36" s="30"/>
      <c r="D36" s="30"/>
      <c r="E36" s="35"/>
      <c r="F36" s="38"/>
      <c r="G36" s="35"/>
      <c r="H36" s="38"/>
      <c r="I36" s="55"/>
      <c r="J36" s="30"/>
      <c r="K36" s="33"/>
      <c r="L36" s="33"/>
      <c r="M36" s="33"/>
      <c r="N36" s="35"/>
      <c r="O36" s="30"/>
      <c r="P36" s="37"/>
      <c r="Q36" s="35"/>
      <c r="R36" s="37"/>
      <c r="S36" s="35"/>
      <c r="T36" s="15"/>
      <c r="U36" s="35"/>
      <c r="V36" s="37"/>
    </row>
    <row r="37" spans="1:22" ht="12.75">
      <c r="A37" s="30"/>
      <c r="B37" s="30" t="s">
        <v>45</v>
      </c>
      <c r="C37" s="30"/>
      <c r="D37" s="30"/>
      <c r="E37" s="87"/>
      <c r="F37" s="35">
        <v>239.615</v>
      </c>
      <c r="G37" s="35">
        <v>239.615</v>
      </c>
      <c r="H37" s="35">
        <v>239.615</v>
      </c>
      <c r="I37" s="87"/>
      <c r="J37" s="87"/>
      <c r="K37" s="87">
        <v>243.09</v>
      </c>
      <c r="L37" s="87">
        <v>243.09</v>
      </c>
      <c r="M37" s="87">
        <v>243.09</v>
      </c>
      <c r="N37" s="87"/>
      <c r="O37" s="87"/>
      <c r="P37" s="87">
        <v>249.821</v>
      </c>
      <c r="Q37" s="87">
        <v>249.821</v>
      </c>
      <c r="R37" s="87">
        <v>249.821</v>
      </c>
      <c r="S37" s="35"/>
      <c r="T37" s="35"/>
      <c r="U37" s="35"/>
      <c r="V37" s="35"/>
    </row>
    <row r="38" spans="1:22" ht="12.75">
      <c r="A38" s="30"/>
      <c r="B38" s="30" t="s">
        <v>57</v>
      </c>
      <c r="C38" s="30"/>
      <c r="D38" s="30"/>
      <c r="F38" s="35">
        <v>10.1</v>
      </c>
      <c r="G38" s="35">
        <v>10.1</v>
      </c>
      <c r="H38" s="35">
        <v>10.1</v>
      </c>
      <c r="I38"/>
      <c r="K38">
        <v>10.4</v>
      </c>
      <c r="L38">
        <v>10.4</v>
      </c>
      <c r="M38">
        <v>10.4</v>
      </c>
      <c r="P38">
        <v>10.6</v>
      </c>
      <c r="Q38">
        <v>10.6</v>
      </c>
      <c r="R38">
        <v>10.6</v>
      </c>
      <c r="S38" s="35"/>
      <c r="T38" s="35"/>
      <c r="U38" s="35"/>
      <c r="V38" s="35"/>
    </row>
    <row r="39" spans="1:22" ht="12.75">
      <c r="A39" s="30"/>
      <c r="B39" s="30"/>
      <c r="C39" s="30"/>
      <c r="D39" s="30"/>
      <c r="E39" s="35"/>
      <c r="F39" s="15"/>
      <c r="G39" s="35"/>
      <c r="H39" s="15"/>
      <c r="I39" s="49"/>
      <c r="J39" s="35"/>
      <c r="K39" s="36"/>
      <c r="L39" s="33"/>
      <c r="M39" s="36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12.75">
      <c r="A40" s="30"/>
      <c r="B40" s="30" t="s">
        <v>98</v>
      </c>
      <c r="C40" s="38"/>
      <c r="D40" s="38"/>
      <c r="E40" s="33"/>
      <c r="F40" s="34">
        <f>SUM(F11:F35)/1000</f>
        <v>1.2545600000000001</v>
      </c>
      <c r="G40" s="33">
        <f>SUM(G35,G34,G31,G26,G23,G21,G20,G18,G14,G12)/1000</f>
        <v>26.0175</v>
      </c>
      <c r="H40" s="34">
        <f>SUM(H11:H35)/1000</f>
        <v>0.6275950000000001</v>
      </c>
      <c r="I40" s="40"/>
      <c r="J40" s="33"/>
      <c r="K40" s="34">
        <f>SUM(K11:K35)/1000</f>
        <v>1.145722</v>
      </c>
      <c r="L40" s="33">
        <f>SUM(L35,L34,L31,L26,L23,L21,L20,L18,L14,L12)/1000</f>
        <v>23.053</v>
      </c>
      <c r="M40" s="34">
        <f>SUM(M11:M35)/1000</f>
        <v>0.5730665</v>
      </c>
      <c r="N40" s="38"/>
      <c r="O40" s="35"/>
      <c r="P40" s="35">
        <f>SUM(P11:P35)/1000</f>
        <v>1.4348969999999999</v>
      </c>
      <c r="Q40" s="33">
        <f>SUM(Q35,Q34,Q31,Q26,Q23,Q21,Q20,Q18,Q14,Q12)/1000</f>
        <v>27.732</v>
      </c>
      <c r="R40" s="35">
        <f>SUM(R11:R35)/1000</f>
        <v>0.849287</v>
      </c>
      <c r="S40" s="38"/>
      <c r="T40" s="35"/>
      <c r="U40" s="33"/>
      <c r="V40" s="35"/>
    </row>
    <row r="41" spans="1:22" ht="12.75">
      <c r="A41" s="30"/>
      <c r="B41" s="30" t="s">
        <v>46</v>
      </c>
      <c r="C41" s="38"/>
      <c r="D41" s="33">
        <f>(F41-H41)*2/F41*100</f>
        <v>99.94978319091952</v>
      </c>
      <c r="E41" s="35"/>
      <c r="F41" s="34">
        <f>(F40/F37/0.0283*(21-7)/(21-F38))</f>
        <v>0.23762522283647278</v>
      </c>
      <c r="G41" s="34">
        <f>(G40/G37/0.0283*(21-7)/(21-G38))</f>
        <v>4.927954211156046</v>
      </c>
      <c r="H41" s="34">
        <f>(H40/H37/0.0283*(21-7)/(21-H38))</f>
        <v>0.11887227532047583</v>
      </c>
      <c r="I41" s="33">
        <f>(K41-M41)*2/K41*100</f>
        <v>99.96412742358093</v>
      </c>
      <c r="J41" s="35"/>
      <c r="K41" s="35">
        <f>K40/K37/0.0283*(21-7)/(21-K38)</f>
        <v>0.21996211844484836</v>
      </c>
      <c r="L41" s="35">
        <f>(L40/L37/0.0283*(21-7)/(21-L38))</f>
        <v>4.42584389276726</v>
      </c>
      <c r="M41" s="35">
        <f>M40/M37/0.0283*(21-7)/(21-M38)</f>
        <v>0.11002051226194025</v>
      </c>
      <c r="N41" s="33">
        <f>(P41-R41)*2/P41*100</f>
        <v>81.62397719139419</v>
      </c>
      <c r="O41" s="35"/>
      <c r="P41" s="35">
        <f>P40/P37/0.0283*(21-7)/(21-P38)</f>
        <v>0.27321217332735537</v>
      </c>
      <c r="Q41" s="35">
        <f>(Q40/Q37/0.0283*(21-7)/(21-Q38))</f>
        <v>5.280323250180481</v>
      </c>
      <c r="R41" s="35">
        <f>R40/R37/0.0283*(21-7)/(21-R38)</f>
        <v>0.1617088523069389</v>
      </c>
      <c r="S41" s="38"/>
      <c r="T41" s="35"/>
      <c r="U41" s="35"/>
      <c r="V41" s="35"/>
    </row>
    <row r="42" spans="1:22" ht="12.75">
      <c r="A42" s="30"/>
      <c r="B42" s="30"/>
      <c r="C42" s="30"/>
      <c r="D42" s="30"/>
      <c r="E42" s="34"/>
      <c r="F42" s="38"/>
      <c r="G42" s="34"/>
      <c r="H42" s="38"/>
      <c r="I42" s="56"/>
      <c r="J42" s="34"/>
      <c r="K42" s="34"/>
      <c r="L42" s="34"/>
      <c r="M42" s="34"/>
      <c r="N42" s="34"/>
      <c r="O42" s="34"/>
      <c r="P42" s="37"/>
      <c r="Q42" s="34"/>
      <c r="R42" s="37"/>
      <c r="S42" s="34"/>
      <c r="T42" s="34"/>
      <c r="U42" s="34"/>
      <c r="V42" s="37"/>
    </row>
    <row r="43" spans="1:22" ht="12.75">
      <c r="A43" s="35"/>
      <c r="B43" s="30" t="s">
        <v>58</v>
      </c>
      <c r="C43" s="38">
        <f>AVERAGE(H41,M41,R41)</f>
        <v>0.130200546629785</v>
      </c>
      <c r="D43" s="35"/>
      <c r="E43" s="35"/>
      <c r="F43" s="38"/>
      <c r="G43" s="35"/>
      <c r="H43" s="38"/>
      <c r="I43" s="55"/>
      <c r="J43" s="35"/>
      <c r="K43" s="35"/>
      <c r="L43" s="35"/>
      <c r="M43" s="35"/>
      <c r="N43" s="35"/>
      <c r="O43" s="35"/>
      <c r="P43" s="37"/>
      <c r="Q43" s="35"/>
      <c r="R43" s="37"/>
      <c r="S43" s="35"/>
      <c r="T43" s="35"/>
      <c r="U43" s="35"/>
      <c r="V43" s="37"/>
    </row>
    <row r="44" spans="1:22" ht="12.75">
      <c r="A44" s="30"/>
      <c r="B44" s="30" t="s">
        <v>59</v>
      </c>
      <c r="C44" s="38">
        <f>AVERAGE(G41,L41,Q41)</f>
        <v>4.878040451367929</v>
      </c>
      <c r="D44" s="30"/>
      <c r="E44" s="37"/>
      <c r="F44" s="38"/>
      <c r="G44" s="37"/>
      <c r="H44" s="38"/>
      <c r="I44" s="41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spans="1:18" ht="12.75">
      <c r="A54" s="30"/>
      <c r="B54" s="30"/>
      <c r="C54" s="32"/>
      <c r="F54" s="35"/>
      <c r="G54" s="35"/>
      <c r="H54" s="35"/>
      <c r="I54"/>
      <c r="K54" s="35"/>
      <c r="L54" s="35"/>
      <c r="M54" s="35"/>
      <c r="P54" s="43"/>
      <c r="Q54" s="43"/>
      <c r="R54" s="43"/>
    </row>
    <row r="55" spans="1:18" ht="12.75">
      <c r="A55" s="30"/>
      <c r="B55" s="30"/>
      <c r="C55" s="32"/>
      <c r="F55" s="35"/>
      <c r="G55" s="35"/>
      <c r="H55" s="35"/>
      <c r="I55"/>
      <c r="K55" s="35"/>
      <c r="L55" s="35"/>
      <c r="M55" s="35"/>
      <c r="P55" s="43"/>
      <c r="Q55" s="43"/>
      <c r="R55" s="43"/>
    </row>
    <row r="56" spans="1:18" ht="12.75">
      <c r="A56" s="30"/>
      <c r="B56" s="30"/>
      <c r="C56" s="32"/>
      <c r="F56" s="35"/>
      <c r="G56" s="35"/>
      <c r="H56" s="35"/>
      <c r="I56"/>
      <c r="K56" s="35"/>
      <c r="L56" s="35"/>
      <c r="M56" s="35"/>
      <c r="P56" s="43"/>
      <c r="Q56" s="43"/>
      <c r="R56" s="43"/>
    </row>
    <row r="57" spans="1:18" ht="12.75">
      <c r="A57" s="30"/>
      <c r="B57" s="30"/>
      <c r="C57" s="32"/>
      <c r="F57" s="43"/>
      <c r="G57" s="43"/>
      <c r="H57" s="43"/>
      <c r="I57"/>
      <c r="K57" s="35"/>
      <c r="L57" s="43"/>
      <c r="M57" s="35"/>
      <c r="P57" s="43"/>
      <c r="Q57" s="43"/>
      <c r="R57" s="43"/>
    </row>
    <row r="58" spans="1:18" ht="12.75">
      <c r="A58" s="30"/>
      <c r="B58" s="30"/>
      <c r="C58" s="32"/>
      <c r="F58" s="35"/>
      <c r="G58" s="35"/>
      <c r="H58" s="35"/>
      <c r="I58"/>
      <c r="K58" s="35"/>
      <c r="L58" s="35"/>
      <c r="M58" s="35"/>
      <c r="P58" s="43"/>
      <c r="Q58" s="43"/>
      <c r="R58" s="43"/>
    </row>
    <row r="59" spans="1:18" ht="12.75">
      <c r="A59" s="30"/>
      <c r="B59" s="30"/>
      <c r="C59" s="32"/>
      <c r="F59" s="43"/>
      <c r="G59" s="43"/>
      <c r="H59" s="43"/>
      <c r="I59"/>
      <c r="K59" s="35"/>
      <c r="L59" s="43"/>
      <c r="M59" s="35"/>
      <c r="P59" s="43"/>
      <c r="Q59" s="43"/>
      <c r="R59" s="43"/>
    </row>
    <row r="60" spans="1:18" ht="12.75">
      <c r="A60" s="30"/>
      <c r="B60" s="30"/>
      <c r="C60" s="32"/>
      <c r="F60" s="35"/>
      <c r="G60" s="35"/>
      <c r="H60" s="35"/>
      <c r="I60"/>
      <c r="K60" s="35"/>
      <c r="L60" s="43"/>
      <c r="M60" s="35"/>
      <c r="P60" s="43"/>
      <c r="Q60" s="43"/>
      <c r="R60" s="43"/>
    </row>
    <row r="61" spans="1:18" ht="12.75">
      <c r="A61" s="30"/>
      <c r="B61" s="30"/>
      <c r="C61" s="32"/>
      <c r="F61" s="35"/>
      <c r="G61" s="35"/>
      <c r="H61" s="35"/>
      <c r="I61"/>
      <c r="K61" s="35"/>
      <c r="L61" s="43"/>
      <c r="M61" s="35"/>
      <c r="P61" s="43"/>
      <c r="Q61" s="43"/>
      <c r="R61" s="43"/>
    </row>
    <row r="62" spans="1:18" ht="12.75">
      <c r="A62" s="30"/>
      <c r="B62" s="30"/>
      <c r="C62" s="32"/>
      <c r="F62" s="43"/>
      <c r="G62" s="43"/>
      <c r="H62" s="43"/>
      <c r="I62"/>
      <c r="K62" s="35"/>
      <c r="L62" s="43"/>
      <c r="M62" s="35"/>
      <c r="P62" s="43"/>
      <c r="Q62" s="43"/>
      <c r="R62" s="43"/>
    </row>
    <row r="63" spans="1:18" ht="12.75">
      <c r="A63" s="30"/>
      <c r="B63" s="30"/>
      <c r="C63" s="32"/>
      <c r="F63" s="43"/>
      <c r="G63" s="43"/>
      <c r="H63" s="43"/>
      <c r="I63"/>
      <c r="K63" s="35"/>
      <c r="L63" s="43"/>
      <c r="M63" s="35"/>
      <c r="P63" s="43"/>
      <c r="Q63" s="43"/>
      <c r="R63" s="43"/>
    </row>
    <row r="64" spans="1:18" ht="12.75">
      <c r="A64" s="30"/>
      <c r="B64" s="30"/>
      <c r="C64" s="32"/>
      <c r="F64" s="43"/>
      <c r="G64" s="43"/>
      <c r="H64" s="43"/>
      <c r="I64"/>
      <c r="K64" s="35"/>
      <c r="L64" s="43"/>
      <c r="M64" s="35"/>
      <c r="P64" s="43"/>
      <c r="Q64" s="43"/>
      <c r="R64" s="43"/>
    </row>
    <row r="65" spans="1:18" ht="12.75">
      <c r="A65" s="30"/>
      <c r="B65" s="30"/>
      <c r="C65" s="32"/>
      <c r="F65" s="43"/>
      <c r="G65" s="43"/>
      <c r="H65" s="43"/>
      <c r="I65"/>
      <c r="K65" s="35"/>
      <c r="L65" s="43"/>
      <c r="M65" s="35"/>
      <c r="P65" s="43"/>
      <c r="Q65" s="43"/>
      <c r="R65" s="43"/>
    </row>
    <row r="66" spans="1:18" ht="12.75">
      <c r="A66" s="30"/>
      <c r="B66" s="30"/>
      <c r="C66" s="32"/>
      <c r="F66" s="43"/>
      <c r="G66" s="43"/>
      <c r="H66" s="43"/>
      <c r="I66"/>
      <c r="K66" s="35"/>
      <c r="L66" s="43"/>
      <c r="M66" s="35"/>
      <c r="P66" s="43"/>
      <c r="Q66" s="43"/>
      <c r="R66" s="43"/>
    </row>
    <row r="67" spans="1:18" ht="12.75">
      <c r="A67" s="30"/>
      <c r="B67" s="30"/>
      <c r="C67" s="32"/>
      <c r="F67" s="43"/>
      <c r="G67" s="43"/>
      <c r="H67" s="43"/>
      <c r="I67"/>
      <c r="K67" s="35"/>
      <c r="L67" s="43"/>
      <c r="M67" s="35"/>
      <c r="P67" s="43"/>
      <c r="Q67" s="43"/>
      <c r="R67" s="43"/>
    </row>
    <row r="68" spans="1:18" ht="12.75">
      <c r="A68" s="30"/>
      <c r="B68" s="30"/>
      <c r="C68" s="32"/>
      <c r="F68" s="43"/>
      <c r="G68" s="43"/>
      <c r="H68" s="43"/>
      <c r="I68"/>
      <c r="K68" s="35"/>
      <c r="L68" s="43"/>
      <c r="M68" s="35"/>
      <c r="P68" s="43"/>
      <c r="Q68" s="43"/>
      <c r="R68" s="43"/>
    </row>
    <row r="69" spans="1:18" ht="12.75">
      <c r="A69" s="30"/>
      <c r="B69" s="30"/>
      <c r="C69" s="32"/>
      <c r="F69" s="43"/>
      <c r="G69" s="43"/>
      <c r="H69" s="43"/>
      <c r="I69"/>
      <c r="K69" s="35"/>
      <c r="L69" s="43"/>
      <c r="M69" s="35"/>
      <c r="P69" s="43"/>
      <c r="Q69" s="43"/>
      <c r="R69" s="43"/>
    </row>
    <row r="70" spans="1:18" ht="12.75">
      <c r="A70" s="30"/>
      <c r="B70" s="30"/>
      <c r="C70" s="32"/>
      <c r="F70" s="43"/>
      <c r="G70" s="43"/>
      <c r="H70" s="43"/>
      <c r="I70"/>
      <c r="K70" s="35"/>
      <c r="L70" s="43"/>
      <c r="M70" s="35"/>
      <c r="P70" s="43"/>
      <c r="Q70" s="43"/>
      <c r="R70" s="43"/>
    </row>
    <row r="71" spans="1:18" ht="12.75">
      <c r="A71" s="30"/>
      <c r="B71" s="30"/>
      <c r="C71" s="32"/>
      <c r="F71" s="43"/>
      <c r="G71" s="43"/>
      <c r="H71" s="43"/>
      <c r="I71"/>
      <c r="K71" s="35"/>
      <c r="L71" s="43"/>
      <c r="M71" s="35"/>
      <c r="P71" s="43"/>
      <c r="Q71" s="43"/>
      <c r="R71" s="43"/>
    </row>
    <row r="72" spans="1:18" ht="12.75">
      <c r="A72" s="30"/>
      <c r="B72" s="30"/>
      <c r="C72" s="32"/>
      <c r="F72" s="43"/>
      <c r="G72" s="43"/>
      <c r="H72" s="43"/>
      <c r="I72"/>
      <c r="K72" s="35"/>
      <c r="L72" s="43"/>
      <c r="M72" s="35"/>
      <c r="P72" s="43"/>
      <c r="Q72" s="43"/>
      <c r="R72" s="43"/>
    </row>
    <row r="73" spans="1:18" ht="12.75">
      <c r="A73" s="30"/>
      <c r="B73" s="30"/>
      <c r="C73" s="32"/>
      <c r="F73" s="43"/>
      <c r="G73" s="43"/>
      <c r="H73" s="43"/>
      <c r="I73"/>
      <c r="K73" s="35"/>
      <c r="L73" s="43"/>
      <c r="M73" s="35"/>
      <c r="P73" s="43"/>
      <c r="Q73" s="43"/>
      <c r="R73" s="43"/>
    </row>
    <row r="74" spans="1:18" ht="12.75">
      <c r="A74" s="30"/>
      <c r="B74" s="30"/>
      <c r="C74" s="32"/>
      <c r="F74" s="43"/>
      <c r="G74" s="43"/>
      <c r="H74" s="43"/>
      <c r="I74"/>
      <c r="K74" s="35"/>
      <c r="L74" s="43"/>
      <c r="M74" s="35"/>
      <c r="P74" s="43"/>
      <c r="Q74" s="43"/>
      <c r="R74" s="43"/>
    </row>
    <row r="75" spans="1:18" ht="12.75">
      <c r="A75" s="30"/>
      <c r="B75" s="30"/>
      <c r="C75" s="30"/>
      <c r="D75" s="30"/>
      <c r="E75" s="35"/>
      <c r="F75" s="38"/>
      <c r="G75" s="35"/>
      <c r="H75" s="38"/>
      <c r="I75" s="55"/>
      <c r="J75" s="15"/>
      <c r="K75" s="33"/>
      <c r="L75" s="33"/>
      <c r="M75" s="33"/>
      <c r="N75" s="35"/>
      <c r="O75" s="15"/>
      <c r="P75" s="37"/>
      <c r="Q75" s="35"/>
      <c r="R75" s="37"/>
    </row>
    <row r="76" spans="1:22" ht="12.75">
      <c r="A76" s="30"/>
      <c r="B76" s="30"/>
      <c r="C76" s="30"/>
      <c r="D76" s="30"/>
      <c r="F76" s="35"/>
      <c r="G76" s="35"/>
      <c r="H76" s="35"/>
      <c r="I76"/>
      <c r="S76" s="8"/>
      <c r="T76" s="8"/>
      <c r="U76" s="8"/>
      <c r="V76" s="8"/>
    </row>
    <row r="77" spans="1:22" ht="12.75">
      <c r="A77" s="30"/>
      <c r="B77" s="30"/>
      <c r="C77" s="30"/>
      <c r="D77" s="30"/>
      <c r="F77" s="35"/>
      <c r="G77" s="35"/>
      <c r="H77" s="35"/>
      <c r="I77"/>
      <c r="S77" s="5"/>
      <c r="T77" s="8"/>
      <c r="U77" s="5"/>
      <c r="V77" s="5"/>
    </row>
    <row r="78" spans="1:22" ht="12.75">
      <c r="A78" s="35"/>
      <c r="B78" s="30"/>
      <c r="C78" s="30"/>
      <c r="D78" s="30"/>
      <c r="E78" s="35"/>
      <c r="F78" s="15"/>
      <c r="G78" s="35"/>
      <c r="H78" s="15"/>
      <c r="I78" s="49"/>
      <c r="J78" s="35"/>
      <c r="K78" s="36"/>
      <c r="L78" s="33"/>
      <c r="M78" s="36"/>
      <c r="N78" s="35"/>
      <c r="O78" s="35"/>
      <c r="P78" s="35"/>
      <c r="Q78" s="35"/>
      <c r="R78" s="35"/>
      <c r="S78" s="5"/>
      <c r="T78" s="8"/>
      <c r="U78" s="6"/>
      <c r="V78" s="6"/>
    </row>
    <row r="79" spans="1:18" ht="12.75">
      <c r="A79" s="30"/>
      <c r="B79" s="30"/>
      <c r="C79" s="38"/>
      <c r="D79" s="38"/>
      <c r="E79" s="33"/>
      <c r="F79" s="34"/>
      <c r="G79" s="33"/>
      <c r="H79" s="34"/>
      <c r="I79" s="40"/>
      <c r="J79" s="33"/>
      <c r="K79" s="34"/>
      <c r="L79" s="33"/>
      <c r="M79" s="34"/>
      <c r="N79" s="38"/>
      <c r="O79" s="35"/>
      <c r="P79" s="35"/>
      <c r="Q79" s="33"/>
      <c r="R79" s="35"/>
    </row>
    <row r="80" spans="2:18" ht="12.75">
      <c r="B80" s="30"/>
      <c r="C80" s="38"/>
      <c r="D80" s="38"/>
      <c r="E80" s="35"/>
      <c r="F80" s="34"/>
      <c r="G80" s="34"/>
      <c r="H80" s="34"/>
      <c r="I80" s="40"/>
      <c r="J80" s="35"/>
      <c r="K80" s="35"/>
      <c r="L80" s="35"/>
      <c r="M80" s="35"/>
      <c r="N80" s="38"/>
      <c r="O80" s="35"/>
      <c r="P80" s="35"/>
      <c r="Q80" s="35"/>
      <c r="R80" s="35"/>
    </row>
    <row r="81" spans="2:18" ht="12.75">
      <c r="B81" s="30"/>
      <c r="C81" s="30"/>
      <c r="D81" s="30"/>
      <c r="E81" s="34"/>
      <c r="F81" s="38"/>
      <c r="G81" s="34"/>
      <c r="H81" s="38"/>
      <c r="I81" s="56"/>
      <c r="J81" s="34"/>
      <c r="K81" s="34"/>
      <c r="L81" s="34"/>
      <c r="M81" s="34"/>
      <c r="N81" s="34"/>
      <c r="O81" s="34"/>
      <c r="P81" s="37"/>
      <c r="Q81" s="34"/>
      <c r="R81" s="37"/>
    </row>
    <row r="82" spans="1:18" ht="12.75">
      <c r="A82" s="30"/>
      <c r="B82" s="30"/>
      <c r="C82" s="38"/>
      <c r="D82" s="35"/>
      <c r="E82" s="35"/>
      <c r="F82" s="38"/>
      <c r="G82" s="35"/>
      <c r="H82" s="38"/>
      <c r="I82" s="55"/>
      <c r="J82" s="35"/>
      <c r="K82" s="35"/>
      <c r="L82" s="35"/>
      <c r="M82" s="35"/>
      <c r="N82" s="35"/>
      <c r="O82" s="35"/>
      <c r="P82" s="37"/>
      <c r="Q82" s="35"/>
      <c r="R82" s="37"/>
    </row>
    <row r="83" spans="1:18" ht="12.75">
      <c r="A83" s="30"/>
      <c r="B83" s="30"/>
      <c r="C83" s="38"/>
      <c r="D83" s="30"/>
      <c r="E83" s="37"/>
      <c r="F83" s="38"/>
      <c r="G83" s="37"/>
      <c r="H83" s="38"/>
      <c r="I83" s="41"/>
      <c r="J83" s="37"/>
      <c r="K83" s="37"/>
      <c r="L83" s="37"/>
      <c r="M83" s="37"/>
      <c r="N83" s="37"/>
      <c r="O83" s="37"/>
      <c r="P83" s="37"/>
      <c r="Q83" s="37"/>
      <c r="R83" s="37"/>
    </row>
    <row r="84" ht="12.75">
      <c r="A84" s="30"/>
    </row>
    <row r="85" spans="1:18" ht="12.75">
      <c r="A85" s="30"/>
      <c r="B85" s="76"/>
      <c r="C85" s="32"/>
      <c r="D85" s="41"/>
      <c r="E85" s="77"/>
      <c r="F85" s="41"/>
      <c r="H85" s="41"/>
      <c r="I85" s="41"/>
      <c r="J85" s="41"/>
      <c r="K85" s="37"/>
      <c r="L85" s="37"/>
      <c r="M85" s="37"/>
      <c r="N85" s="41"/>
      <c r="O85" s="41"/>
      <c r="P85" s="37"/>
      <c r="Q85" s="37"/>
      <c r="R85" s="37"/>
    </row>
    <row r="86" spans="1:18" ht="12.75">
      <c r="A86" s="30"/>
      <c r="B86" s="30"/>
      <c r="C86" s="32"/>
      <c r="D86" s="32"/>
      <c r="E86" s="42"/>
      <c r="F86" s="42"/>
      <c r="G86" s="42"/>
      <c r="H86" s="42"/>
      <c r="I86" s="14"/>
      <c r="J86" s="42"/>
      <c r="K86" s="42"/>
      <c r="L86" s="42"/>
      <c r="M86" s="42"/>
      <c r="N86" s="14"/>
      <c r="O86" s="42"/>
      <c r="P86" s="42"/>
      <c r="Q86" s="42"/>
      <c r="R86" s="42"/>
    </row>
    <row r="87" spans="1:18" ht="12.75">
      <c r="A87" s="30"/>
      <c r="B87" s="30"/>
      <c r="C87" s="32"/>
      <c r="D87" s="30"/>
      <c r="E87" s="41"/>
      <c r="F87" s="40"/>
      <c r="G87" s="41"/>
      <c r="H87" s="40"/>
      <c r="I87" s="41"/>
      <c r="J87" s="41"/>
      <c r="K87" s="41"/>
      <c r="L87" s="41"/>
      <c r="M87" s="41"/>
      <c r="N87" s="37"/>
      <c r="O87" s="41"/>
      <c r="P87" s="41"/>
      <c r="Q87" s="41"/>
      <c r="R87" s="41"/>
    </row>
    <row r="88" spans="1:18" ht="12.75">
      <c r="A88" s="30"/>
      <c r="B88" s="30"/>
      <c r="C88" s="32"/>
      <c r="D88" s="30"/>
      <c r="E88" s="41"/>
      <c r="F88" s="40"/>
      <c r="G88" s="41"/>
      <c r="H88" s="40"/>
      <c r="I88" s="41"/>
      <c r="J88" s="41"/>
      <c r="K88" s="40"/>
      <c r="L88" s="41"/>
      <c r="M88" s="40"/>
      <c r="N88" s="37"/>
      <c r="O88" s="41"/>
      <c r="P88" s="40"/>
      <c r="Q88" s="41"/>
      <c r="R88" s="40"/>
    </row>
    <row r="89" spans="1:18" ht="12.75">
      <c r="A89" s="30"/>
      <c r="B89" s="30"/>
      <c r="C89" s="30"/>
      <c r="D89" s="30"/>
      <c r="E89" s="37"/>
      <c r="F89" s="38"/>
      <c r="G89" s="37"/>
      <c r="H89" s="38"/>
      <c r="I89" s="41"/>
      <c r="J89" s="37"/>
      <c r="K89" s="37"/>
      <c r="L89" s="37"/>
      <c r="M89" s="37"/>
      <c r="N89" s="37"/>
      <c r="O89" s="33"/>
      <c r="P89" s="37"/>
      <c r="Q89" s="37"/>
      <c r="R89" s="37"/>
    </row>
    <row r="90" spans="1:18" ht="12.75">
      <c r="A90" s="30"/>
      <c r="B90" s="30"/>
      <c r="C90" s="32"/>
      <c r="F90" s="35"/>
      <c r="G90" s="35"/>
      <c r="H90" s="35"/>
      <c r="I90"/>
      <c r="K90" s="35"/>
      <c r="L90" s="35"/>
      <c r="M90" s="35"/>
      <c r="P90" s="43">
        <f aca="true" t="shared" si="11" ref="P90:P114">IF(O90="","",O90*$C90)</f>
      </c>
      <c r="Q90" s="43"/>
      <c r="R90" s="43">
        <f aca="true" t="shared" si="12" ref="R90:R114">IF(Q90="","",Q90*$C90)</f>
      </c>
    </row>
    <row r="91" spans="1:18" ht="12.75">
      <c r="A91" s="30"/>
      <c r="B91" s="30"/>
      <c r="C91" s="32"/>
      <c r="F91" s="43"/>
      <c r="G91" s="43"/>
      <c r="H91" s="43"/>
      <c r="I91"/>
      <c r="K91" s="35"/>
      <c r="L91" s="43"/>
      <c r="M91" s="35"/>
      <c r="P91" s="43">
        <f t="shared" si="11"/>
      </c>
      <c r="Q91" s="43"/>
      <c r="R91" s="43">
        <f t="shared" si="12"/>
      </c>
    </row>
    <row r="92" spans="1:18" ht="12.75">
      <c r="A92" s="30"/>
      <c r="B92" s="30"/>
      <c r="C92" s="32"/>
      <c r="F92" s="35"/>
      <c r="G92" s="35"/>
      <c r="H92" s="35"/>
      <c r="I92"/>
      <c r="K92" s="35"/>
      <c r="L92" s="35"/>
      <c r="M92" s="35"/>
      <c r="P92" s="43">
        <f t="shared" si="11"/>
      </c>
      <c r="Q92" s="43"/>
      <c r="R92" s="43">
        <f t="shared" si="12"/>
      </c>
    </row>
    <row r="93" spans="1:18" ht="12.75">
      <c r="A93" s="30"/>
      <c r="B93" s="30"/>
      <c r="C93" s="32"/>
      <c r="F93" s="43"/>
      <c r="G93" s="43"/>
      <c r="H93" s="43"/>
      <c r="I93"/>
      <c r="K93" s="35"/>
      <c r="L93" s="43"/>
      <c r="M93" s="35"/>
      <c r="P93" s="43">
        <f t="shared" si="11"/>
      </c>
      <c r="Q93" s="43"/>
      <c r="R93" s="43">
        <f t="shared" si="12"/>
      </c>
    </row>
    <row r="94" spans="1:18" ht="12.75">
      <c r="A94" s="30"/>
      <c r="B94" s="30"/>
      <c r="C94" s="32"/>
      <c r="F94" s="35"/>
      <c r="G94" s="35"/>
      <c r="H94" s="35"/>
      <c r="I94"/>
      <c r="K94" s="35"/>
      <c r="L94" s="35"/>
      <c r="M94" s="35"/>
      <c r="P94" s="43">
        <f t="shared" si="11"/>
      </c>
      <c r="Q94" s="43"/>
      <c r="R94" s="43">
        <f t="shared" si="12"/>
      </c>
    </row>
    <row r="95" spans="1:18" ht="12.75">
      <c r="A95" s="30"/>
      <c r="B95" s="30"/>
      <c r="C95" s="32"/>
      <c r="F95" s="35"/>
      <c r="G95" s="35"/>
      <c r="H95" s="35"/>
      <c r="I95"/>
      <c r="K95" s="35"/>
      <c r="L95" s="35"/>
      <c r="M95" s="35"/>
      <c r="P95" s="43">
        <f t="shared" si="11"/>
      </c>
      <c r="Q95" s="43"/>
      <c r="R95" s="43">
        <f t="shared" si="12"/>
      </c>
    </row>
    <row r="96" spans="1:18" ht="12.75">
      <c r="A96" s="30"/>
      <c r="B96" s="30"/>
      <c r="C96" s="32"/>
      <c r="F96" s="35"/>
      <c r="G96" s="35"/>
      <c r="H96" s="35"/>
      <c r="I96"/>
      <c r="K96" s="35"/>
      <c r="L96" s="35"/>
      <c r="M96" s="35"/>
      <c r="P96" s="43">
        <f t="shared" si="11"/>
      </c>
      <c r="Q96" s="43"/>
      <c r="R96" s="43">
        <f t="shared" si="12"/>
      </c>
    </row>
    <row r="97" spans="1:18" ht="12.75">
      <c r="A97" s="30"/>
      <c r="B97" s="30"/>
      <c r="C97" s="32"/>
      <c r="F97" s="43"/>
      <c r="G97" s="43"/>
      <c r="H97" s="43"/>
      <c r="I97"/>
      <c r="K97" s="35"/>
      <c r="L97" s="43"/>
      <c r="M97" s="35"/>
      <c r="P97" s="43">
        <f t="shared" si="11"/>
      </c>
      <c r="Q97" s="43"/>
      <c r="R97" s="43">
        <f t="shared" si="12"/>
      </c>
    </row>
    <row r="98" spans="1:18" ht="12.75">
      <c r="A98" s="30"/>
      <c r="B98" s="30"/>
      <c r="C98" s="32"/>
      <c r="F98" s="35"/>
      <c r="G98" s="35"/>
      <c r="H98" s="35"/>
      <c r="I98"/>
      <c r="K98" s="35"/>
      <c r="L98" s="35"/>
      <c r="M98" s="35"/>
      <c r="P98" s="43">
        <f t="shared" si="11"/>
      </c>
      <c r="Q98" s="43"/>
      <c r="R98" s="43">
        <f t="shared" si="12"/>
      </c>
    </row>
    <row r="99" spans="1:18" ht="12.75">
      <c r="A99" s="30"/>
      <c r="B99" s="30"/>
      <c r="C99" s="32"/>
      <c r="F99" s="43"/>
      <c r="G99" s="43"/>
      <c r="H99" s="43"/>
      <c r="I99"/>
      <c r="K99" s="35"/>
      <c r="L99" s="43"/>
      <c r="M99" s="35"/>
      <c r="P99" s="43">
        <f t="shared" si="11"/>
      </c>
      <c r="Q99" s="43"/>
      <c r="R99" s="43">
        <f t="shared" si="12"/>
      </c>
    </row>
    <row r="100" spans="1:18" ht="12.75">
      <c r="A100" s="30"/>
      <c r="B100" s="30"/>
      <c r="C100" s="32"/>
      <c r="F100" s="35"/>
      <c r="G100" s="35"/>
      <c r="H100" s="35"/>
      <c r="I100"/>
      <c r="K100" s="35"/>
      <c r="L100" s="43"/>
      <c r="M100" s="35"/>
      <c r="P100" s="43">
        <f t="shared" si="11"/>
      </c>
      <c r="Q100" s="43"/>
      <c r="R100" s="43">
        <f t="shared" si="12"/>
      </c>
    </row>
    <row r="101" spans="1:18" ht="12.75">
      <c r="A101" s="30"/>
      <c r="B101" s="30"/>
      <c r="C101" s="32"/>
      <c r="F101" s="35"/>
      <c r="G101" s="35"/>
      <c r="H101" s="35"/>
      <c r="I101"/>
      <c r="K101" s="35"/>
      <c r="L101" s="43"/>
      <c r="M101" s="35"/>
      <c r="P101" s="43">
        <f t="shared" si="11"/>
      </c>
      <c r="Q101" s="43"/>
      <c r="R101" s="43">
        <f t="shared" si="12"/>
      </c>
    </row>
    <row r="102" spans="1:18" ht="12.75">
      <c r="A102" s="30"/>
      <c r="B102" s="30"/>
      <c r="C102" s="32"/>
      <c r="F102" s="43"/>
      <c r="G102" s="43"/>
      <c r="H102" s="43"/>
      <c r="I102"/>
      <c r="K102" s="35"/>
      <c r="L102" s="43"/>
      <c r="M102" s="35"/>
      <c r="P102" s="43">
        <f t="shared" si="11"/>
      </c>
      <c r="Q102" s="43"/>
      <c r="R102" s="43">
        <f t="shared" si="12"/>
      </c>
    </row>
    <row r="103" spans="1:18" ht="12.75">
      <c r="A103" s="30"/>
      <c r="B103" s="30"/>
      <c r="C103" s="32"/>
      <c r="F103" s="43"/>
      <c r="G103" s="43"/>
      <c r="H103" s="43"/>
      <c r="I103"/>
      <c r="K103" s="35"/>
      <c r="L103" s="43"/>
      <c r="M103" s="35"/>
      <c r="P103" s="43">
        <f t="shared" si="11"/>
      </c>
      <c r="Q103" s="43"/>
      <c r="R103" s="43">
        <f t="shared" si="12"/>
      </c>
    </row>
    <row r="104" spans="1:18" ht="12.75">
      <c r="A104" s="30"/>
      <c r="B104" s="30"/>
      <c r="C104" s="32"/>
      <c r="F104" s="43"/>
      <c r="G104" s="43"/>
      <c r="H104" s="43"/>
      <c r="I104"/>
      <c r="K104" s="35"/>
      <c r="L104" s="43"/>
      <c r="M104" s="35"/>
      <c r="P104" s="43">
        <f t="shared" si="11"/>
      </c>
      <c r="Q104" s="43"/>
      <c r="R104" s="43">
        <f t="shared" si="12"/>
      </c>
    </row>
    <row r="105" spans="1:18" ht="12.75">
      <c r="A105" s="30"/>
      <c r="B105" s="30"/>
      <c r="C105" s="32"/>
      <c r="F105" s="43"/>
      <c r="G105" s="43"/>
      <c r="H105" s="43"/>
      <c r="I105"/>
      <c r="K105" s="35"/>
      <c r="L105" s="43"/>
      <c r="M105" s="35"/>
      <c r="P105" s="43">
        <f t="shared" si="11"/>
      </c>
      <c r="Q105" s="43"/>
      <c r="R105" s="43">
        <f t="shared" si="12"/>
      </c>
    </row>
    <row r="106" spans="1:18" ht="12.75">
      <c r="A106" s="30"/>
      <c r="B106" s="30"/>
      <c r="C106" s="32"/>
      <c r="F106" s="43"/>
      <c r="G106" s="43"/>
      <c r="H106" s="43"/>
      <c r="I106"/>
      <c r="K106" s="35"/>
      <c r="L106" s="43"/>
      <c r="M106" s="35"/>
      <c r="P106" s="43">
        <f t="shared" si="11"/>
      </c>
      <c r="Q106" s="43"/>
      <c r="R106" s="43">
        <f t="shared" si="12"/>
      </c>
    </row>
    <row r="107" spans="1:18" ht="12.75">
      <c r="A107" s="30"/>
      <c r="B107" s="30"/>
      <c r="C107" s="32"/>
      <c r="F107" s="43"/>
      <c r="G107" s="43"/>
      <c r="H107" s="43"/>
      <c r="I107"/>
      <c r="K107" s="35"/>
      <c r="L107" s="43"/>
      <c r="M107" s="35"/>
      <c r="P107" s="43">
        <f t="shared" si="11"/>
      </c>
      <c r="Q107" s="43"/>
      <c r="R107" s="43">
        <f t="shared" si="12"/>
      </c>
    </row>
    <row r="108" spans="1:18" ht="12.75">
      <c r="A108" s="30"/>
      <c r="B108" s="30"/>
      <c r="C108" s="32"/>
      <c r="F108" s="43"/>
      <c r="G108" s="43"/>
      <c r="H108" s="43"/>
      <c r="I108"/>
      <c r="K108" s="35"/>
      <c r="L108" s="43"/>
      <c r="M108" s="35"/>
      <c r="P108" s="43">
        <f t="shared" si="11"/>
      </c>
      <c r="Q108" s="43"/>
      <c r="R108" s="43">
        <f t="shared" si="12"/>
      </c>
    </row>
    <row r="109" spans="1:18" ht="12.75">
      <c r="A109" s="30"/>
      <c r="B109" s="30"/>
      <c r="C109" s="32"/>
      <c r="F109" s="43"/>
      <c r="G109" s="43"/>
      <c r="H109" s="43"/>
      <c r="I109"/>
      <c r="K109" s="35"/>
      <c r="L109" s="43"/>
      <c r="M109" s="35"/>
      <c r="P109" s="43">
        <f t="shared" si="11"/>
      </c>
      <c r="Q109" s="43"/>
      <c r="R109" s="43">
        <f t="shared" si="12"/>
      </c>
    </row>
    <row r="110" spans="1:18" ht="12.75">
      <c r="A110" s="30"/>
      <c r="B110" s="30"/>
      <c r="C110" s="32"/>
      <c r="F110" s="43"/>
      <c r="G110" s="43"/>
      <c r="H110" s="43"/>
      <c r="I110"/>
      <c r="K110" s="35"/>
      <c r="L110" s="43"/>
      <c r="M110" s="35"/>
      <c r="P110" s="43">
        <f t="shared" si="11"/>
      </c>
      <c r="Q110" s="43"/>
      <c r="R110" s="43">
        <f t="shared" si="12"/>
      </c>
    </row>
    <row r="111" spans="1:18" ht="12.75">
      <c r="A111" s="30"/>
      <c r="B111" s="30"/>
      <c r="C111" s="32"/>
      <c r="F111" s="43"/>
      <c r="G111" s="43"/>
      <c r="H111" s="43"/>
      <c r="I111"/>
      <c r="K111" s="35"/>
      <c r="L111" s="43"/>
      <c r="M111" s="35"/>
      <c r="P111" s="43">
        <f t="shared" si="11"/>
      </c>
      <c r="Q111" s="43"/>
      <c r="R111" s="43">
        <f t="shared" si="12"/>
      </c>
    </row>
    <row r="112" spans="1:18" ht="12.75">
      <c r="A112" s="30"/>
      <c r="B112" s="30"/>
      <c r="C112" s="32"/>
      <c r="F112" s="43"/>
      <c r="G112" s="43"/>
      <c r="H112" s="43"/>
      <c r="I112"/>
      <c r="K112" s="35"/>
      <c r="L112" s="43"/>
      <c r="M112" s="35"/>
      <c r="P112" s="43">
        <f t="shared" si="11"/>
      </c>
      <c r="Q112" s="43"/>
      <c r="R112" s="43">
        <f t="shared" si="12"/>
      </c>
    </row>
    <row r="113" spans="1:18" ht="12.75">
      <c r="A113" s="30"/>
      <c r="B113" s="30"/>
      <c r="C113" s="32"/>
      <c r="F113" s="43"/>
      <c r="G113" s="43"/>
      <c r="H113" s="43"/>
      <c r="I113"/>
      <c r="K113" s="35"/>
      <c r="L113" s="43"/>
      <c r="M113" s="35"/>
      <c r="P113" s="43">
        <f t="shared" si="11"/>
      </c>
      <c r="Q113" s="43"/>
      <c r="R113" s="43">
        <f t="shared" si="12"/>
      </c>
    </row>
    <row r="114" spans="1:18" ht="12.75">
      <c r="A114" s="30"/>
      <c r="B114" s="30"/>
      <c r="C114" s="32"/>
      <c r="F114" s="43"/>
      <c r="G114" s="43"/>
      <c r="H114" s="43"/>
      <c r="I114"/>
      <c r="K114" s="35"/>
      <c r="L114" s="43"/>
      <c r="M114" s="35"/>
      <c r="P114" s="43">
        <f t="shared" si="11"/>
      </c>
      <c r="Q114" s="43"/>
      <c r="R114" s="43">
        <f t="shared" si="12"/>
      </c>
    </row>
    <row r="115" spans="1:18" ht="12.75">
      <c r="A115" s="30"/>
      <c r="B115" s="30"/>
      <c r="C115" s="30"/>
      <c r="D115" s="30"/>
      <c r="E115" s="35"/>
      <c r="F115" s="38"/>
      <c r="G115" s="35"/>
      <c r="H115" s="38"/>
      <c r="I115" s="55"/>
      <c r="J115" s="15"/>
      <c r="K115" s="33"/>
      <c r="L115" s="33"/>
      <c r="M115" s="33"/>
      <c r="N115" s="35"/>
      <c r="O115" s="15"/>
      <c r="P115" s="37"/>
      <c r="Q115" s="35"/>
      <c r="R115" s="37"/>
    </row>
    <row r="116" spans="1:18" ht="12.75">
      <c r="A116" s="30"/>
      <c r="B116" s="30"/>
      <c r="C116" s="30"/>
      <c r="D116" s="30"/>
      <c r="E116" s="35"/>
      <c r="I116"/>
      <c r="P116">
        <v>151.39</v>
      </c>
      <c r="R116">
        <v>151.39</v>
      </c>
    </row>
    <row r="117" spans="1:18" ht="12.75">
      <c r="A117" s="30"/>
      <c r="B117" s="30"/>
      <c r="C117" s="30"/>
      <c r="D117" s="30"/>
      <c r="E117" s="35"/>
      <c r="I117"/>
      <c r="P117">
        <v>9</v>
      </c>
      <c r="R117">
        <v>9</v>
      </c>
    </row>
    <row r="118" spans="1:18" ht="12.75">
      <c r="A118" s="30"/>
      <c r="B118" s="30"/>
      <c r="C118" s="30"/>
      <c r="D118" s="30"/>
      <c r="E118" s="35"/>
      <c r="F118" s="15"/>
      <c r="G118" s="35"/>
      <c r="H118" s="15"/>
      <c r="I118" s="49"/>
      <c r="J118" s="35"/>
      <c r="K118" s="36"/>
      <c r="L118" s="33"/>
      <c r="M118" s="36"/>
      <c r="N118" s="35"/>
      <c r="O118" s="35"/>
      <c r="P118" s="35"/>
      <c r="Q118" s="35"/>
      <c r="R118" s="35"/>
    </row>
    <row r="119" spans="1:18" ht="12.75">
      <c r="A119" s="30"/>
      <c r="B119" s="30"/>
      <c r="C119" s="38"/>
      <c r="D119" s="38"/>
      <c r="E119" s="33"/>
      <c r="F119" s="34"/>
      <c r="G119" s="33"/>
      <c r="H119" s="34"/>
      <c r="I119" s="40"/>
      <c r="J119" s="33"/>
      <c r="K119" s="34"/>
      <c r="L119" s="33"/>
      <c r="M119" s="34"/>
      <c r="N119" s="38"/>
      <c r="O119" s="35"/>
      <c r="P119" s="35">
        <f>SUM(P90:P114)/1000</f>
        <v>0</v>
      </c>
      <c r="Q119" s="33"/>
      <c r="R119" s="35">
        <f>SUM(R90:R114)/1000</f>
        <v>0</v>
      </c>
    </row>
    <row r="120" spans="1:18" ht="12.75">
      <c r="A120" s="30"/>
      <c r="B120" s="30"/>
      <c r="C120" s="38"/>
      <c r="D120" s="38"/>
      <c r="E120" s="35"/>
      <c r="F120" s="34"/>
      <c r="G120" s="34"/>
      <c r="H120" s="34"/>
      <c r="I120" s="40"/>
      <c r="J120" s="35"/>
      <c r="K120" s="35"/>
      <c r="L120" s="35"/>
      <c r="M120" s="35"/>
      <c r="N120" s="38"/>
      <c r="O120" s="35"/>
      <c r="P120" s="35">
        <f>P119/P116/0.0283*(21-7)/(21-P117)</f>
        <v>0</v>
      </c>
      <c r="Q120" s="35"/>
      <c r="R120" s="35">
        <f>R119/R116/0.0283*(21-7)/(21-R117)</f>
        <v>0</v>
      </c>
    </row>
    <row r="121" spans="1:18" ht="12.75">
      <c r="A121" s="30"/>
      <c r="B121" s="30"/>
      <c r="C121" s="30"/>
      <c r="D121" s="30"/>
      <c r="E121" s="34"/>
      <c r="F121" s="38"/>
      <c r="G121" s="34"/>
      <c r="H121" s="38"/>
      <c r="I121" s="56"/>
      <c r="J121" s="34"/>
      <c r="K121" s="34"/>
      <c r="L121" s="34"/>
      <c r="M121" s="34"/>
      <c r="N121" s="34"/>
      <c r="O121" s="34"/>
      <c r="P121" s="37"/>
      <c r="Q121" s="34"/>
      <c r="R121" s="37"/>
    </row>
    <row r="122" spans="1:18" ht="12.75">
      <c r="A122" s="35"/>
      <c r="B122" s="30"/>
      <c r="C122" s="38"/>
      <c r="D122" s="35"/>
      <c r="E122" s="35"/>
      <c r="F122" s="38"/>
      <c r="G122" s="35"/>
      <c r="H122" s="38"/>
      <c r="I122" s="55"/>
      <c r="J122" s="35"/>
      <c r="K122" s="35"/>
      <c r="L122" s="35"/>
      <c r="M122" s="35"/>
      <c r="N122" s="35"/>
      <c r="O122" s="35"/>
      <c r="P122" s="37"/>
      <c r="Q122" s="35"/>
      <c r="R122" s="37"/>
    </row>
    <row r="123" spans="1:18" ht="12.75">
      <c r="A123" s="30"/>
      <c r="B123" s="30"/>
      <c r="C123" s="38"/>
      <c r="D123" s="30"/>
      <c r="E123" s="37"/>
      <c r="F123" s="38"/>
      <c r="G123" s="37"/>
      <c r="H123" s="38"/>
      <c r="I123" s="41"/>
      <c r="J123" s="37"/>
      <c r="K123" s="37"/>
      <c r="L123" s="37"/>
      <c r="M123" s="37"/>
      <c r="N123" s="37"/>
      <c r="O123" s="37"/>
      <c r="P123" s="37"/>
      <c r="Q123" s="37"/>
      <c r="R123" s="3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53"/>
  <sheetViews>
    <sheetView workbookViewId="0" topLeftCell="B1">
      <selection activeCell="C18" sqref="C18"/>
    </sheetView>
  </sheetViews>
  <sheetFormatPr defaultColWidth="9.140625" defaultRowHeight="12.75"/>
  <cols>
    <col min="1" max="1" width="2.281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9" t="s">
        <v>74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2.75">
      <c r="B3" s="15" t="s">
        <v>103</v>
      </c>
      <c r="C3" s="16">
        <v>338</v>
      </c>
      <c r="D3" s="15"/>
      <c r="E3" s="15"/>
      <c r="F3" s="15"/>
      <c r="G3" s="15"/>
      <c r="H3" s="15"/>
      <c r="I3" s="15"/>
      <c r="J3" s="15"/>
      <c r="K3" s="15"/>
      <c r="L3" s="15"/>
    </row>
    <row r="4" spans="2:12" ht="12.75">
      <c r="B4" s="15" t="s">
        <v>0</v>
      </c>
      <c r="C4" s="15" t="s">
        <v>131</v>
      </c>
      <c r="D4" s="15"/>
      <c r="E4" s="15"/>
      <c r="F4" s="15"/>
      <c r="G4" s="15"/>
      <c r="H4" s="15"/>
      <c r="I4" s="15"/>
      <c r="J4" s="15"/>
      <c r="K4" s="15"/>
      <c r="L4" s="15"/>
    </row>
    <row r="5" spans="2:12" ht="12.75">
      <c r="B5" s="15" t="s">
        <v>1</v>
      </c>
      <c r="C5" s="15" t="s">
        <v>133</v>
      </c>
      <c r="D5" s="15"/>
      <c r="E5" s="15"/>
      <c r="F5" s="15"/>
      <c r="G5" s="15"/>
      <c r="H5" s="15"/>
      <c r="I5" s="15"/>
      <c r="J5" s="15"/>
      <c r="K5" s="15"/>
      <c r="L5" s="15"/>
    </row>
    <row r="6" spans="2:12" ht="12.75">
      <c r="B6" s="15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12.75">
      <c r="B7" s="15" t="s">
        <v>3</v>
      </c>
      <c r="C7" s="15" t="s">
        <v>132</v>
      </c>
      <c r="D7" s="15"/>
      <c r="E7" s="15"/>
      <c r="F7" s="15"/>
      <c r="G7" s="15"/>
      <c r="H7" s="15"/>
      <c r="I7" s="15"/>
      <c r="J7" s="15"/>
      <c r="K7" s="15"/>
      <c r="L7" s="15"/>
    </row>
    <row r="8" spans="2:12" ht="12.75">
      <c r="B8" s="15" t="s">
        <v>4</v>
      </c>
      <c r="C8" s="15" t="s">
        <v>127</v>
      </c>
      <c r="D8" s="15"/>
      <c r="E8" s="15"/>
      <c r="F8" s="15"/>
      <c r="G8" s="15"/>
      <c r="H8" s="15"/>
      <c r="I8" s="15"/>
      <c r="J8" s="15"/>
      <c r="K8" s="15"/>
      <c r="L8" s="15"/>
    </row>
    <row r="9" spans="2:12" ht="12.75">
      <c r="B9" s="15" t="s">
        <v>5</v>
      </c>
      <c r="C9" s="15" t="s">
        <v>137</v>
      </c>
      <c r="D9" s="15"/>
      <c r="E9" s="15"/>
      <c r="F9" s="15"/>
      <c r="G9" s="15"/>
      <c r="H9" s="15"/>
      <c r="I9" s="15"/>
      <c r="J9" s="15"/>
      <c r="K9" s="15"/>
      <c r="L9" s="15"/>
    </row>
    <row r="10" spans="2:12" ht="12.75">
      <c r="B10" s="15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2.75">
      <c r="B11" s="15" t="s">
        <v>224</v>
      </c>
      <c r="C11" s="16">
        <v>0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15" t="s">
        <v>191</v>
      </c>
      <c r="C12" s="15" t="s">
        <v>229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2.75">
      <c r="B13" s="15" t="s">
        <v>192</v>
      </c>
      <c r="C13" s="15" t="s">
        <v>193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2:12" s="46" customFormat="1" ht="25.5">
      <c r="B14" s="45" t="s">
        <v>64</v>
      </c>
      <c r="C14" s="45" t="s">
        <v>213</v>
      </c>
      <c r="D14" s="45"/>
      <c r="E14" s="45"/>
      <c r="F14" s="45"/>
      <c r="G14" s="45"/>
      <c r="H14" s="45"/>
      <c r="I14" s="45"/>
      <c r="J14" s="45"/>
      <c r="K14" s="45"/>
      <c r="L14" s="45"/>
    </row>
    <row r="15" spans="2:12" s="46" customFormat="1" ht="12.7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2:12" s="46" customFormat="1" ht="12.75">
      <c r="B16" s="45" t="s">
        <v>71</v>
      </c>
      <c r="C16" s="47"/>
      <c r="D16" s="45"/>
      <c r="E16" s="45"/>
      <c r="F16" s="45"/>
      <c r="G16" s="45"/>
      <c r="H16" s="45"/>
      <c r="I16" s="45"/>
      <c r="J16" s="45"/>
      <c r="K16" s="45"/>
      <c r="L16" s="45"/>
    </row>
    <row r="17" spans="2:12" s="46" customFormat="1" ht="12.75">
      <c r="B17" s="15" t="s">
        <v>75</v>
      </c>
      <c r="C17" s="45"/>
      <c r="F17" s="45"/>
      <c r="G17" s="45"/>
      <c r="H17" s="45"/>
      <c r="I17" s="45"/>
      <c r="J17" s="45"/>
      <c r="K17" s="45"/>
      <c r="L17" s="45"/>
    </row>
    <row r="18" spans="2:12" s="46" customFormat="1" ht="12.75">
      <c r="B18" s="15" t="s">
        <v>226</v>
      </c>
      <c r="C18" s="45" t="s">
        <v>163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2:12" s="46" customFormat="1" ht="12.75">
      <c r="B19" s="15" t="s">
        <v>227</v>
      </c>
      <c r="C19" s="45" t="s">
        <v>228</v>
      </c>
      <c r="D19" s="45"/>
      <c r="E19" s="45"/>
      <c r="F19" s="45"/>
      <c r="G19" s="45"/>
      <c r="H19" s="45"/>
      <c r="I19" s="45"/>
      <c r="J19" s="45"/>
      <c r="K19" s="45"/>
      <c r="L19" s="45"/>
    </row>
    <row r="20" spans="2:12" ht="12.75">
      <c r="B20" s="45" t="s">
        <v>7</v>
      </c>
      <c r="C20" s="45" t="s">
        <v>194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2:12" ht="12.75">
      <c r="B21" s="15" t="s">
        <v>69</v>
      </c>
      <c r="C21" s="1" t="s">
        <v>225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2.75">
      <c r="B22" s="15" t="s">
        <v>76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ht="12.75">
      <c r="B23" s="15" t="s">
        <v>70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2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2.75">
      <c r="B25" s="15" t="s">
        <v>8</v>
      </c>
      <c r="C25" s="16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12.75">
      <c r="B26" s="15" t="s">
        <v>9</v>
      </c>
      <c r="C26" s="50">
        <v>5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2.75">
      <c r="B27" s="15" t="s">
        <v>10</v>
      </c>
      <c r="C27" s="17">
        <v>50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2:12" ht="12.75">
      <c r="B28" s="15" t="s">
        <v>72</v>
      </c>
      <c r="C28" s="17">
        <v>76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4.25" customHeight="1">
      <c r="B29" s="15" t="s">
        <v>73</v>
      </c>
      <c r="C29" s="74">
        <f>'emiss 1'!M50</f>
        <v>182.66666666666666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2:12" ht="12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2.75">
      <c r="B31" s="15" t="s">
        <v>11</v>
      </c>
      <c r="C31" s="15" t="s">
        <v>157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2.75">
      <c r="B32" s="15" t="s">
        <v>89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52" spans="2:12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ht="12.75">
      <c r="B54" s="58"/>
      <c r="C54" s="51"/>
      <c r="D54" s="15"/>
      <c r="E54" s="15"/>
      <c r="F54" s="15"/>
      <c r="G54" s="15"/>
      <c r="H54" s="15"/>
      <c r="I54" s="15"/>
      <c r="J54" s="15"/>
      <c r="K54" s="15"/>
      <c r="L54" s="15"/>
    </row>
    <row r="55" spans="2:12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ht="12.75">
      <c r="B57" s="15"/>
      <c r="C57" s="18"/>
      <c r="D57" s="15"/>
      <c r="E57" s="15"/>
      <c r="F57" s="15"/>
      <c r="G57" s="15"/>
      <c r="H57" s="15"/>
      <c r="I57" s="15"/>
      <c r="J57" s="15"/>
      <c r="K57" s="15"/>
      <c r="L57" s="15"/>
    </row>
    <row r="58" spans="2:12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ht="12.75">
      <c r="B59" s="58"/>
      <c r="C59" s="52"/>
      <c r="D59" s="15"/>
      <c r="E59" s="15"/>
      <c r="F59" s="15"/>
      <c r="G59" s="15"/>
      <c r="H59" s="15"/>
      <c r="I59" s="15"/>
      <c r="J59" s="15"/>
      <c r="K59" s="15"/>
      <c r="L59" s="15"/>
    </row>
    <row r="60" spans="2:12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ht="12.75">
      <c r="B61" s="58"/>
      <c r="C61" s="52"/>
      <c r="D61" s="15"/>
      <c r="E61" s="15"/>
      <c r="F61" s="15"/>
      <c r="G61" s="15"/>
      <c r="H61" s="15"/>
      <c r="I61" s="15"/>
      <c r="J61" s="15"/>
      <c r="K61" s="15"/>
      <c r="L61" s="15"/>
    </row>
    <row r="62" spans="2:12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2:12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2:12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2:12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2:12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2:12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2:12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2:12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2:12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2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2:12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2:12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2:12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2:12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2:12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2:12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2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2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2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2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2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2:12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2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2:12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2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2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2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2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2:12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2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2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2:12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2:12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2:12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12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12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2:12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2:12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2:12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2:12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12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2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2:12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2:12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2:12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2:12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2:12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2:12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2:12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2:12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2:12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12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2:12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2:12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2:12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2:12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2:12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2:12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2:12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2:12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2:12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2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2:12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2:12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2:12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2:12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2:12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2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2:12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2:12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2:12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2:12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2:12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2:12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2:12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2:12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2:12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2:12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2:12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2:12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2:12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2:12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2:12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2:12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2:12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2:12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2:12" ht="12.7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2:12" ht="12.7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2:12" ht="12.7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2:12" ht="12.7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2:12" ht="12.7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2:12" ht="12.7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2:12" ht="12.7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2:12" ht="12.7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2:12" ht="12.7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2:12" ht="12.7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2:12" ht="12.7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2:12" ht="12.7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2:12" ht="12.7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2:12" ht="12.7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2:12" ht="12.7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2:12" ht="12.7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2:12" ht="12.7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 ht="12.7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 ht="12.7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 ht="12.7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ht="12.7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 ht="12.7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 ht="12.7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 ht="12.7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 ht="12.7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 ht="12.7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ht="12.7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 ht="12.7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 ht="12.7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 ht="12.7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 ht="12.7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 ht="12.7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 ht="12.7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2:12" ht="12.7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2:12" ht="12.7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2:12" ht="12.7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2:12" ht="12.7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2:12" ht="12.7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2:12" ht="12.7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2:12" ht="12.7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2:12" ht="12.7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2:12" ht="12.7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2:12" ht="12.7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2:12" ht="12.7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2:12" ht="12.7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2:12" ht="12.7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2:12" ht="12.7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2:12" ht="12.7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2:12" ht="12.7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2:12" ht="12.7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2:12" ht="12.7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2:12" ht="12.7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2:12" ht="12.7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2:12" ht="12.7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2:12" ht="12.7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2:12" ht="12.7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2:12" ht="12.7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2:12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2:12" ht="12.7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2:12" ht="12.7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2:12" ht="12.7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2:12" ht="12.7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2:12" ht="12.7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2:12" ht="12.7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2:12" ht="12.7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2:12" ht="12.7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2:12" ht="12.7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2:12" ht="12.7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2:12" ht="12.7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2:12" ht="12.7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2:12" ht="12.7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2:12" ht="12.7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2:12" ht="12.7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2:12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2:12" ht="12.7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2:12" ht="12.7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2:12" ht="12.7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2:12" ht="12.7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2:12" ht="12.7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2:12" ht="12.7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2:12" ht="12.7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2:12" ht="12.7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2:12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2:12" ht="12.7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2:12" ht="12.7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2:12" ht="12.7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2:12" ht="12.7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2:12" ht="12.7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2:12" ht="12.7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2:12" ht="12.7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2:12" ht="12.7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2:12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2:12" ht="12.7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2:12" ht="12.7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2:12" ht="12.7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2:12" ht="12.7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2:12" ht="12.7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2:12" ht="12.7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2:12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2:12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2:12" ht="12.7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2:12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2:12" ht="12.7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2:12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2:12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2:12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2:12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2:12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2:12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2:12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2:12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2:12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2:12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2:12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2:12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2:12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2:12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2:12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2:12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2:12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2:12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2:12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2:12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2:12" ht="12.7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2:12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2:12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2:12" ht="12.7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2:12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2:12" ht="12.7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2:12" ht="12.7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2:12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2:12" ht="12.7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2:12" ht="12.7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2:12" ht="12.7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2:12" ht="12.7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2:12" ht="12.7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2:12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2:12" ht="12.7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2:12" ht="12.7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2:12" ht="12.7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2:12" ht="12.7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2:12" ht="12.7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2:12" ht="12.7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2:12" ht="12.7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2:12" ht="12.7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2:12" ht="12.7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2:12" ht="12.7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2:12" ht="12.7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2:12" ht="12.7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2:12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2:12" ht="12.7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2:12" ht="12.7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2:12" ht="12.7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2:12" ht="12.7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2:12" ht="12.7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2:12" ht="12.7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2:12" ht="12.7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2:12" ht="12.7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2:12" ht="12.7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2:12" ht="12.7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2:12" ht="12.7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2:12" ht="12.7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2:12" ht="12.7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2:12" ht="12.7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2:12" ht="12.7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2:12" ht="12.7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2:12" ht="12.7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2:12" ht="12.7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2:12" ht="12.7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2:12" ht="12.7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spans="2:12" ht="12.7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spans="2:12" ht="12.7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spans="2:12" ht="12.7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spans="2:12" ht="12.7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spans="2:12" ht="12.7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spans="2:12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spans="2:12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2:12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spans="2:12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spans="2:12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spans="2:12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spans="2:12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spans="2:12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spans="2:12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2:12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  <row r="433" spans="2:12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2:12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spans="2:12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</row>
    <row r="436" spans="2:12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</row>
    <row r="437" spans="2:12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</row>
    <row r="438" spans="2:12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spans="2:12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</row>
    <row r="440" spans="2:12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</row>
    <row r="441" spans="2:12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</row>
    <row r="442" spans="2:12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</row>
    <row r="443" spans="2:12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spans="2:12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</row>
    <row r="445" spans="2:12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</row>
    <row r="446" spans="2:12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</row>
    <row r="447" spans="2:12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spans="2:12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</row>
    <row r="449" spans="2:12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</row>
    <row r="450" spans="2:12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</row>
    <row r="451" spans="2:12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</row>
    <row r="452" spans="2:12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spans="2:12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B1">
      <selection activeCell="C17" sqref="C17"/>
    </sheetView>
  </sheetViews>
  <sheetFormatPr defaultColWidth="9.140625" defaultRowHeight="12.75"/>
  <cols>
    <col min="1" max="1" width="1.7109375" style="0" hidden="1" customWidth="1"/>
    <col min="2" max="2" width="21.421875" style="0" customWidth="1"/>
    <col min="3" max="3" width="61.00390625" style="62" customWidth="1"/>
  </cols>
  <sheetData>
    <row r="1" ht="12.75">
      <c r="B1" s="9" t="s">
        <v>190</v>
      </c>
    </row>
    <row r="3" spans="2:12" s="1" customFormat="1" ht="12.75">
      <c r="B3" s="9" t="s">
        <v>166</v>
      </c>
      <c r="C3" s="15" t="s">
        <v>166</v>
      </c>
      <c r="D3" s="15"/>
      <c r="E3" s="15"/>
      <c r="F3" s="15"/>
      <c r="G3" s="15"/>
      <c r="H3" s="15"/>
      <c r="I3" s="15"/>
      <c r="J3" s="15"/>
      <c r="K3" s="15"/>
      <c r="L3" s="15"/>
    </row>
    <row r="4" spans="2:12" s="1" customFormat="1" ht="12.75">
      <c r="B4" s="9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s="1" customFormat="1" ht="25.5">
      <c r="B5" s="58" t="s">
        <v>168</v>
      </c>
      <c r="C5" s="51" t="s">
        <v>164</v>
      </c>
      <c r="D5" s="15"/>
      <c r="E5" s="15"/>
      <c r="F5" s="15"/>
      <c r="G5" s="15"/>
      <c r="H5" s="15"/>
      <c r="I5" s="15"/>
      <c r="J5" s="15"/>
      <c r="K5" s="15"/>
      <c r="L5" s="15"/>
    </row>
    <row r="6" spans="2:12" s="1" customFormat="1" ht="12.75">
      <c r="B6" s="15" t="s">
        <v>169</v>
      </c>
      <c r="C6" s="15" t="s">
        <v>135</v>
      </c>
      <c r="D6" s="15"/>
      <c r="E6" s="15"/>
      <c r="F6" s="15"/>
      <c r="G6" s="15"/>
      <c r="H6" s="15"/>
      <c r="I6" s="15"/>
      <c r="J6" s="15"/>
      <c r="K6" s="15"/>
      <c r="L6" s="15"/>
    </row>
    <row r="7" spans="2:12" s="1" customFormat="1" ht="12.75">
      <c r="B7" s="15" t="s">
        <v>170</v>
      </c>
      <c r="C7" s="15" t="s">
        <v>135</v>
      </c>
      <c r="D7" s="15"/>
      <c r="E7" s="15"/>
      <c r="F7" s="15"/>
      <c r="G7" s="15"/>
      <c r="H7" s="15"/>
      <c r="I7" s="15"/>
      <c r="J7" s="15"/>
      <c r="K7" s="15"/>
      <c r="L7" s="15"/>
    </row>
    <row r="8" spans="2:12" s="1" customFormat="1" ht="12.75">
      <c r="B8" s="15" t="s">
        <v>171</v>
      </c>
      <c r="C8" s="18" t="s">
        <v>223</v>
      </c>
      <c r="D8" s="15"/>
      <c r="E8" s="15"/>
      <c r="F8" s="15"/>
      <c r="G8" s="15"/>
      <c r="H8" s="15"/>
      <c r="I8" s="15"/>
      <c r="J8" s="15"/>
      <c r="K8" s="15"/>
      <c r="L8" s="15"/>
    </row>
    <row r="9" spans="2:12" s="1" customFormat="1" ht="12.75">
      <c r="B9" s="15" t="s">
        <v>222</v>
      </c>
      <c r="C9" s="100">
        <v>36708</v>
      </c>
      <c r="D9" s="15"/>
      <c r="E9" s="15"/>
      <c r="F9" s="15"/>
      <c r="G9" s="15"/>
      <c r="H9" s="15"/>
      <c r="I9" s="15"/>
      <c r="J9" s="15"/>
      <c r="K9" s="15"/>
      <c r="L9" s="15"/>
    </row>
    <row r="10" spans="2:12" s="1" customFormat="1" ht="12.75">
      <c r="B10" s="15" t="s">
        <v>172</v>
      </c>
      <c r="C10" s="15" t="s">
        <v>160</v>
      </c>
      <c r="D10" s="15"/>
      <c r="E10" s="15"/>
      <c r="F10" s="15"/>
      <c r="G10" s="15"/>
      <c r="H10" s="15"/>
      <c r="I10" s="15"/>
      <c r="J10" s="15"/>
      <c r="K10" s="15"/>
      <c r="L10" s="15"/>
    </row>
    <row r="11" spans="2:12" s="1" customFormat="1" ht="12.75">
      <c r="B11" s="58" t="s">
        <v>173</v>
      </c>
      <c r="C11" s="52" t="s">
        <v>159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4:12" s="1" customFormat="1" ht="12.75">
      <c r="D12" s="15"/>
      <c r="E12" s="15"/>
      <c r="F12" s="15"/>
      <c r="G12" s="15"/>
      <c r="H12" s="15"/>
      <c r="I12" s="15"/>
      <c r="J12" s="15"/>
      <c r="K12" s="15"/>
      <c r="L12" s="15"/>
    </row>
    <row r="13" spans="2:12" s="1" customFormat="1" ht="12.75">
      <c r="B13" s="9" t="s">
        <v>167</v>
      </c>
      <c r="C13" s="15" t="s">
        <v>167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2:12" s="1" customFormat="1" ht="12.75">
      <c r="B14" s="9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s="1" customFormat="1" ht="25.5">
      <c r="B15" s="58" t="s">
        <v>168</v>
      </c>
      <c r="C15" s="51" t="s">
        <v>164</v>
      </c>
      <c r="D15" s="15"/>
      <c r="E15" s="15"/>
      <c r="F15" s="15"/>
      <c r="G15" s="15"/>
      <c r="H15" s="15"/>
      <c r="I15" s="15"/>
      <c r="J15" s="15"/>
      <c r="K15" s="15"/>
      <c r="L15" s="15"/>
    </row>
    <row r="16" spans="2:12" s="1" customFormat="1" ht="12.75">
      <c r="B16" s="15" t="s">
        <v>169</v>
      </c>
      <c r="C16" s="15" t="s">
        <v>135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2:12" s="1" customFormat="1" ht="12.75">
      <c r="B17" s="15" t="s">
        <v>170</v>
      </c>
      <c r="C17" s="15" t="s">
        <v>135</v>
      </c>
      <c r="D17" s="15"/>
      <c r="E17" s="15"/>
      <c r="F17" s="15"/>
      <c r="G17" s="15"/>
      <c r="H17" s="15"/>
      <c r="I17" s="15"/>
      <c r="J17" s="15"/>
      <c r="K17" s="15"/>
      <c r="L17" s="15"/>
    </row>
    <row r="18" spans="2:12" s="1" customFormat="1" ht="12.75">
      <c r="B18" s="15" t="s">
        <v>171</v>
      </c>
      <c r="C18" s="18">
        <v>36736</v>
      </c>
      <c r="D18" s="15"/>
      <c r="E18" s="15"/>
      <c r="F18" s="15"/>
      <c r="G18" s="15"/>
      <c r="H18" s="15"/>
      <c r="I18" s="15"/>
      <c r="J18" s="15"/>
      <c r="K18" s="15"/>
      <c r="L18" s="15"/>
    </row>
    <row r="19" spans="2:12" s="1" customFormat="1" ht="12.75">
      <c r="B19" s="15" t="s">
        <v>222</v>
      </c>
      <c r="C19" s="100">
        <v>36708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2:12" s="1" customFormat="1" ht="12.75">
      <c r="B20" s="15" t="s">
        <v>172</v>
      </c>
      <c r="C20" s="15" t="s">
        <v>161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2:12" s="1" customFormat="1" ht="12.75">
      <c r="B21" s="58" t="s">
        <v>173</v>
      </c>
      <c r="C21" s="52" t="s">
        <v>158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2:12" s="1" customFormat="1" ht="12.75">
      <c r="B22" s="58"/>
      <c r="C22" s="52"/>
      <c r="D22" s="15"/>
      <c r="E22" s="15"/>
      <c r="F22" s="15"/>
      <c r="G22" s="15"/>
      <c r="H22" s="15"/>
      <c r="I22" s="15"/>
      <c r="J22" s="15"/>
      <c r="K22" s="15"/>
      <c r="L22" s="15"/>
    </row>
    <row r="23" ht="12.75">
      <c r="B23" s="9" t="s">
        <v>134</v>
      </c>
    </row>
    <row r="24" ht="12.75">
      <c r="B24" s="9"/>
    </row>
    <row r="25" spans="2:3" ht="38.25">
      <c r="B25" s="58" t="s">
        <v>168</v>
      </c>
      <c r="C25" s="51" t="s">
        <v>195</v>
      </c>
    </row>
    <row r="26" spans="2:3" ht="12.75">
      <c r="B26" s="15" t="s">
        <v>169</v>
      </c>
      <c r="C26" s="15" t="s">
        <v>196</v>
      </c>
    </row>
    <row r="27" spans="2:3" ht="12.75">
      <c r="B27" s="15" t="s">
        <v>170</v>
      </c>
      <c r="C27" s="15" t="s">
        <v>196</v>
      </c>
    </row>
    <row r="28" spans="1:3" ht="12.75">
      <c r="A28" t="s">
        <v>134</v>
      </c>
      <c r="B28" t="s">
        <v>174</v>
      </c>
      <c r="C28" s="62" t="s">
        <v>197</v>
      </c>
    </row>
    <row r="29" spans="2:5" ht="12.75">
      <c r="B29" s="15" t="s">
        <v>171</v>
      </c>
      <c r="E29" s="86"/>
    </row>
    <row r="30" spans="2:5" ht="12.75">
      <c r="B30" s="15" t="s">
        <v>222</v>
      </c>
      <c r="C30" s="101">
        <v>33086</v>
      </c>
      <c r="E30" s="86"/>
    </row>
    <row r="31" ht="12.75">
      <c r="E31" s="86"/>
    </row>
    <row r="32" spans="2:5" ht="12.75">
      <c r="B32" s="9" t="s">
        <v>136</v>
      </c>
      <c r="E32" s="86"/>
    </row>
    <row r="33" spans="2:5" ht="12.75">
      <c r="B33" s="9"/>
      <c r="E33" s="86"/>
    </row>
    <row r="34" spans="2:5" ht="38.25">
      <c r="B34" s="58" t="s">
        <v>168</v>
      </c>
      <c r="C34" s="51" t="s">
        <v>195</v>
      </c>
      <c r="E34" s="86"/>
    </row>
    <row r="35" spans="2:5" ht="12.75">
      <c r="B35" s="15" t="s">
        <v>169</v>
      </c>
      <c r="C35" s="15" t="s">
        <v>196</v>
      </c>
      <c r="E35" s="86"/>
    </row>
    <row r="36" spans="2:5" ht="12.75">
      <c r="B36" s="15" t="s">
        <v>170</v>
      </c>
      <c r="C36" s="15" t="s">
        <v>196</v>
      </c>
      <c r="E36" s="86"/>
    </row>
    <row r="37" spans="1:3" ht="12.75">
      <c r="A37" t="s">
        <v>136</v>
      </c>
      <c r="B37" t="s">
        <v>174</v>
      </c>
      <c r="C37" s="62" t="s">
        <v>198</v>
      </c>
    </row>
    <row r="38" ht="12.75">
      <c r="B38" s="15" t="s">
        <v>171</v>
      </c>
    </row>
    <row r="39" spans="2:3" ht="12.75">
      <c r="B39" s="15" t="s">
        <v>222</v>
      </c>
      <c r="C39" s="101">
        <v>33086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B115">
      <selection activeCell="O140" sqref="O140"/>
    </sheetView>
  </sheetViews>
  <sheetFormatPr defaultColWidth="9.140625" defaultRowHeight="12.75"/>
  <cols>
    <col min="1" max="1" width="5.00390625" style="20" hidden="1" customWidth="1"/>
    <col min="2" max="2" width="18.140625" style="20" customWidth="1"/>
    <col min="3" max="3" width="5.421875" style="20" customWidth="1"/>
    <col min="4" max="4" width="8.8515625" style="11" customWidth="1"/>
    <col min="5" max="5" width="6.140625" style="11" customWidth="1"/>
    <col min="6" max="6" width="3.7109375" style="11" customWidth="1"/>
    <col min="7" max="7" width="9.00390625" style="20" customWidth="1"/>
    <col min="8" max="8" width="3.421875" style="20" customWidth="1"/>
    <col min="9" max="9" width="10.7109375" style="21" customWidth="1"/>
    <col min="10" max="10" width="3.57421875" style="20" customWidth="1"/>
    <col min="11" max="11" width="9.421875" style="20" customWidth="1"/>
    <col min="12" max="12" width="4.57421875" style="20" customWidth="1"/>
    <col min="13" max="13" width="8.57421875" style="20" customWidth="1"/>
    <col min="14" max="14" width="2.140625" style="20" customWidth="1"/>
    <col min="15" max="16384" width="8.8515625" style="20" customWidth="1"/>
  </cols>
  <sheetData>
    <row r="1" spans="2:3" ht="12.75">
      <c r="B1" s="19" t="s">
        <v>199</v>
      </c>
      <c r="C1" s="19"/>
    </row>
    <row r="2" spans="2:12" ht="12.75">
      <c r="B2" s="22"/>
      <c r="C2" s="22"/>
      <c r="G2" s="22"/>
      <c r="H2" s="22"/>
      <c r="I2" s="23"/>
      <c r="J2" s="22"/>
      <c r="K2" s="22"/>
      <c r="L2" s="22"/>
    </row>
    <row r="3" spans="2:5" ht="12.75">
      <c r="B3" s="15"/>
      <c r="C3" s="15" t="s">
        <v>82</v>
      </c>
      <c r="D3" s="11" t="s">
        <v>12</v>
      </c>
      <c r="E3" s="11" t="s">
        <v>65</v>
      </c>
    </row>
    <row r="4" spans="2:12" ht="12.75">
      <c r="B4" s="15"/>
      <c r="C4" s="15"/>
      <c r="G4" s="22"/>
      <c r="H4" s="22"/>
      <c r="I4" s="23"/>
      <c r="J4" s="22"/>
      <c r="K4" s="22"/>
      <c r="L4" s="22"/>
    </row>
    <row r="5" spans="2:12" ht="12.75">
      <c r="B5" s="15"/>
      <c r="C5" s="15"/>
      <c r="G5" s="22"/>
      <c r="H5" s="22"/>
      <c r="I5" s="23"/>
      <c r="J5" s="22"/>
      <c r="K5" s="22"/>
      <c r="L5" s="22"/>
    </row>
    <row r="6" spans="1:13" ht="12.75">
      <c r="A6" s="20">
        <v>1</v>
      </c>
      <c r="B6" s="24" t="str">
        <f>cond!C3</f>
        <v>338C10</v>
      </c>
      <c r="C6" s="24" t="str">
        <f>cond!C10</f>
        <v>Trial - risk burn (DRE)</v>
      </c>
      <c r="G6" s="22" t="s">
        <v>175</v>
      </c>
      <c r="H6" s="22"/>
      <c r="I6" s="23" t="s">
        <v>176</v>
      </c>
      <c r="J6" s="22"/>
      <c r="K6" s="22" t="s">
        <v>177</v>
      </c>
      <c r="L6" s="22"/>
      <c r="M6" s="20" t="s">
        <v>47</v>
      </c>
    </row>
    <row r="7" spans="2:12" ht="12.75">
      <c r="B7" s="11"/>
      <c r="C7" s="11"/>
      <c r="D7" s="15"/>
      <c r="E7" s="15"/>
      <c r="F7" s="15"/>
      <c r="G7" s="15"/>
      <c r="H7" s="15"/>
      <c r="I7" s="25"/>
      <c r="J7" s="15"/>
      <c r="K7" s="15"/>
      <c r="L7" s="15"/>
    </row>
    <row r="8" spans="2:13" ht="12.75">
      <c r="B8" s="11" t="s">
        <v>13</v>
      </c>
      <c r="C8" s="11" t="s">
        <v>219</v>
      </c>
      <c r="D8" s="11" t="s">
        <v>14</v>
      </c>
      <c r="E8" s="11" t="s">
        <v>15</v>
      </c>
      <c r="F8"/>
      <c r="G8">
        <v>0.001</v>
      </c>
      <c r="H8"/>
      <c r="I8">
        <v>0.0003</v>
      </c>
      <c r="J8"/>
      <c r="K8">
        <v>0.0004</v>
      </c>
      <c r="L8"/>
      <c r="M8" s="59">
        <f>AVERAGE(K8,I8,G8)</f>
        <v>0.0005666666666666667</v>
      </c>
    </row>
    <row r="9" spans="2:13" ht="12.75">
      <c r="B9" s="11"/>
      <c r="C9" s="11"/>
      <c r="F9"/>
      <c r="G9"/>
      <c r="H9"/>
      <c r="I9"/>
      <c r="J9"/>
      <c r="K9"/>
      <c r="L9"/>
      <c r="M9" s="59"/>
    </row>
    <row r="10" spans="2:13" ht="12.75">
      <c r="B10" s="11" t="s">
        <v>50</v>
      </c>
      <c r="C10" s="11"/>
      <c r="D10" s="11" t="s">
        <v>148</v>
      </c>
      <c r="E10" s="11" t="s">
        <v>102</v>
      </c>
      <c r="F10"/>
      <c r="G10" s="66">
        <v>0.55</v>
      </c>
      <c r="H10" s="66"/>
      <c r="I10" s="66">
        <v>0.65</v>
      </c>
      <c r="J10" s="66"/>
      <c r="K10" s="66">
        <v>0.38</v>
      </c>
      <c r="L10"/>
      <c r="M10" s="7"/>
    </row>
    <row r="11" spans="2:13" ht="12.75">
      <c r="B11" s="11" t="s">
        <v>51</v>
      </c>
      <c r="C11" s="11"/>
      <c r="D11" s="11" t="s">
        <v>148</v>
      </c>
      <c r="E11" s="11" t="s">
        <v>102</v>
      </c>
      <c r="F11"/>
      <c r="G11" s="66">
        <v>0.07</v>
      </c>
      <c r="H11" s="66"/>
      <c r="I11" s="66">
        <v>0.11</v>
      </c>
      <c r="J11" s="66"/>
      <c r="K11" s="66">
        <v>0.04</v>
      </c>
      <c r="L11"/>
      <c r="M11" s="7"/>
    </row>
    <row r="12" spans="2:13" ht="12.75">
      <c r="B12" s="11"/>
      <c r="C12" s="11"/>
      <c r="F12"/>
      <c r="G12"/>
      <c r="H12"/>
      <c r="I12"/>
      <c r="J12"/>
      <c r="K12"/>
      <c r="L12"/>
      <c r="M12" s="7"/>
    </row>
    <row r="13" spans="2:13" ht="12.75">
      <c r="B13" s="11" t="s">
        <v>50</v>
      </c>
      <c r="C13" s="11" t="s">
        <v>219</v>
      </c>
      <c r="D13" s="11" t="s">
        <v>16</v>
      </c>
      <c r="E13" s="11" t="s">
        <v>15</v>
      </c>
      <c r="G13" s="66">
        <f>G10*14/(21-G$48)</f>
        <v>0.706422018348624</v>
      </c>
      <c r="H13" s="66"/>
      <c r="I13" s="66">
        <f>I10*14/(21-I$48)</f>
        <v>0.8584905660377359</v>
      </c>
      <c r="J13" s="66"/>
      <c r="K13" s="66">
        <f>K10*14/(21-K$48)</f>
        <v>0.5115384615384615</v>
      </c>
      <c r="L13"/>
      <c r="M13" s="69">
        <f>AVERAGE(K13,I13,G13)</f>
        <v>0.6921503486416071</v>
      </c>
    </row>
    <row r="14" spans="2:13" ht="12.75">
      <c r="B14" s="11" t="s">
        <v>51</v>
      </c>
      <c r="C14" s="11" t="s">
        <v>219</v>
      </c>
      <c r="D14" s="11" t="s">
        <v>16</v>
      </c>
      <c r="E14" s="11" t="s">
        <v>15</v>
      </c>
      <c r="G14" s="66">
        <f>G11*14/(21-G$48)</f>
        <v>0.08990825688073395</v>
      </c>
      <c r="H14" s="66"/>
      <c r="I14" s="66">
        <f>I11*14/(21-I$48)</f>
        <v>0.14528301886792452</v>
      </c>
      <c r="J14" s="66"/>
      <c r="K14" s="66">
        <f>K11*14/(21-K$48)</f>
        <v>0.05384615384615385</v>
      </c>
      <c r="L14"/>
      <c r="M14" s="69">
        <f>AVERAGE(K14,I14,G14)</f>
        <v>0.09634580986493745</v>
      </c>
    </row>
    <row r="15" spans="2:13" ht="12.75">
      <c r="B15" s="11" t="s">
        <v>126</v>
      </c>
      <c r="C15" s="11" t="s">
        <v>219</v>
      </c>
      <c r="D15" s="11" t="s">
        <v>16</v>
      </c>
      <c r="E15" s="11" t="s">
        <v>15</v>
      </c>
      <c r="F15"/>
      <c r="G15" s="66">
        <f>G13+2*G14</f>
        <v>0.8862385321100918</v>
      </c>
      <c r="H15" s="66"/>
      <c r="I15" s="66">
        <f>I13+2*I14</f>
        <v>1.149056603773585</v>
      </c>
      <c r="J15" s="66"/>
      <c r="K15" s="66">
        <f>K13+2*K14</f>
        <v>0.6192307692307693</v>
      </c>
      <c r="L15"/>
      <c r="M15" s="69">
        <f>AVERAGE(K15,I15,G15)</f>
        <v>0.884841968371482</v>
      </c>
    </row>
    <row r="17" spans="4:9" ht="12.75">
      <c r="D17" s="20"/>
      <c r="E17" s="20"/>
      <c r="F17" s="20"/>
      <c r="I17" s="20"/>
    </row>
    <row r="18" spans="4:9" ht="12.75">
      <c r="D18" s="20"/>
      <c r="E18" s="20"/>
      <c r="F18" s="20"/>
      <c r="I18" s="20"/>
    </row>
    <row r="19" spans="2:13" ht="12.75">
      <c r="B19" s="11" t="s">
        <v>118</v>
      </c>
      <c r="C19" s="11" t="s">
        <v>146</v>
      </c>
      <c r="G19" s="26"/>
      <c r="H19" s="26"/>
      <c r="I19" s="27"/>
      <c r="J19" s="26"/>
      <c r="K19" s="26"/>
      <c r="M19" s="59"/>
    </row>
    <row r="20" spans="2:13" ht="12.75">
      <c r="B20" s="11" t="s">
        <v>119</v>
      </c>
      <c r="C20" s="11"/>
      <c r="D20" s="11" t="s">
        <v>53</v>
      </c>
      <c r="G20" s="26">
        <v>199.12</v>
      </c>
      <c r="H20" s="26"/>
      <c r="I20" s="27">
        <v>200.21</v>
      </c>
      <c r="J20" s="26"/>
      <c r="K20" s="20">
        <v>201.46</v>
      </c>
      <c r="M20" s="7"/>
    </row>
    <row r="21" spans="2:13" ht="12.75">
      <c r="B21" s="11" t="s">
        <v>120</v>
      </c>
      <c r="C21" s="11" t="s">
        <v>219</v>
      </c>
      <c r="D21" s="11" t="s">
        <v>53</v>
      </c>
      <c r="G21" s="63">
        <v>0.000521</v>
      </c>
      <c r="H21" s="11"/>
      <c r="I21" s="84">
        <v>0.000532</v>
      </c>
      <c r="J21" s="11"/>
      <c r="K21" s="63">
        <v>0.000512</v>
      </c>
      <c r="L21" s="11"/>
      <c r="M21" s="59"/>
    </row>
    <row r="22" spans="2:13" ht="12.75">
      <c r="B22" s="11" t="s">
        <v>52</v>
      </c>
      <c r="C22" s="11" t="s">
        <v>219</v>
      </c>
      <c r="D22" s="11" t="s">
        <v>18</v>
      </c>
      <c r="G22" s="78">
        <f>(G20-G21)/G20*100</f>
        <v>99.99973834873444</v>
      </c>
      <c r="H22" s="78"/>
      <c r="I22" s="78">
        <f>(I20-I21)/I20*100</f>
        <v>99.99973427900704</v>
      </c>
      <c r="J22" s="78"/>
      <c r="K22" s="78">
        <f>(K20-K21)/K20*100</f>
        <v>99.99974585525663</v>
      </c>
      <c r="L22" s="79"/>
      <c r="M22" s="59"/>
    </row>
    <row r="23" spans="2:13" ht="12.75">
      <c r="B23" s="11"/>
      <c r="C23" s="11"/>
      <c r="G23" s="72"/>
      <c r="H23" s="72"/>
      <c r="I23" s="72"/>
      <c r="J23" s="72"/>
      <c r="K23" s="72"/>
      <c r="L23" s="11"/>
      <c r="M23" s="73"/>
    </row>
    <row r="24" spans="2:13" ht="12.75">
      <c r="B24" s="11" t="s">
        <v>118</v>
      </c>
      <c r="C24" s="11" t="s">
        <v>147</v>
      </c>
      <c r="G24" s="26"/>
      <c r="H24" s="26"/>
      <c r="I24" s="27"/>
      <c r="J24" s="26"/>
      <c r="K24" s="26"/>
      <c r="M24" s="60"/>
    </row>
    <row r="25" spans="2:13" ht="12.75">
      <c r="B25" s="11" t="s">
        <v>119</v>
      </c>
      <c r="C25" s="11"/>
      <c r="D25" s="11" t="s">
        <v>53</v>
      </c>
      <c r="G25" s="26">
        <v>193.01</v>
      </c>
      <c r="H25" s="26"/>
      <c r="I25" s="27">
        <v>194.08</v>
      </c>
      <c r="J25" s="26"/>
      <c r="K25" s="20">
        <v>194.79</v>
      </c>
      <c r="M25" s="68"/>
    </row>
    <row r="26" spans="2:13" ht="12.75">
      <c r="B26" s="11" t="s">
        <v>120</v>
      </c>
      <c r="C26" s="11" t="s">
        <v>219</v>
      </c>
      <c r="D26" s="11" t="s">
        <v>53</v>
      </c>
      <c r="G26" s="63">
        <v>0.00019</v>
      </c>
      <c r="H26" s="11"/>
      <c r="I26" s="63">
        <v>0.000198</v>
      </c>
      <c r="J26" s="11"/>
      <c r="K26" s="63">
        <v>0.000193</v>
      </c>
      <c r="L26" s="11"/>
      <c r="M26" s="28"/>
    </row>
    <row r="27" spans="2:13" ht="12.75">
      <c r="B27" s="11" t="s">
        <v>52</v>
      </c>
      <c r="C27" s="11" t="s">
        <v>219</v>
      </c>
      <c r="D27" s="11" t="s">
        <v>18</v>
      </c>
      <c r="G27" s="78">
        <f>(G25-G26)/G25*100</f>
        <v>99.99990155950469</v>
      </c>
      <c r="H27" s="78"/>
      <c r="I27" s="78">
        <f>(I25-I26)/I25*100</f>
        <v>99.99989798021434</v>
      </c>
      <c r="J27" s="78"/>
      <c r="K27" s="78">
        <f>(K25-K26)/K25*100</f>
        <v>99.99990091893835</v>
      </c>
      <c r="L27" s="79"/>
      <c r="M27" s="59"/>
    </row>
    <row r="28" spans="2:13" ht="12.75">
      <c r="B28" s="11"/>
      <c r="C28" s="11"/>
      <c r="G28"/>
      <c r="H28" s="11"/>
      <c r="I28"/>
      <c r="J28" s="11"/>
      <c r="K28"/>
      <c r="L28"/>
      <c r="M28" s="7"/>
    </row>
    <row r="29" spans="2:13" ht="12.75">
      <c r="B29" s="11" t="s">
        <v>109</v>
      </c>
      <c r="C29" s="11"/>
      <c r="D29" s="11" t="s">
        <v>150</v>
      </c>
      <c r="E29" s="11" t="s">
        <v>102</v>
      </c>
      <c r="F29" s="11" t="s">
        <v>100</v>
      </c>
      <c r="G29">
        <v>1.142</v>
      </c>
      <c r="H29" s="11" t="s">
        <v>100</v>
      </c>
      <c r="I29">
        <v>4.217</v>
      </c>
      <c r="J29" s="11" t="s">
        <v>100</v>
      </c>
      <c r="K29">
        <v>4.78</v>
      </c>
      <c r="L29" s="11"/>
      <c r="M29"/>
    </row>
    <row r="30" spans="2:13" ht="12.75">
      <c r="B30" s="11" t="s">
        <v>105</v>
      </c>
      <c r="C30" s="11"/>
      <c r="D30" s="11" t="s">
        <v>150</v>
      </c>
      <c r="E30" s="11" t="s">
        <v>102</v>
      </c>
      <c r="F30" s="11" t="s">
        <v>100</v>
      </c>
      <c r="G30">
        <v>0.222</v>
      </c>
      <c r="H30" s="11" t="s">
        <v>100</v>
      </c>
      <c r="I30">
        <v>115.8</v>
      </c>
      <c r="J30" s="11" t="s">
        <v>100</v>
      </c>
      <c r="K30">
        <v>106.7</v>
      </c>
      <c r="L30" s="11"/>
      <c r="M30"/>
    </row>
    <row r="31" spans="2:13" ht="12.75">
      <c r="B31" s="11" t="s">
        <v>106</v>
      </c>
      <c r="C31" s="11"/>
      <c r="D31" s="11" t="s">
        <v>150</v>
      </c>
      <c r="E31" s="11" t="s">
        <v>102</v>
      </c>
      <c r="F31" s="11" t="s">
        <v>100</v>
      </c>
      <c r="G31">
        <v>12.36</v>
      </c>
      <c r="H31" s="11" t="s">
        <v>100</v>
      </c>
      <c r="I31">
        <v>32.73</v>
      </c>
      <c r="J31" s="11" t="s">
        <v>100</v>
      </c>
      <c r="K31">
        <v>42.8</v>
      </c>
      <c r="L31"/>
      <c r="M31"/>
    </row>
    <row r="32" spans="2:13" ht="12.75">
      <c r="B32" s="11" t="s">
        <v>80</v>
      </c>
      <c r="C32" s="11"/>
      <c r="D32" s="11" t="s">
        <v>150</v>
      </c>
      <c r="E32" s="11" t="s">
        <v>102</v>
      </c>
      <c r="F32" s="11" t="s">
        <v>100</v>
      </c>
      <c r="G32">
        <v>0.136</v>
      </c>
      <c r="H32" s="11" t="s">
        <v>100</v>
      </c>
      <c r="I32">
        <v>0.174</v>
      </c>
      <c r="J32" s="11" t="s">
        <v>100</v>
      </c>
      <c r="K32">
        <v>0.149</v>
      </c>
      <c r="L32" s="11"/>
      <c r="M32"/>
    </row>
    <row r="33" spans="2:13" ht="12.75">
      <c r="B33" s="11" t="s">
        <v>107</v>
      </c>
      <c r="C33" s="11"/>
      <c r="D33" s="11" t="s">
        <v>150</v>
      </c>
      <c r="E33" s="11" t="s">
        <v>102</v>
      </c>
      <c r="F33" s="11" t="s">
        <v>100</v>
      </c>
      <c r="G33">
        <v>0.171</v>
      </c>
      <c r="H33" s="11" t="s">
        <v>100</v>
      </c>
      <c r="I33">
        <v>0.156</v>
      </c>
      <c r="J33" s="11" t="s">
        <v>100</v>
      </c>
      <c r="K33">
        <v>0.133</v>
      </c>
      <c r="L33" s="11"/>
      <c r="M33"/>
    </row>
    <row r="34" spans="2:13" ht="12.75">
      <c r="B34" s="11" t="s">
        <v>85</v>
      </c>
      <c r="C34" s="11"/>
      <c r="D34" s="11" t="s">
        <v>150</v>
      </c>
      <c r="E34" s="11" t="s">
        <v>102</v>
      </c>
      <c r="G34">
        <v>0.955</v>
      </c>
      <c r="H34" s="11"/>
      <c r="I34">
        <v>1.406</v>
      </c>
      <c r="J34" s="11"/>
      <c r="K34">
        <v>1.693</v>
      </c>
      <c r="L34" s="11"/>
      <c r="M34"/>
    </row>
    <row r="35" spans="2:13" ht="12.75">
      <c r="B35" s="99" t="s">
        <v>221</v>
      </c>
      <c r="C35" s="11"/>
      <c r="D35" s="11" t="s">
        <v>150</v>
      </c>
      <c r="E35" s="11" t="s">
        <v>102</v>
      </c>
      <c r="G35">
        <v>34.332</v>
      </c>
      <c r="H35" s="11"/>
      <c r="I35">
        <v>1.317</v>
      </c>
      <c r="J35" s="11"/>
      <c r="K35">
        <v>3.099</v>
      </c>
      <c r="L35"/>
      <c r="M35"/>
    </row>
    <row r="36" spans="2:13" ht="12.75">
      <c r="B36" s="11" t="s">
        <v>151</v>
      </c>
      <c r="C36" s="11"/>
      <c r="D36" s="11" t="s">
        <v>150</v>
      </c>
      <c r="E36" s="11" t="s">
        <v>102</v>
      </c>
      <c r="F36" s="11" t="s">
        <v>100</v>
      </c>
      <c r="G36">
        <v>1.67</v>
      </c>
      <c r="H36" s="11"/>
      <c r="I36">
        <v>5.415</v>
      </c>
      <c r="J36" s="11"/>
      <c r="K36">
        <v>2.739</v>
      </c>
      <c r="L36" s="11"/>
      <c r="M36"/>
    </row>
    <row r="37" spans="2:13" ht="12.75">
      <c r="B37" s="11" t="s">
        <v>79</v>
      </c>
      <c r="C37" s="11"/>
      <c r="D37" s="11" t="s">
        <v>150</v>
      </c>
      <c r="E37" s="11" t="s">
        <v>102</v>
      </c>
      <c r="F37" s="11" t="s">
        <v>100</v>
      </c>
      <c r="G37">
        <v>0.648</v>
      </c>
      <c r="H37" s="11"/>
      <c r="I37">
        <v>2.707</v>
      </c>
      <c r="J37" s="11"/>
      <c r="K37">
        <v>1.809</v>
      </c>
      <c r="L37"/>
      <c r="M37"/>
    </row>
    <row r="38" spans="2:13" ht="12.75">
      <c r="B38" s="11" t="s">
        <v>152</v>
      </c>
      <c r="C38" s="11"/>
      <c r="D38" s="11" t="s">
        <v>150</v>
      </c>
      <c r="E38" s="11" t="s">
        <v>102</v>
      </c>
      <c r="G38">
        <v>1.876</v>
      </c>
      <c r="H38" s="11"/>
      <c r="I38">
        <v>164.4</v>
      </c>
      <c r="J38" s="11"/>
      <c r="K38">
        <v>7.004</v>
      </c>
      <c r="L38"/>
      <c r="M38"/>
    </row>
    <row r="39" spans="2:13" ht="12.75">
      <c r="B39" s="11" t="s">
        <v>108</v>
      </c>
      <c r="C39" s="11"/>
      <c r="D39" s="11" t="s">
        <v>150</v>
      </c>
      <c r="E39" s="11" t="s">
        <v>102</v>
      </c>
      <c r="G39">
        <v>2.387</v>
      </c>
      <c r="H39" s="11" t="s">
        <v>100</v>
      </c>
      <c r="I39" s="69">
        <v>5.085</v>
      </c>
      <c r="J39" s="11" t="s">
        <v>100</v>
      </c>
      <c r="K39" s="69">
        <v>4.365</v>
      </c>
      <c r="L39" s="11"/>
      <c r="M39"/>
    </row>
    <row r="40" spans="2:13" ht="12.75">
      <c r="B40" s="11" t="s">
        <v>110</v>
      </c>
      <c r="C40" s="11"/>
      <c r="D40" s="11" t="s">
        <v>150</v>
      </c>
      <c r="E40" s="11" t="s">
        <v>102</v>
      </c>
      <c r="G40">
        <v>1.279</v>
      </c>
      <c r="H40" s="11"/>
      <c r="I40">
        <v>1.753</v>
      </c>
      <c r="J40" s="11"/>
      <c r="K40">
        <v>2.905</v>
      </c>
      <c r="L40" s="11"/>
      <c r="M40"/>
    </row>
    <row r="41" spans="2:13" ht="12.75">
      <c r="B41" s="11" t="s">
        <v>104</v>
      </c>
      <c r="C41" s="11"/>
      <c r="D41" s="11" t="s">
        <v>150</v>
      </c>
      <c r="E41" s="11" t="s">
        <v>102</v>
      </c>
      <c r="F41" s="11" t="s">
        <v>100</v>
      </c>
      <c r="G41">
        <v>0.682</v>
      </c>
      <c r="H41" s="11" t="s">
        <v>100</v>
      </c>
      <c r="I41">
        <v>0.694</v>
      </c>
      <c r="J41" s="11" t="s">
        <v>100</v>
      </c>
      <c r="K41">
        <v>0.664</v>
      </c>
      <c r="L41" s="11"/>
      <c r="M41"/>
    </row>
    <row r="42" spans="2:13" ht="12.75">
      <c r="B42" s="11" t="s">
        <v>111</v>
      </c>
      <c r="C42" s="11"/>
      <c r="D42" s="11" t="s">
        <v>150</v>
      </c>
      <c r="E42" s="11" t="s">
        <v>102</v>
      </c>
      <c r="F42" s="11" t="s">
        <v>100</v>
      </c>
      <c r="G42">
        <v>0.682</v>
      </c>
      <c r="H42" s="11" t="s">
        <v>100</v>
      </c>
      <c r="I42">
        <v>0.694</v>
      </c>
      <c r="J42" s="11" t="s">
        <v>100</v>
      </c>
      <c r="K42">
        <v>0.664</v>
      </c>
      <c r="L42" s="11"/>
      <c r="M42"/>
    </row>
    <row r="43" spans="2:13" ht="12.75">
      <c r="B43" s="11" t="s">
        <v>112</v>
      </c>
      <c r="C43" s="11"/>
      <c r="D43" s="11" t="s">
        <v>150</v>
      </c>
      <c r="E43" s="11" t="s">
        <v>102</v>
      </c>
      <c r="G43">
        <v>10.435</v>
      </c>
      <c r="H43" s="11"/>
      <c r="I43">
        <v>35.8</v>
      </c>
      <c r="J43" s="11"/>
      <c r="K43">
        <v>24.8</v>
      </c>
      <c r="L43" s="11"/>
      <c r="M43"/>
    </row>
    <row r="44" spans="2:13" ht="12.75">
      <c r="B44" s="11" t="s">
        <v>81</v>
      </c>
      <c r="C44" s="11"/>
      <c r="D44" s="11" t="s">
        <v>150</v>
      </c>
      <c r="E44" s="11" t="s">
        <v>102</v>
      </c>
      <c r="F44" s="11" t="s">
        <v>100</v>
      </c>
      <c r="G44">
        <v>2.182</v>
      </c>
      <c r="H44" s="11" t="s">
        <v>100</v>
      </c>
      <c r="I44">
        <v>2.083</v>
      </c>
      <c r="J44" s="11" t="s">
        <v>100</v>
      </c>
      <c r="K44">
        <v>1.71</v>
      </c>
      <c r="L44" s="11"/>
      <c r="M44"/>
    </row>
    <row r="45" spans="2:13" ht="12.75">
      <c r="B45" s="11"/>
      <c r="C45" s="11"/>
      <c r="F45"/>
      <c r="G45"/>
      <c r="H45"/>
      <c r="I45"/>
      <c r="J45"/>
      <c r="K45"/>
      <c r="L45"/>
      <c r="M45"/>
    </row>
    <row r="46" spans="2:13" ht="12.75">
      <c r="B46" s="11" t="s">
        <v>86</v>
      </c>
      <c r="C46" s="11" t="s">
        <v>149</v>
      </c>
      <c r="D46" s="11" t="s">
        <v>219</v>
      </c>
      <c r="F46"/>
      <c r="G46"/>
      <c r="H46"/>
      <c r="I46"/>
      <c r="J46"/>
      <c r="K46"/>
      <c r="L46"/>
      <c r="M46"/>
    </row>
    <row r="47" spans="2:13" ht="12.75">
      <c r="B47" s="11" t="s">
        <v>78</v>
      </c>
      <c r="C47" s="11"/>
      <c r="D47" s="11" t="s">
        <v>17</v>
      </c>
      <c r="F47"/>
      <c r="G47" s="20">
        <v>39094</v>
      </c>
      <c r="I47" s="20">
        <v>40231</v>
      </c>
      <c r="K47" s="20">
        <v>38711</v>
      </c>
      <c r="L47"/>
      <c r="M47" s="7">
        <f>AVERAGE(K47,I47,G47)</f>
        <v>39345.333333333336</v>
      </c>
    </row>
    <row r="48" spans="2:13" ht="12.75">
      <c r="B48" s="11" t="s">
        <v>83</v>
      </c>
      <c r="C48" s="11"/>
      <c r="D48" s="11" t="s">
        <v>18</v>
      </c>
      <c r="F48"/>
      <c r="G48">
        <v>10.1</v>
      </c>
      <c r="H48"/>
      <c r="I48">
        <v>10.4</v>
      </c>
      <c r="J48"/>
      <c r="K48">
        <v>10.6</v>
      </c>
      <c r="L48"/>
      <c r="M48" s="7">
        <f>AVERAGE(K48,I48,G48)</f>
        <v>10.366666666666667</v>
      </c>
    </row>
    <row r="49" spans="2:13" ht="12.75">
      <c r="B49" s="11" t="s">
        <v>84</v>
      </c>
      <c r="C49" s="11"/>
      <c r="D49" s="11" t="s">
        <v>18</v>
      </c>
      <c r="F49"/>
      <c r="G49" s="20">
        <v>32.6</v>
      </c>
      <c r="I49" s="20">
        <v>30</v>
      </c>
      <c r="K49" s="20">
        <v>33.2</v>
      </c>
      <c r="L49"/>
      <c r="M49" s="7">
        <f>AVERAGE(K49,I49,G49)</f>
        <v>31.933333333333337</v>
      </c>
    </row>
    <row r="50" spans="2:13" ht="12.75">
      <c r="B50" s="11" t="s">
        <v>77</v>
      </c>
      <c r="C50" s="11"/>
      <c r="D50" s="11" t="s">
        <v>19</v>
      </c>
      <c r="F50"/>
      <c r="G50">
        <v>184</v>
      </c>
      <c r="H50"/>
      <c r="I50">
        <v>181</v>
      </c>
      <c r="J50"/>
      <c r="K50">
        <v>183</v>
      </c>
      <c r="L50"/>
      <c r="M50" s="7">
        <f>AVERAGE(K50,I50,G50)</f>
        <v>182.66666666666666</v>
      </c>
    </row>
    <row r="51" spans="2:13" ht="12.75">
      <c r="B51" s="11"/>
      <c r="C51" s="11"/>
      <c r="F51"/>
      <c r="G51"/>
      <c r="H51"/>
      <c r="I51"/>
      <c r="J51"/>
      <c r="K51"/>
      <c r="L51"/>
      <c r="M51"/>
    </row>
    <row r="52" spans="4:9" ht="12.75">
      <c r="D52" s="20"/>
      <c r="E52" s="20"/>
      <c r="F52" s="20"/>
      <c r="I52" s="20"/>
    </row>
    <row r="53" spans="2:13" ht="12.75">
      <c r="B53" s="11" t="s">
        <v>86</v>
      </c>
      <c r="C53" s="11" t="s">
        <v>154</v>
      </c>
      <c r="D53" s="11" t="s">
        <v>220</v>
      </c>
      <c r="F53"/>
      <c r="G53"/>
      <c r="H53"/>
      <c r="I53"/>
      <c r="J53"/>
      <c r="K53"/>
      <c r="L53"/>
      <c r="M53"/>
    </row>
    <row r="54" spans="2:13" ht="12.75">
      <c r="B54" s="11" t="s">
        <v>78</v>
      </c>
      <c r="C54" s="11"/>
      <c r="D54" s="11" t="s">
        <v>17</v>
      </c>
      <c r="F54"/>
      <c r="G54">
        <v>39990</v>
      </c>
      <c r="H54"/>
      <c r="I54">
        <v>39023</v>
      </c>
      <c r="J54"/>
      <c r="K54">
        <v>39232</v>
      </c>
      <c r="L54"/>
      <c r="M54" s="67">
        <f>AVERAGE(K54,I54,G54)</f>
        <v>39415</v>
      </c>
    </row>
    <row r="55" spans="2:13" ht="12.75">
      <c r="B55" s="11" t="s">
        <v>83</v>
      </c>
      <c r="C55" s="11"/>
      <c r="D55" s="11" t="s">
        <v>18</v>
      </c>
      <c r="F55"/>
      <c r="G55">
        <v>10.1</v>
      </c>
      <c r="H55"/>
      <c r="I55">
        <v>10.4</v>
      </c>
      <c r="J55"/>
      <c r="K55">
        <v>10.6</v>
      </c>
      <c r="L55"/>
      <c r="M55" s="7">
        <f>AVERAGE(K55,I55,G55)</f>
        <v>10.366666666666667</v>
      </c>
    </row>
    <row r="56" spans="2:13" ht="12.75">
      <c r="B56" s="11" t="s">
        <v>84</v>
      </c>
      <c r="C56" s="11"/>
      <c r="D56" s="11" t="s">
        <v>18</v>
      </c>
      <c r="F56"/>
      <c r="G56">
        <v>33.7</v>
      </c>
      <c r="H56"/>
      <c r="I56">
        <v>34.5</v>
      </c>
      <c r="J56"/>
      <c r="K56">
        <v>33.7</v>
      </c>
      <c r="L56"/>
      <c r="M56" s="7">
        <f>AVERAGE(K56,I56,G56)</f>
        <v>33.96666666666667</v>
      </c>
    </row>
    <row r="57" spans="2:13" ht="12.75">
      <c r="B57" s="11" t="s">
        <v>77</v>
      </c>
      <c r="C57" s="11"/>
      <c r="D57" s="11" t="s">
        <v>19</v>
      </c>
      <c r="F57"/>
      <c r="G57">
        <v>184</v>
      </c>
      <c r="H57"/>
      <c r="I57">
        <v>183</v>
      </c>
      <c r="J57"/>
      <c r="K57">
        <v>181</v>
      </c>
      <c r="L57"/>
      <c r="M57" s="67">
        <f>AVERAGE(K57,I57,G57)</f>
        <v>182.66666666666666</v>
      </c>
    </row>
    <row r="58" spans="2:13" ht="12.75">
      <c r="B58" s="11"/>
      <c r="C58" s="11"/>
      <c r="F58"/>
      <c r="G58"/>
      <c r="H58"/>
      <c r="I58"/>
      <c r="J58"/>
      <c r="K58"/>
      <c r="L58"/>
      <c r="M58" s="67"/>
    </row>
    <row r="59" spans="2:13" ht="12.75">
      <c r="B59" s="11" t="s">
        <v>109</v>
      </c>
      <c r="C59" s="11" t="s">
        <v>220</v>
      </c>
      <c r="D59" s="11" t="s">
        <v>150</v>
      </c>
      <c r="E59" s="11" t="s">
        <v>15</v>
      </c>
      <c r="F59" s="11" t="s">
        <v>100</v>
      </c>
      <c r="G59" s="7">
        <f aca="true" t="shared" si="0" ref="G59:G74">G29*(21-7)/(21-G$55)</f>
        <v>1.466788990825688</v>
      </c>
      <c r="H59" s="11" t="s">
        <v>100</v>
      </c>
      <c r="I59" s="7">
        <f aca="true" t="shared" si="1" ref="I59:I74">I29*(21-7)/(21-I$55)</f>
        <v>5.569622641509434</v>
      </c>
      <c r="J59" s="11" t="s">
        <v>100</v>
      </c>
      <c r="K59" s="7">
        <f aca="true" t="shared" si="2" ref="K59:K74">K29*(21-7)/(21-K$55)</f>
        <v>6.434615384615385</v>
      </c>
      <c r="L59" s="11"/>
      <c r="M59" s="7">
        <f aca="true" t="shared" si="3" ref="M59:M73">AVERAGE(K59,I59,G59)</f>
        <v>4.490342338983502</v>
      </c>
    </row>
    <row r="60" spans="2:13" ht="12.75">
      <c r="B60" s="11" t="s">
        <v>105</v>
      </c>
      <c r="C60" s="11" t="s">
        <v>220</v>
      </c>
      <c r="D60" s="11" t="s">
        <v>150</v>
      </c>
      <c r="E60" s="11" t="s">
        <v>15</v>
      </c>
      <c r="G60" s="7">
        <f t="shared" si="0"/>
        <v>0.2851376146788991</v>
      </c>
      <c r="H60" s="11"/>
      <c r="I60" s="7">
        <f t="shared" si="1"/>
        <v>152.9433962264151</v>
      </c>
      <c r="J60"/>
      <c r="K60" s="7">
        <f t="shared" si="2"/>
        <v>143.6346153846154</v>
      </c>
      <c r="L60" s="11"/>
      <c r="M60" s="7">
        <f t="shared" si="3"/>
        <v>98.95438307523646</v>
      </c>
    </row>
    <row r="61" spans="2:13" ht="12.75">
      <c r="B61" s="11" t="s">
        <v>106</v>
      </c>
      <c r="C61" s="11" t="s">
        <v>220</v>
      </c>
      <c r="D61" s="11" t="s">
        <v>150</v>
      </c>
      <c r="E61" s="11" t="s">
        <v>15</v>
      </c>
      <c r="F61"/>
      <c r="G61" s="7">
        <f t="shared" si="0"/>
        <v>15.875229357798164</v>
      </c>
      <c r="H61"/>
      <c r="I61" s="7">
        <f t="shared" si="1"/>
        <v>43.22830188679245</v>
      </c>
      <c r="J61"/>
      <c r="K61" s="7">
        <f t="shared" si="2"/>
        <v>57.615384615384606</v>
      </c>
      <c r="L61"/>
      <c r="M61" s="7">
        <f t="shared" si="3"/>
        <v>38.90630528665841</v>
      </c>
    </row>
    <row r="62" spans="2:13" ht="12.75">
      <c r="B62" s="11" t="s">
        <v>80</v>
      </c>
      <c r="C62" s="11" t="s">
        <v>220</v>
      </c>
      <c r="D62" s="11" t="s">
        <v>150</v>
      </c>
      <c r="E62" s="11" t="s">
        <v>15</v>
      </c>
      <c r="F62" s="11" t="s">
        <v>100</v>
      </c>
      <c r="G62" s="7">
        <f t="shared" si="0"/>
        <v>0.1746788990825688</v>
      </c>
      <c r="H62" s="11" t="s">
        <v>100</v>
      </c>
      <c r="I62" s="7">
        <f t="shared" si="1"/>
        <v>0.229811320754717</v>
      </c>
      <c r="J62" s="11" t="s">
        <v>100</v>
      </c>
      <c r="K62" s="7">
        <f t="shared" si="2"/>
        <v>0.20057692307692307</v>
      </c>
      <c r="L62" s="11">
        <v>100</v>
      </c>
      <c r="M62" s="7">
        <f t="shared" si="3"/>
        <v>0.20168904763806964</v>
      </c>
    </row>
    <row r="63" spans="2:13" ht="12.75">
      <c r="B63" s="11" t="s">
        <v>107</v>
      </c>
      <c r="C63" s="11" t="s">
        <v>220</v>
      </c>
      <c r="D63" s="11" t="s">
        <v>150</v>
      </c>
      <c r="E63" s="11" t="s">
        <v>15</v>
      </c>
      <c r="G63" s="7">
        <f t="shared" si="0"/>
        <v>0.2196330275229358</v>
      </c>
      <c r="H63" s="11"/>
      <c r="I63" s="7">
        <f t="shared" si="1"/>
        <v>0.20603773584905663</v>
      </c>
      <c r="J63" t="s">
        <v>100</v>
      </c>
      <c r="K63" s="7">
        <f t="shared" si="2"/>
        <v>0.17903846153846154</v>
      </c>
      <c r="L63" s="11"/>
      <c r="M63" s="7">
        <f t="shared" si="3"/>
        <v>0.20156974163681798</v>
      </c>
    </row>
    <row r="64" spans="2:13" ht="12.75">
      <c r="B64" s="11" t="s">
        <v>85</v>
      </c>
      <c r="C64" s="11" t="s">
        <v>220</v>
      </c>
      <c r="D64" s="11" t="s">
        <v>150</v>
      </c>
      <c r="E64" s="11" t="s">
        <v>15</v>
      </c>
      <c r="G64" s="7">
        <f t="shared" si="0"/>
        <v>1.2266055045871558</v>
      </c>
      <c r="H64" s="11"/>
      <c r="I64" s="7">
        <f t="shared" si="1"/>
        <v>1.8569811320754714</v>
      </c>
      <c r="J64"/>
      <c r="K64" s="7">
        <f t="shared" si="2"/>
        <v>2.2790384615384616</v>
      </c>
      <c r="L64" s="11"/>
      <c r="M64" s="7">
        <f t="shared" si="3"/>
        <v>1.7875416994003632</v>
      </c>
    </row>
    <row r="65" spans="2:13" ht="12.75">
      <c r="B65" s="99" t="s">
        <v>221</v>
      </c>
      <c r="C65" s="11" t="s">
        <v>220</v>
      </c>
      <c r="D65" s="11" t="s">
        <v>150</v>
      </c>
      <c r="E65" s="11" t="s">
        <v>15</v>
      </c>
      <c r="F65"/>
      <c r="G65" s="7">
        <f t="shared" si="0"/>
        <v>44.09614678899083</v>
      </c>
      <c r="H65"/>
      <c r="I65" s="7">
        <f t="shared" si="1"/>
        <v>1.7394339622641508</v>
      </c>
      <c r="J65"/>
      <c r="K65" s="7">
        <f t="shared" si="2"/>
        <v>4.171730769230769</v>
      </c>
      <c r="L65"/>
      <c r="M65" s="7">
        <f t="shared" si="3"/>
        <v>16.669103840161917</v>
      </c>
    </row>
    <row r="66" spans="2:13" ht="12.75">
      <c r="B66" s="11" t="s">
        <v>151</v>
      </c>
      <c r="C66" s="11" t="s">
        <v>220</v>
      </c>
      <c r="D66" s="11" t="s">
        <v>150</v>
      </c>
      <c r="E66" s="11" t="s">
        <v>15</v>
      </c>
      <c r="G66" s="7">
        <f t="shared" si="0"/>
        <v>2.1449541284403666</v>
      </c>
      <c r="H66" s="11"/>
      <c r="I66" s="7">
        <f t="shared" si="1"/>
        <v>7.151886792452831</v>
      </c>
      <c r="J66"/>
      <c r="K66" s="7">
        <f t="shared" si="2"/>
        <v>3.6871153846153844</v>
      </c>
      <c r="L66" s="11"/>
      <c r="M66" s="7">
        <f t="shared" si="3"/>
        <v>4.327985435169527</v>
      </c>
    </row>
    <row r="67" spans="2:13" ht="12.75">
      <c r="B67" s="11" t="s">
        <v>79</v>
      </c>
      <c r="C67" s="11" t="s">
        <v>220</v>
      </c>
      <c r="D67" s="11" t="s">
        <v>150</v>
      </c>
      <c r="E67" s="11" t="s">
        <v>15</v>
      </c>
      <c r="G67" s="7">
        <f t="shared" si="0"/>
        <v>0.8322935779816515</v>
      </c>
      <c r="H67"/>
      <c r="I67" s="7">
        <f t="shared" si="1"/>
        <v>3.5752830188679243</v>
      </c>
      <c r="J67"/>
      <c r="K67" s="7">
        <f t="shared" si="2"/>
        <v>2.435192307692308</v>
      </c>
      <c r="L67"/>
      <c r="M67" s="7">
        <f t="shared" si="3"/>
        <v>2.280922968180628</v>
      </c>
    </row>
    <row r="68" spans="2:13" ht="12.75">
      <c r="B68" s="11" t="s">
        <v>152</v>
      </c>
      <c r="C68" s="11" t="s">
        <v>220</v>
      </c>
      <c r="D68" s="11" t="s">
        <v>150</v>
      </c>
      <c r="E68" s="11" t="s">
        <v>15</v>
      </c>
      <c r="F68" s="11" t="s">
        <v>100</v>
      </c>
      <c r="G68" s="7">
        <f t="shared" si="0"/>
        <v>2.4095412844036694</v>
      </c>
      <c r="H68" s="11" t="s">
        <v>100</v>
      </c>
      <c r="I68" s="7">
        <f t="shared" si="1"/>
        <v>217.1320754716981</v>
      </c>
      <c r="J68" s="11" t="s">
        <v>100</v>
      </c>
      <c r="K68" s="7">
        <f t="shared" si="2"/>
        <v>9.428461538461537</v>
      </c>
      <c r="L68" s="11"/>
      <c r="M68" s="7">
        <f t="shared" si="3"/>
        <v>76.3233594315211</v>
      </c>
    </row>
    <row r="69" spans="2:13" ht="12.75">
      <c r="B69" s="11" t="s">
        <v>108</v>
      </c>
      <c r="C69" s="11" t="s">
        <v>220</v>
      </c>
      <c r="D69" s="11" t="s">
        <v>150</v>
      </c>
      <c r="E69" s="11" t="s">
        <v>15</v>
      </c>
      <c r="G69" s="7">
        <f t="shared" si="0"/>
        <v>3.0658715596330275</v>
      </c>
      <c r="H69" s="11"/>
      <c r="I69" s="7">
        <f t="shared" si="1"/>
        <v>6.716037735849056</v>
      </c>
      <c r="J69" s="69"/>
      <c r="K69" s="7">
        <f t="shared" si="2"/>
        <v>5.875961538461538</v>
      </c>
      <c r="L69" s="11"/>
      <c r="M69" s="7">
        <f t="shared" si="3"/>
        <v>5.219290277981208</v>
      </c>
    </row>
    <row r="70" spans="2:13" ht="12.75">
      <c r="B70" s="11" t="s">
        <v>110</v>
      </c>
      <c r="C70" s="11" t="s">
        <v>220</v>
      </c>
      <c r="D70" s="11" t="s">
        <v>150</v>
      </c>
      <c r="E70" s="11" t="s">
        <v>15</v>
      </c>
      <c r="F70" s="11" t="s">
        <v>100</v>
      </c>
      <c r="G70" s="7">
        <f t="shared" si="0"/>
        <v>1.6427522935779815</v>
      </c>
      <c r="H70" s="11" t="s">
        <v>100</v>
      </c>
      <c r="I70" s="7">
        <f t="shared" si="1"/>
        <v>2.3152830188679245</v>
      </c>
      <c r="J70" s="11" t="s">
        <v>100</v>
      </c>
      <c r="K70" s="7">
        <f t="shared" si="2"/>
        <v>3.9105769230769223</v>
      </c>
      <c r="L70" s="11"/>
      <c r="M70" s="7">
        <f t="shared" si="3"/>
        <v>2.6228707451742763</v>
      </c>
    </row>
    <row r="71" spans="2:13" ht="12.75">
      <c r="B71" s="11" t="s">
        <v>104</v>
      </c>
      <c r="C71" s="11" t="s">
        <v>220</v>
      </c>
      <c r="D71" s="11" t="s">
        <v>150</v>
      </c>
      <c r="E71" s="11" t="s">
        <v>15</v>
      </c>
      <c r="G71" s="7">
        <f t="shared" si="0"/>
        <v>0.8759633027522935</v>
      </c>
      <c r="H71" s="11" t="s">
        <v>100</v>
      </c>
      <c r="I71" s="7">
        <f t="shared" si="1"/>
        <v>0.9166037735849056</v>
      </c>
      <c r="J71" t="s">
        <v>100</v>
      </c>
      <c r="K71" s="7">
        <f t="shared" si="2"/>
        <v>0.893846153846154</v>
      </c>
      <c r="L71" s="11"/>
      <c r="M71" s="7">
        <f t="shared" si="3"/>
        <v>0.8954710767277844</v>
      </c>
    </row>
    <row r="72" spans="2:13" ht="12.75">
      <c r="B72" s="11" t="s">
        <v>111</v>
      </c>
      <c r="C72" s="11" t="s">
        <v>220</v>
      </c>
      <c r="D72" s="11" t="s">
        <v>150</v>
      </c>
      <c r="E72" s="11" t="s">
        <v>15</v>
      </c>
      <c r="F72" s="11" t="s">
        <v>100</v>
      </c>
      <c r="G72" s="7">
        <f t="shared" si="0"/>
        <v>0.8759633027522935</v>
      </c>
      <c r="H72" s="11" t="s">
        <v>100</v>
      </c>
      <c r="I72" s="7">
        <f t="shared" si="1"/>
        <v>0.9166037735849056</v>
      </c>
      <c r="J72" s="11" t="s">
        <v>100</v>
      </c>
      <c r="K72" s="7">
        <f t="shared" si="2"/>
        <v>0.893846153846154</v>
      </c>
      <c r="L72" s="11"/>
      <c r="M72" s="7">
        <f t="shared" si="3"/>
        <v>0.8954710767277844</v>
      </c>
    </row>
    <row r="73" spans="2:13" ht="12.75">
      <c r="B73" s="11" t="s">
        <v>112</v>
      </c>
      <c r="C73" s="11" t="s">
        <v>220</v>
      </c>
      <c r="D73" s="11" t="s">
        <v>150</v>
      </c>
      <c r="E73" s="11" t="s">
        <v>15</v>
      </c>
      <c r="G73" s="7">
        <f t="shared" si="0"/>
        <v>13.402752293577981</v>
      </c>
      <c r="H73" s="11"/>
      <c r="I73" s="7">
        <f t="shared" si="1"/>
        <v>47.283018867924525</v>
      </c>
      <c r="J73" s="11"/>
      <c r="K73" s="7">
        <f t="shared" si="2"/>
        <v>33.38461538461538</v>
      </c>
      <c r="L73" s="11"/>
      <c r="M73" s="7">
        <f t="shared" si="3"/>
        <v>31.356795515372625</v>
      </c>
    </row>
    <row r="74" spans="2:13" ht="12.75">
      <c r="B74" s="11" t="s">
        <v>81</v>
      </c>
      <c r="C74" s="11" t="s">
        <v>220</v>
      </c>
      <c r="D74" s="11" t="s">
        <v>150</v>
      </c>
      <c r="E74" s="11" t="s">
        <v>15</v>
      </c>
      <c r="F74" s="11" t="s">
        <v>100</v>
      </c>
      <c r="G74" s="7">
        <f t="shared" si="0"/>
        <v>2.8025688073394495</v>
      </c>
      <c r="H74" s="11" t="s">
        <v>100</v>
      </c>
      <c r="I74" s="7">
        <f t="shared" si="1"/>
        <v>2.7511320754716984</v>
      </c>
      <c r="J74" s="11" t="s">
        <v>100</v>
      </c>
      <c r="K74" s="7">
        <f t="shared" si="2"/>
        <v>2.3019230769230767</v>
      </c>
      <c r="L74" s="11"/>
      <c r="M74" s="7">
        <f>AVERAGE(K74,I74,G74)/2</f>
        <v>1.309270659955704</v>
      </c>
    </row>
    <row r="75" spans="2:13" ht="12.75">
      <c r="B75" s="11"/>
      <c r="C75" s="11"/>
      <c r="G75" s="7"/>
      <c r="H75" s="11"/>
      <c r="I75" s="7"/>
      <c r="J75" s="11"/>
      <c r="K75" s="7"/>
      <c r="L75" s="11"/>
      <c r="M75" s="7"/>
    </row>
    <row r="76" spans="2:13" ht="12.75">
      <c r="B76" t="s">
        <v>55</v>
      </c>
      <c r="C76" s="11" t="s">
        <v>220</v>
      </c>
      <c r="D76" s="11" t="s">
        <v>150</v>
      </c>
      <c r="E76" s="11" t="s">
        <v>15</v>
      </c>
      <c r="F76"/>
      <c r="G76" s="7">
        <f>G63+G67</f>
        <v>1.0519266055045873</v>
      </c>
      <c r="H76" s="7"/>
      <c r="I76" s="7">
        <f>I63+I67</f>
        <v>3.781320754716981</v>
      </c>
      <c r="J76" s="7">
        <v>6.8</v>
      </c>
      <c r="K76" s="7">
        <f>K63+K67</f>
        <v>2.6142307692307694</v>
      </c>
      <c r="L76" s="7">
        <v>2.4</v>
      </c>
      <c r="M76" s="7">
        <f>AVERAGE(K76,I76,G76)</f>
        <v>2.482492709817446</v>
      </c>
    </row>
    <row r="77" spans="2:13" ht="12.75">
      <c r="B77" t="s">
        <v>56</v>
      </c>
      <c r="C77" s="11" t="s">
        <v>220</v>
      </c>
      <c r="D77" s="11" t="s">
        <v>150</v>
      </c>
      <c r="E77" s="11" t="s">
        <v>15</v>
      </c>
      <c r="F77">
        <v>10.4</v>
      </c>
      <c r="G77" s="7">
        <f>G60+G62+G64</f>
        <v>1.6864220183486238</v>
      </c>
      <c r="H77" s="7">
        <v>0.1</v>
      </c>
      <c r="I77" s="7">
        <f>I60+I62+I64</f>
        <v>155.0301886792453</v>
      </c>
      <c r="J77" s="7">
        <v>0.1</v>
      </c>
      <c r="K77" s="7">
        <f>K60+K62+K64</f>
        <v>146.11423076923074</v>
      </c>
      <c r="L77" s="7">
        <v>0.2</v>
      </c>
      <c r="M77" s="7">
        <f>AVERAGE(K77,I77,G77)</f>
        <v>100.94361382227488</v>
      </c>
    </row>
    <row r="78" spans="2:13" ht="12.75">
      <c r="B78" s="11"/>
      <c r="C78" s="11"/>
      <c r="G78" s="75"/>
      <c r="H78" s="11"/>
      <c r="I78" s="75"/>
      <c r="J78" s="11"/>
      <c r="K78" s="75"/>
      <c r="L78"/>
      <c r="M78" s="7"/>
    </row>
    <row r="79" spans="2:13" ht="12.75">
      <c r="B79" s="11"/>
      <c r="C79" s="11"/>
      <c r="G79" s="75"/>
      <c r="H79" s="11"/>
      <c r="I79" s="69"/>
      <c r="J79" s="11"/>
      <c r="K79"/>
      <c r="L79"/>
      <c r="M79" s="7"/>
    </row>
    <row r="80" spans="2:5" ht="12.75">
      <c r="B80" s="15"/>
      <c r="C80" s="15" t="s">
        <v>82</v>
      </c>
      <c r="D80" s="11" t="s">
        <v>12</v>
      </c>
      <c r="E80" s="11" t="s">
        <v>65</v>
      </c>
    </row>
    <row r="81" spans="2:12" ht="12.75">
      <c r="B81" s="15"/>
      <c r="C81" s="15"/>
      <c r="G81" s="22"/>
      <c r="H81" s="22"/>
      <c r="I81" s="23"/>
      <c r="J81" s="22"/>
      <c r="K81" s="22"/>
      <c r="L81" s="22"/>
    </row>
    <row r="82" spans="2:13" ht="12.75">
      <c r="B82" s="24" t="str">
        <f>cond!C13</f>
        <v>338C11</v>
      </c>
      <c r="C82" s="24" t="str">
        <f>cond!C20</f>
        <v>Trial - risk burn (Metals)</v>
      </c>
      <c r="G82" s="22" t="s">
        <v>175</v>
      </c>
      <c r="H82" s="22"/>
      <c r="I82" s="23" t="s">
        <v>176</v>
      </c>
      <c r="J82" s="22"/>
      <c r="K82" s="22" t="s">
        <v>177</v>
      </c>
      <c r="L82" s="22"/>
      <c r="M82" s="20" t="s">
        <v>47</v>
      </c>
    </row>
    <row r="83" spans="2:12" ht="12.75">
      <c r="B83" s="11"/>
      <c r="C83" s="11"/>
      <c r="D83" s="15"/>
      <c r="E83" s="15"/>
      <c r="F83" s="15"/>
      <c r="G83" s="15"/>
      <c r="H83" s="15"/>
      <c r="I83" s="25"/>
      <c r="J83" s="15"/>
      <c r="K83" s="15"/>
      <c r="L83" s="15"/>
    </row>
    <row r="84" spans="2:13" ht="12.75">
      <c r="B84" s="11" t="s">
        <v>113</v>
      </c>
      <c r="C84" s="11"/>
      <c r="D84" s="15" t="s">
        <v>16</v>
      </c>
      <c r="E84" s="15" t="s">
        <v>15</v>
      </c>
      <c r="F84"/>
      <c r="G84"/>
      <c r="H84"/>
      <c r="I84"/>
      <c r="J84"/>
      <c r="K84"/>
      <c r="L84"/>
      <c r="M84" s="61"/>
    </row>
    <row r="85" spans="2:13" ht="12.75">
      <c r="B85" s="11" t="s">
        <v>117</v>
      </c>
      <c r="C85" s="11"/>
      <c r="D85" s="15" t="s">
        <v>16</v>
      </c>
      <c r="E85" s="15" t="s">
        <v>15</v>
      </c>
      <c r="F85"/>
      <c r="G85"/>
      <c r="H85"/>
      <c r="I85"/>
      <c r="J85"/>
      <c r="K85"/>
      <c r="L85"/>
      <c r="M85" s="61"/>
    </row>
    <row r="86" spans="2:12" ht="12.75">
      <c r="B86" s="11"/>
      <c r="C86" s="11"/>
      <c r="D86" s="15"/>
      <c r="E86" s="15"/>
      <c r="F86"/>
      <c r="G86"/>
      <c r="H86"/>
      <c r="I86"/>
      <c r="J86"/>
      <c r="K86"/>
      <c r="L86"/>
    </row>
    <row r="87" spans="2:13" ht="12.75">
      <c r="B87" s="11" t="s">
        <v>13</v>
      </c>
      <c r="C87" s="11"/>
      <c r="D87" s="11" t="s">
        <v>14</v>
      </c>
      <c r="E87" s="11" t="s">
        <v>15</v>
      </c>
      <c r="F87"/>
      <c r="G87"/>
      <c r="H87"/>
      <c r="I87"/>
      <c r="J87"/>
      <c r="K87"/>
      <c r="L87"/>
      <c r="M87" s="59"/>
    </row>
    <row r="88" spans="2:13" ht="12.75">
      <c r="B88" s="11"/>
      <c r="C88" s="11"/>
      <c r="F88"/>
      <c r="G88"/>
      <c r="H88"/>
      <c r="I88"/>
      <c r="J88"/>
      <c r="K88"/>
      <c r="L88"/>
      <c r="M88" s="59"/>
    </row>
    <row r="89" spans="2:13" ht="12.75">
      <c r="B89" s="11" t="s">
        <v>50</v>
      </c>
      <c r="C89" s="11"/>
      <c r="D89" s="11" t="s">
        <v>148</v>
      </c>
      <c r="E89" s="11" t="s">
        <v>102</v>
      </c>
      <c r="F89"/>
      <c r="G89" s="66"/>
      <c r="H89" s="66"/>
      <c r="I89" s="66"/>
      <c r="J89" s="66"/>
      <c r="K89" s="66"/>
      <c r="L89"/>
      <c r="M89" s="7"/>
    </row>
    <row r="90" spans="2:13" ht="12.75">
      <c r="B90" s="11" t="s">
        <v>51</v>
      </c>
      <c r="C90" s="11"/>
      <c r="D90" s="11" t="s">
        <v>148</v>
      </c>
      <c r="E90" s="11" t="s">
        <v>102</v>
      </c>
      <c r="F90"/>
      <c r="G90" s="66"/>
      <c r="H90" s="66"/>
      <c r="I90" s="66"/>
      <c r="J90" s="66"/>
      <c r="K90" s="66"/>
      <c r="L90"/>
      <c r="M90" s="7"/>
    </row>
    <row r="91" spans="2:13" ht="12.75">
      <c r="B91" s="11"/>
      <c r="C91" s="11"/>
      <c r="F91"/>
      <c r="G91"/>
      <c r="H91"/>
      <c r="I91"/>
      <c r="J91"/>
      <c r="K91"/>
      <c r="L91"/>
      <c r="M91" s="7"/>
    </row>
    <row r="92" spans="2:13" ht="12.75">
      <c r="B92" s="11" t="s">
        <v>50</v>
      </c>
      <c r="C92" s="11"/>
      <c r="D92" s="11" t="s">
        <v>16</v>
      </c>
      <c r="E92" s="11" t="s">
        <v>15</v>
      </c>
      <c r="G92" s="66">
        <f>G89*14/(21-G$48)</f>
        <v>0</v>
      </c>
      <c r="H92" s="66"/>
      <c r="I92" s="66">
        <f>I89*14/(21-I$48)</f>
        <v>0</v>
      </c>
      <c r="J92" s="66"/>
      <c r="K92" s="66">
        <f>K89*14/(21-K$48)</f>
        <v>0</v>
      </c>
      <c r="L92"/>
      <c r="M92" s="69">
        <f>AVERAGE(K92,I92,G92)</f>
        <v>0</v>
      </c>
    </row>
    <row r="93" spans="2:13" ht="12.75">
      <c r="B93" s="11" t="s">
        <v>51</v>
      </c>
      <c r="C93" s="11"/>
      <c r="D93" s="11" t="s">
        <v>16</v>
      </c>
      <c r="E93" s="11" t="s">
        <v>15</v>
      </c>
      <c r="G93" s="66">
        <f>G90*14/(21-G$48)</f>
        <v>0</v>
      </c>
      <c r="H93" s="66"/>
      <c r="I93" s="66">
        <f>I90*14/(21-I$48)</f>
        <v>0</v>
      </c>
      <c r="J93" s="66"/>
      <c r="K93" s="66">
        <f>K90*14/(21-K$48)</f>
        <v>0</v>
      </c>
      <c r="L93"/>
      <c r="M93" s="69">
        <f>AVERAGE(K93,I93,G93)</f>
        <v>0</v>
      </c>
    </row>
    <row r="94" spans="2:13" ht="12.75">
      <c r="B94" s="11" t="s">
        <v>126</v>
      </c>
      <c r="C94" s="11"/>
      <c r="D94" s="11" t="s">
        <v>16</v>
      </c>
      <c r="E94" s="11" t="s">
        <v>15</v>
      </c>
      <c r="F94"/>
      <c r="G94" s="66">
        <f>G92+2*G93</f>
        <v>0</v>
      </c>
      <c r="H94" s="66"/>
      <c r="I94" s="66">
        <f>I92+2*I93</f>
        <v>0</v>
      </c>
      <c r="J94" s="66"/>
      <c r="K94" s="66">
        <f>K92+2*K93</f>
        <v>0</v>
      </c>
      <c r="L94"/>
      <c r="M94" s="69">
        <f>AVERAGE(K94,I94,G94)</f>
        <v>0</v>
      </c>
    </row>
    <row r="95" spans="2:13" ht="12.75">
      <c r="B95" s="11"/>
      <c r="C95" s="11"/>
      <c r="H95" s="11"/>
      <c r="J95" s="11"/>
      <c r="M95" s="7"/>
    </row>
    <row r="96" spans="2:12" ht="12.75">
      <c r="B96" s="11" t="s">
        <v>104</v>
      </c>
      <c r="C96" s="11"/>
      <c r="D96" s="11" t="s">
        <v>150</v>
      </c>
      <c r="E96" s="11" t="s">
        <v>102</v>
      </c>
      <c r="F96" s="11" t="s">
        <v>100</v>
      </c>
      <c r="G96">
        <v>1.173</v>
      </c>
      <c r="H96" s="11" t="s">
        <v>100</v>
      </c>
      <c r="I96">
        <v>2.456</v>
      </c>
      <c r="J96" s="11" t="s">
        <v>100</v>
      </c>
      <c r="K96">
        <v>1.308</v>
      </c>
      <c r="L96" s="11"/>
    </row>
    <row r="97" spans="2:13" ht="12.75">
      <c r="B97" s="11" t="s">
        <v>105</v>
      </c>
      <c r="C97" s="11"/>
      <c r="D97" s="11" t="s">
        <v>150</v>
      </c>
      <c r="E97" s="11" t="s">
        <v>102</v>
      </c>
      <c r="F97" s="11" t="s">
        <v>100</v>
      </c>
      <c r="G97">
        <v>38.51</v>
      </c>
      <c r="H97" s="11" t="s">
        <v>100</v>
      </c>
      <c r="I97">
        <v>7.636</v>
      </c>
      <c r="J97" s="11" t="s">
        <v>100</v>
      </c>
      <c r="K97">
        <v>44.981</v>
      </c>
      <c r="L97" s="11"/>
      <c r="M97"/>
    </row>
    <row r="98" spans="2:11" ht="12.75">
      <c r="B98" s="11" t="s">
        <v>106</v>
      </c>
      <c r="C98" s="11"/>
      <c r="D98" s="11" t="s">
        <v>150</v>
      </c>
      <c r="E98" s="11" t="s">
        <v>102</v>
      </c>
      <c r="F98" s="11" t="s">
        <v>100</v>
      </c>
      <c r="G98">
        <v>8.063</v>
      </c>
      <c r="H98" s="11"/>
      <c r="I98">
        <v>18.64</v>
      </c>
      <c r="J98" s="11"/>
      <c r="K98">
        <v>8.526</v>
      </c>
    </row>
    <row r="99" spans="2:13" ht="12.75">
      <c r="B99" s="11" t="s">
        <v>80</v>
      </c>
      <c r="C99" s="11"/>
      <c r="D99" s="11" t="s">
        <v>150</v>
      </c>
      <c r="E99" s="11" t="s">
        <v>102</v>
      </c>
      <c r="F99" s="11" t="s">
        <v>100</v>
      </c>
      <c r="G99">
        <v>0.733</v>
      </c>
      <c r="H99" s="11" t="s">
        <v>100</v>
      </c>
      <c r="I99">
        <v>2.777</v>
      </c>
      <c r="J99" s="11" t="s">
        <v>100</v>
      </c>
      <c r="K99">
        <v>0.941</v>
      </c>
      <c r="L99" s="11"/>
      <c r="M99"/>
    </row>
    <row r="100" spans="2:13" ht="12.75">
      <c r="B100" s="11" t="s">
        <v>107</v>
      </c>
      <c r="C100" s="11"/>
      <c r="D100" s="11" t="s">
        <v>150</v>
      </c>
      <c r="E100" s="11" t="s">
        <v>102</v>
      </c>
      <c r="F100" s="11" t="s">
        <v>100</v>
      </c>
      <c r="G100">
        <v>0.88</v>
      </c>
      <c r="H100" s="11" t="s">
        <v>100</v>
      </c>
      <c r="I100">
        <v>2.456</v>
      </c>
      <c r="J100" s="11" t="s">
        <v>100</v>
      </c>
      <c r="K100">
        <v>0.785</v>
      </c>
      <c r="L100" s="11"/>
      <c r="M100"/>
    </row>
    <row r="101" spans="2:13" ht="12.75">
      <c r="B101" s="11" t="s">
        <v>156</v>
      </c>
      <c r="C101" s="11"/>
      <c r="D101" s="11" t="s">
        <v>150</v>
      </c>
      <c r="E101" s="11" t="s">
        <v>102</v>
      </c>
      <c r="G101">
        <v>6.79</v>
      </c>
      <c r="H101" s="11"/>
      <c r="I101">
        <v>2.72</v>
      </c>
      <c r="J101" s="11"/>
      <c r="K101">
        <v>10.8</v>
      </c>
      <c r="L101" s="11"/>
      <c r="M101"/>
    </row>
    <row r="102" spans="2:13" ht="12.75">
      <c r="B102" s="99" t="s">
        <v>221</v>
      </c>
      <c r="C102" s="11"/>
      <c r="D102" s="11" t="s">
        <v>150</v>
      </c>
      <c r="E102" s="11" t="s">
        <v>102</v>
      </c>
      <c r="G102">
        <v>4.789</v>
      </c>
      <c r="H102" s="11"/>
      <c r="I102">
        <v>1.762</v>
      </c>
      <c r="J102" s="11"/>
      <c r="K102">
        <v>5.23</v>
      </c>
      <c r="L102" s="11"/>
      <c r="M102"/>
    </row>
    <row r="103" spans="2:13" ht="12.75">
      <c r="B103" s="11" t="s">
        <v>151</v>
      </c>
      <c r="C103" s="11"/>
      <c r="D103" s="11" t="s">
        <v>150</v>
      </c>
      <c r="E103" s="11" t="s">
        <v>102</v>
      </c>
      <c r="G103">
        <v>14.56</v>
      </c>
      <c r="H103" s="11"/>
      <c r="I103">
        <v>26.75</v>
      </c>
      <c r="J103" s="11"/>
      <c r="K103">
        <v>17.78</v>
      </c>
      <c r="L103"/>
      <c r="M103"/>
    </row>
    <row r="104" spans="2:11" ht="12.75">
      <c r="B104" s="11" t="s">
        <v>152</v>
      </c>
      <c r="C104" s="11"/>
      <c r="D104" s="11" t="s">
        <v>150</v>
      </c>
      <c r="E104" s="11" t="s">
        <v>102</v>
      </c>
      <c r="F104" s="11" t="s">
        <v>100</v>
      </c>
      <c r="G104">
        <v>2.834</v>
      </c>
      <c r="H104" s="11" t="s">
        <v>100</v>
      </c>
      <c r="I104">
        <v>21.25</v>
      </c>
      <c r="J104" s="11"/>
      <c r="K104">
        <v>4.08</v>
      </c>
    </row>
    <row r="105" spans="2:13" ht="12.75">
      <c r="B105" s="11" t="s">
        <v>108</v>
      </c>
      <c r="C105" s="11"/>
      <c r="D105" s="11" t="s">
        <v>150</v>
      </c>
      <c r="E105" s="11" t="s">
        <v>102</v>
      </c>
      <c r="G105">
        <v>6.597</v>
      </c>
      <c r="H105" s="11" t="s">
        <v>100</v>
      </c>
      <c r="I105" s="69">
        <v>5.02</v>
      </c>
      <c r="J105" s="11" t="s">
        <v>100</v>
      </c>
      <c r="K105" s="69">
        <v>4.76</v>
      </c>
      <c r="L105"/>
      <c r="M105"/>
    </row>
    <row r="106" spans="2:13" ht="12.75">
      <c r="B106" s="11" t="s">
        <v>79</v>
      </c>
      <c r="C106" s="11"/>
      <c r="D106" s="11" t="s">
        <v>150</v>
      </c>
      <c r="E106" s="11" t="s">
        <v>102</v>
      </c>
      <c r="G106">
        <v>3.665</v>
      </c>
      <c r="H106" s="11"/>
      <c r="I106">
        <v>9.345</v>
      </c>
      <c r="J106" s="11"/>
      <c r="K106">
        <v>4.603</v>
      </c>
      <c r="L106" s="11"/>
      <c r="M106"/>
    </row>
    <row r="107" spans="2:11" ht="12.75">
      <c r="B107" s="11" t="s">
        <v>109</v>
      </c>
      <c r="C107" s="20"/>
      <c r="D107" s="11" t="s">
        <v>150</v>
      </c>
      <c r="E107" s="11" t="s">
        <v>102</v>
      </c>
      <c r="F107" s="11" t="s">
        <v>100</v>
      </c>
      <c r="G107" s="20">
        <v>1.173</v>
      </c>
      <c r="H107" s="11" t="s">
        <v>100</v>
      </c>
      <c r="I107" s="21">
        <v>4.859</v>
      </c>
      <c r="J107" s="11" t="s">
        <v>100</v>
      </c>
      <c r="K107" s="20">
        <v>0.941</v>
      </c>
    </row>
    <row r="108" spans="2:11" ht="12.75">
      <c r="B108" s="11" t="s">
        <v>110</v>
      </c>
      <c r="C108" s="11"/>
      <c r="D108" s="11" t="s">
        <v>150</v>
      </c>
      <c r="E108" s="11" t="s">
        <v>102</v>
      </c>
      <c r="F108" s="11" t="s">
        <v>100</v>
      </c>
      <c r="G108" s="20">
        <v>1.955</v>
      </c>
      <c r="H108" s="11" t="s">
        <v>100</v>
      </c>
      <c r="I108" s="21">
        <v>4.486</v>
      </c>
      <c r="J108" s="11" t="s">
        <v>100</v>
      </c>
      <c r="K108" s="20">
        <v>2.197</v>
      </c>
    </row>
    <row r="109" spans="2:13" ht="12.75">
      <c r="B109" s="11" t="s">
        <v>111</v>
      </c>
      <c r="C109" s="11"/>
      <c r="D109" s="11" t="s">
        <v>150</v>
      </c>
      <c r="E109" s="11" t="s">
        <v>102</v>
      </c>
      <c r="F109" s="11" t="s">
        <v>100</v>
      </c>
      <c r="G109" s="20">
        <v>1.613</v>
      </c>
      <c r="H109" s="11" t="s">
        <v>100</v>
      </c>
      <c r="I109" s="21">
        <v>2.83</v>
      </c>
      <c r="J109" s="11" t="s">
        <v>100</v>
      </c>
      <c r="K109" s="20">
        <v>1.674</v>
      </c>
      <c r="L109" s="11"/>
      <c r="M109"/>
    </row>
    <row r="110" spans="2:13" ht="12.75">
      <c r="B110" s="11" t="s">
        <v>112</v>
      </c>
      <c r="C110" s="11"/>
      <c r="D110" s="11" t="s">
        <v>150</v>
      </c>
      <c r="E110" s="11" t="s">
        <v>102</v>
      </c>
      <c r="G110" s="20">
        <v>26.047</v>
      </c>
      <c r="H110" s="11"/>
      <c r="I110" s="21">
        <v>26.753</v>
      </c>
      <c r="J110" s="11"/>
      <c r="K110" s="20">
        <v>27.198</v>
      </c>
      <c r="L110" s="11"/>
      <c r="M110"/>
    </row>
    <row r="111" spans="12:13" ht="12.75">
      <c r="L111" s="11"/>
      <c r="M111"/>
    </row>
    <row r="112" spans="2:13" ht="12.75">
      <c r="B112" s="11" t="s">
        <v>86</v>
      </c>
      <c r="C112" s="11" t="s">
        <v>154</v>
      </c>
      <c r="D112" s="11" t="s">
        <v>219</v>
      </c>
      <c r="F112"/>
      <c r="G112"/>
      <c r="H112"/>
      <c r="I112"/>
      <c r="J112"/>
      <c r="K112"/>
      <c r="L112"/>
      <c r="M112"/>
    </row>
    <row r="113" spans="2:13" ht="12.75">
      <c r="B113" s="11" t="s">
        <v>78</v>
      </c>
      <c r="C113" s="11"/>
      <c r="D113" s="11" t="s">
        <v>17</v>
      </c>
      <c r="F113"/>
      <c r="G113">
        <v>34316</v>
      </c>
      <c r="H113"/>
      <c r="I113">
        <v>34639</v>
      </c>
      <c r="J113"/>
      <c r="K113">
        <v>34499</v>
      </c>
      <c r="L113"/>
      <c r="M113" s="67">
        <f>AVERAGE(K113,I113,G113)</f>
        <v>34484.666666666664</v>
      </c>
    </row>
    <row r="114" spans="2:13" ht="12.75">
      <c r="B114" s="11" t="s">
        <v>83</v>
      </c>
      <c r="C114" s="11"/>
      <c r="D114" s="11" t="s">
        <v>18</v>
      </c>
      <c r="E114" s="11"/>
      <c r="G114">
        <v>6.4</v>
      </c>
      <c r="I114">
        <v>6.4</v>
      </c>
      <c r="K114">
        <v>6.3</v>
      </c>
      <c r="M114" s="7">
        <f>AVERAGE(K114,I114,G114)</f>
        <v>6.366666666666667</v>
      </c>
    </row>
    <row r="115" spans="2:13" ht="12.75">
      <c r="B115" s="11" t="s">
        <v>84</v>
      </c>
      <c r="C115" s="11"/>
      <c r="D115" s="11" t="s">
        <v>18</v>
      </c>
      <c r="E115" s="11"/>
      <c r="G115">
        <v>35.7</v>
      </c>
      <c r="I115">
        <v>35.4</v>
      </c>
      <c r="K115">
        <v>33.4</v>
      </c>
      <c r="M115" s="7">
        <f>AVERAGE(K115,I115,G115)</f>
        <v>34.833333333333336</v>
      </c>
    </row>
    <row r="116" spans="2:13" ht="12.75">
      <c r="B116" s="11" t="s">
        <v>77</v>
      </c>
      <c r="C116" s="11"/>
      <c r="D116" s="11" t="s">
        <v>19</v>
      </c>
      <c r="F116"/>
      <c r="G116">
        <v>188</v>
      </c>
      <c r="H116"/>
      <c r="I116">
        <v>183</v>
      </c>
      <c r="J116"/>
      <c r="K116">
        <v>180</v>
      </c>
      <c r="L116"/>
      <c r="M116" s="67">
        <f>AVERAGE(K116,I116,G116)</f>
        <v>183.66666666666666</v>
      </c>
    </row>
    <row r="118" spans="2:13" ht="12.75">
      <c r="B118" s="11" t="s">
        <v>86</v>
      </c>
      <c r="C118" s="11" t="s">
        <v>155</v>
      </c>
      <c r="D118" s="11" t="s">
        <v>220</v>
      </c>
      <c r="F118"/>
      <c r="G118"/>
      <c r="H118"/>
      <c r="I118"/>
      <c r="J118"/>
      <c r="K118"/>
      <c r="L118"/>
      <c r="M118"/>
    </row>
    <row r="119" spans="2:13" ht="12.75">
      <c r="B119" s="11" t="s">
        <v>78</v>
      </c>
      <c r="C119" s="11"/>
      <c r="D119" s="11" t="s">
        <v>17</v>
      </c>
      <c r="F119"/>
      <c r="G119" s="20">
        <v>35130</v>
      </c>
      <c r="I119" s="20">
        <v>34382</v>
      </c>
      <c r="K119" s="20">
        <v>34363</v>
      </c>
      <c r="L119"/>
      <c r="M119" s="67">
        <f>AVERAGE(K977,I119,G119)</f>
        <v>34756</v>
      </c>
    </row>
    <row r="120" spans="2:13" ht="12.75">
      <c r="B120" s="11" t="s">
        <v>83</v>
      </c>
      <c r="C120" s="11"/>
      <c r="D120" s="11" t="s">
        <v>18</v>
      </c>
      <c r="F120"/>
      <c r="G120">
        <v>6.4</v>
      </c>
      <c r="H120"/>
      <c r="I120">
        <v>6.4</v>
      </c>
      <c r="J120"/>
      <c r="K120">
        <v>6.3</v>
      </c>
      <c r="L120"/>
      <c r="M120" s="7">
        <f>AVERAGE(K978,I120,G120)</f>
        <v>6.4</v>
      </c>
    </row>
    <row r="121" spans="2:13" ht="13.5" customHeight="1">
      <c r="B121" s="11" t="s">
        <v>84</v>
      </c>
      <c r="C121" s="11"/>
      <c r="D121" s="11" t="s">
        <v>18</v>
      </c>
      <c r="F121"/>
      <c r="G121" s="20">
        <v>33.4</v>
      </c>
      <c r="I121" s="20">
        <v>34.9</v>
      </c>
      <c r="K121" s="20">
        <v>34.7</v>
      </c>
      <c r="L121"/>
      <c r="M121" s="67">
        <f>AVERAGE(K979,I121,G121)</f>
        <v>34.15</v>
      </c>
    </row>
    <row r="122" spans="2:13" ht="12.75">
      <c r="B122" s="11" t="s">
        <v>77</v>
      </c>
      <c r="C122" s="11"/>
      <c r="D122" s="11" t="s">
        <v>19</v>
      </c>
      <c r="E122" s="11"/>
      <c r="G122" s="20">
        <v>180</v>
      </c>
      <c r="I122" s="20">
        <v>182</v>
      </c>
      <c r="K122" s="20">
        <v>175</v>
      </c>
      <c r="M122" s="67">
        <f>AVERAGE(K980,I122,G122)</f>
        <v>181</v>
      </c>
    </row>
    <row r="123" spans="2:13" ht="12.75">
      <c r="B123" s="11"/>
      <c r="C123" s="11"/>
      <c r="M123" s="67"/>
    </row>
    <row r="124" spans="2:13" ht="12.75">
      <c r="B124" s="11" t="s">
        <v>104</v>
      </c>
      <c r="C124" s="11" t="s">
        <v>219</v>
      </c>
      <c r="D124" s="11" t="s">
        <v>150</v>
      </c>
      <c r="E124" s="11" t="s">
        <v>15</v>
      </c>
      <c r="F124" s="11" t="s">
        <v>100</v>
      </c>
      <c r="G124" s="7">
        <f aca="true" t="shared" si="4" ref="G124:G138">G96*(21-7)/(21-G$114)</f>
        <v>1.1247945205479453</v>
      </c>
      <c r="H124" s="11" t="s">
        <v>100</v>
      </c>
      <c r="I124" s="7">
        <f aca="true" t="shared" si="5" ref="I124:I138">I96*(21-7)/(21-I$114)</f>
        <v>2.355068493150685</v>
      </c>
      <c r="J124" s="11" t="s">
        <v>100</v>
      </c>
      <c r="K124" s="7">
        <f aca="true" t="shared" si="6" ref="K124:K138">K96*(21-7)/(21-K$114)</f>
        <v>1.2457142857142858</v>
      </c>
      <c r="L124" s="11"/>
      <c r="M124" s="7">
        <f aca="true" t="shared" si="7" ref="M124:M138">AVERAGE(K124,I124,G124)</f>
        <v>1.5751924331376383</v>
      </c>
    </row>
    <row r="125" spans="2:13" ht="12.75">
      <c r="B125" s="11" t="s">
        <v>105</v>
      </c>
      <c r="C125" s="11" t="s">
        <v>219</v>
      </c>
      <c r="D125" s="11" t="s">
        <v>150</v>
      </c>
      <c r="E125" s="11" t="s">
        <v>15</v>
      </c>
      <c r="F125" s="11" t="s">
        <v>100</v>
      </c>
      <c r="G125" s="7">
        <f t="shared" si="4"/>
        <v>36.92739726027397</v>
      </c>
      <c r="H125" s="11" t="s">
        <v>100</v>
      </c>
      <c r="I125" s="7">
        <f t="shared" si="5"/>
        <v>7.3221917808219175</v>
      </c>
      <c r="J125" s="11" t="s">
        <v>100</v>
      </c>
      <c r="K125" s="7">
        <f t="shared" si="6"/>
        <v>42.839047619047626</v>
      </c>
      <c r="L125" s="11"/>
      <c r="M125" s="7">
        <f t="shared" si="7"/>
        <v>29.029545553381173</v>
      </c>
    </row>
    <row r="126" spans="2:13" ht="12.75">
      <c r="B126" s="11" t="s">
        <v>106</v>
      </c>
      <c r="C126" s="11" t="s">
        <v>219</v>
      </c>
      <c r="D126" s="11" t="s">
        <v>150</v>
      </c>
      <c r="E126" s="11" t="s">
        <v>15</v>
      </c>
      <c r="F126" s="11" t="s">
        <v>100</v>
      </c>
      <c r="G126" s="7">
        <f t="shared" si="4"/>
        <v>7.731643835616439</v>
      </c>
      <c r="H126" s="11"/>
      <c r="I126" s="7">
        <f t="shared" si="5"/>
        <v>17.87397260273973</v>
      </c>
      <c r="J126" s="11"/>
      <c r="K126" s="7">
        <f t="shared" si="6"/>
        <v>8.120000000000001</v>
      </c>
      <c r="L126"/>
      <c r="M126" s="7">
        <f t="shared" si="7"/>
        <v>11.241872146118723</v>
      </c>
    </row>
    <row r="127" spans="2:13" ht="12.75">
      <c r="B127" s="11" t="s">
        <v>80</v>
      </c>
      <c r="C127" s="11" t="s">
        <v>219</v>
      </c>
      <c r="D127" s="11" t="s">
        <v>150</v>
      </c>
      <c r="E127" s="11" t="s">
        <v>15</v>
      </c>
      <c r="F127" s="11" t="s">
        <v>100</v>
      </c>
      <c r="G127" s="7">
        <f t="shared" si="4"/>
        <v>0.7028767123287671</v>
      </c>
      <c r="H127" s="11" t="s">
        <v>100</v>
      </c>
      <c r="I127" s="7">
        <f t="shared" si="5"/>
        <v>2.6628767123287673</v>
      </c>
      <c r="J127" s="11" t="s">
        <v>100</v>
      </c>
      <c r="K127" s="7">
        <f t="shared" si="6"/>
        <v>0.8961904761904762</v>
      </c>
      <c r="L127" s="11"/>
      <c r="M127" s="7">
        <f t="shared" si="7"/>
        <v>1.420647966949337</v>
      </c>
    </row>
    <row r="128" spans="2:13" ht="12.75">
      <c r="B128" s="11" t="s">
        <v>107</v>
      </c>
      <c r="C128" s="11" t="s">
        <v>219</v>
      </c>
      <c r="D128" s="11" t="s">
        <v>150</v>
      </c>
      <c r="E128" s="11" t="s">
        <v>15</v>
      </c>
      <c r="F128" s="11" t="s">
        <v>100</v>
      </c>
      <c r="G128" s="7">
        <f t="shared" si="4"/>
        <v>0.8438356164383563</v>
      </c>
      <c r="H128" s="11" t="s">
        <v>100</v>
      </c>
      <c r="I128" s="7">
        <f t="shared" si="5"/>
        <v>2.355068493150685</v>
      </c>
      <c r="J128" s="11" t="s">
        <v>100</v>
      </c>
      <c r="K128" s="7">
        <f t="shared" si="6"/>
        <v>0.7476190476190476</v>
      </c>
      <c r="L128" s="11"/>
      <c r="M128" s="7">
        <f t="shared" si="7"/>
        <v>1.315507719069363</v>
      </c>
    </row>
    <row r="129" spans="2:13" ht="12.75">
      <c r="B129" s="11" t="s">
        <v>85</v>
      </c>
      <c r="C129" s="11" t="s">
        <v>220</v>
      </c>
      <c r="D129" s="11" t="s">
        <v>150</v>
      </c>
      <c r="E129" s="11" t="s">
        <v>15</v>
      </c>
      <c r="F129" s="11"/>
      <c r="G129" s="7">
        <f t="shared" si="4"/>
        <v>6.510958904109589</v>
      </c>
      <c r="H129" s="11"/>
      <c r="I129" s="7">
        <f t="shared" si="5"/>
        <v>2.608219178082192</v>
      </c>
      <c r="J129" s="11"/>
      <c r="K129" s="7">
        <f t="shared" si="6"/>
        <v>10.285714285714288</v>
      </c>
      <c r="L129" s="11"/>
      <c r="M129" s="7">
        <f t="shared" si="7"/>
        <v>6.468297455968691</v>
      </c>
    </row>
    <row r="130" spans="2:13" ht="12.75">
      <c r="B130" s="99" t="s">
        <v>221</v>
      </c>
      <c r="C130" s="11" t="s">
        <v>220</v>
      </c>
      <c r="D130" s="11" t="s">
        <v>150</v>
      </c>
      <c r="E130" s="11" t="s">
        <v>15</v>
      </c>
      <c r="F130" s="11"/>
      <c r="G130" s="7">
        <f t="shared" si="4"/>
        <v>4.592191780821917</v>
      </c>
      <c r="H130" s="11"/>
      <c r="I130" s="7">
        <f t="shared" si="5"/>
        <v>1.6895890410958905</v>
      </c>
      <c r="J130" s="11"/>
      <c r="K130" s="7">
        <f t="shared" si="6"/>
        <v>4.980952380952381</v>
      </c>
      <c r="L130" s="11"/>
      <c r="M130" s="7">
        <f t="shared" si="7"/>
        <v>3.7542444009567295</v>
      </c>
    </row>
    <row r="131" spans="2:13" ht="12.75">
      <c r="B131" s="11" t="s">
        <v>151</v>
      </c>
      <c r="C131" s="11" t="s">
        <v>219</v>
      </c>
      <c r="D131" s="11" t="s">
        <v>150</v>
      </c>
      <c r="E131" s="11" t="s">
        <v>15</v>
      </c>
      <c r="F131" s="11"/>
      <c r="G131" s="7">
        <f t="shared" si="4"/>
        <v>13.961643835616439</v>
      </c>
      <c r="H131" s="11"/>
      <c r="I131" s="7">
        <f t="shared" si="5"/>
        <v>25.65068493150685</v>
      </c>
      <c r="J131" s="11"/>
      <c r="K131" s="7">
        <f t="shared" si="6"/>
        <v>16.933333333333334</v>
      </c>
      <c r="M131" s="7">
        <f t="shared" si="7"/>
        <v>18.84855403348554</v>
      </c>
    </row>
    <row r="132" spans="2:13" ht="12.75">
      <c r="B132" s="11" t="s">
        <v>152</v>
      </c>
      <c r="C132" s="11" t="s">
        <v>219</v>
      </c>
      <c r="D132" s="11" t="s">
        <v>150</v>
      </c>
      <c r="E132" s="11" t="s">
        <v>15</v>
      </c>
      <c r="F132" s="11" t="s">
        <v>100</v>
      </c>
      <c r="G132" s="7">
        <f t="shared" si="4"/>
        <v>2.7175342465753425</v>
      </c>
      <c r="H132" s="11" t="s">
        <v>100</v>
      </c>
      <c r="I132" s="7">
        <f t="shared" si="5"/>
        <v>20.376712328767123</v>
      </c>
      <c r="J132" s="11"/>
      <c r="K132" s="7">
        <f t="shared" si="6"/>
        <v>3.885714285714286</v>
      </c>
      <c r="L132" s="11"/>
      <c r="M132" s="7">
        <f t="shared" si="7"/>
        <v>8.993320287018918</v>
      </c>
    </row>
    <row r="133" spans="2:13" ht="12.75">
      <c r="B133" s="11" t="s">
        <v>108</v>
      </c>
      <c r="C133" s="11" t="s">
        <v>219</v>
      </c>
      <c r="D133" s="11" t="s">
        <v>150</v>
      </c>
      <c r="E133" s="11" t="s">
        <v>15</v>
      </c>
      <c r="F133" s="11"/>
      <c r="G133" s="7">
        <f t="shared" si="4"/>
        <v>6.3258904109589045</v>
      </c>
      <c r="H133" s="11" t="s">
        <v>100</v>
      </c>
      <c r="I133" s="7">
        <f t="shared" si="5"/>
        <v>4.813698630136987</v>
      </c>
      <c r="J133" s="11" t="s">
        <v>100</v>
      </c>
      <c r="K133" s="7">
        <f t="shared" si="6"/>
        <v>4.533333333333333</v>
      </c>
      <c r="M133" s="7">
        <f t="shared" si="7"/>
        <v>5.224307458143074</v>
      </c>
    </row>
    <row r="134" spans="2:13" ht="12.75">
      <c r="B134" s="11" t="s">
        <v>79</v>
      </c>
      <c r="C134" s="11" t="s">
        <v>219</v>
      </c>
      <c r="D134" s="11" t="s">
        <v>150</v>
      </c>
      <c r="E134" s="11" t="s">
        <v>15</v>
      </c>
      <c r="F134" s="11"/>
      <c r="G134" s="7">
        <f t="shared" si="4"/>
        <v>3.514383561643836</v>
      </c>
      <c r="H134" s="11"/>
      <c r="I134" s="7">
        <f t="shared" si="5"/>
        <v>8.96095890410959</v>
      </c>
      <c r="J134" s="11"/>
      <c r="K134" s="7">
        <f t="shared" si="6"/>
        <v>4.383809523809523</v>
      </c>
      <c r="L134" s="11"/>
      <c r="M134" s="7">
        <f t="shared" si="7"/>
        <v>5.619717329854317</v>
      </c>
    </row>
    <row r="135" spans="2:13" ht="12.75">
      <c r="B135" s="11" t="s">
        <v>109</v>
      </c>
      <c r="C135" s="11" t="s">
        <v>219</v>
      </c>
      <c r="D135" s="11" t="s">
        <v>150</v>
      </c>
      <c r="E135" s="11" t="s">
        <v>15</v>
      </c>
      <c r="F135" s="11" t="s">
        <v>100</v>
      </c>
      <c r="G135" s="7">
        <f t="shared" si="4"/>
        <v>1.1247945205479453</v>
      </c>
      <c r="H135" s="11" t="s">
        <v>100</v>
      </c>
      <c r="I135" s="7">
        <f t="shared" si="5"/>
        <v>4.65931506849315</v>
      </c>
      <c r="J135" s="11" t="s">
        <v>100</v>
      </c>
      <c r="K135" s="7">
        <f t="shared" si="6"/>
        <v>0.8961904761904762</v>
      </c>
      <c r="L135" s="11"/>
      <c r="M135" s="7">
        <f t="shared" si="7"/>
        <v>2.226766688410524</v>
      </c>
    </row>
    <row r="136" spans="2:13" ht="12.75">
      <c r="B136" s="11" t="s">
        <v>110</v>
      </c>
      <c r="C136" s="11" t="s">
        <v>219</v>
      </c>
      <c r="D136" s="11" t="s">
        <v>150</v>
      </c>
      <c r="E136" s="11" t="s">
        <v>15</v>
      </c>
      <c r="F136" s="11" t="s">
        <v>100</v>
      </c>
      <c r="G136" s="7">
        <f t="shared" si="4"/>
        <v>1.8746575342465754</v>
      </c>
      <c r="H136" s="11" t="s">
        <v>100</v>
      </c>
      <c r="I136" s="7">
        <f t="shared" si="5"/>
        <v>4.301643835616438</v>
      </c>
      <c r="J136" s="11" t="s">
        <v>100</v>
      </c>
      <c r="K136" s="7">
        <f t="shared" si="6"/>
        <v>2.0923809523809527</v>
      </c>
      <c r="L136" s="11"/>
      <c r="M136" s="7">
        <f t="shared" si="7"/>
        <v>2.7562274407479883</v>
      </c>
    </row>
    <row r="137" spans="2:13" ht="12.75">
      <c r="B137" s="11" t="s">
        <v>111</v>
      </c>
      <c r="C137" s="11" t="s">
        <v>219</v>
      </c>
      <c r="D137" s="11" t="s">
        <v>150</v>
      </c>
      <c r="E137" s="11" t="s">
        <v>15</v>
      </c>
      <c r="F137" s="11" t="s">
        <v>100</v>
      </c>
      <c r="G137" s="7">
        <f t="shared" si="4"/>
        <v>1.5467123287671234</v>
      </c>
      <c r="H137" s="11" t="s">
        <v>100</v>
      </c>
      <c r="I137" s="7">
        <f t="shared" si="5"/>
        <v>2.7136986301369865</v>
      </c>
      <c r="J137" s="11" t="s">
        <v>100</v>
      </c>
      <c r="K137" s="7">
        <f t="shared" si="6"/>
        <v>1.5942857142857143</v>
      </c>
      <c r="L137" s="11"/>
      <c r="M137" s="7">
        <f t="shared" si="7"/>
        <v>1.9515655577299416</v>
      </c>
    </row>
    <row r="138" spans="2:13" ht="12.75">
      <c r="B138" s="11" t="s">
        <v>112</v>
      </c>
      <c r="C138" s="11" t="s">
        <v>219</v>
      </c>
      <c r="D138" s="11" t="s">
        <v>150</v>
      </c>
      <c r="E138" s="11" t="s">
        <v>15</v>
      </c>
      <c r="F138" s="11" t="s">
        <v>100</v>
      </c>
      <c r="G138" s="7">
        <f t="shared" si="4"/>
        <v>24.976575342465754</v>
      </c>
      <c r="H138" s="11"/>
      <c r="I138" s="7">
        <f t="shared" si="5"/>
        <v>25.65356164383562</v>
      </c>
      <c r="J138" s="11" t="s">
        <v>100</v>
      </c>
      <c r="K138" s="7">
        <f t="shared" si="6"/>
        <v>25.902857142857144</v>
      </c>
      <c r="L138" s="11"/>
      <c r="M138" s="7">
        <f t="shared" si="7"/>
        <v>25.510998043052837</v>
      </c>
    </row>
    <row r="139" spans="2:13" ht="12.75">
      <c r="B139" s="11"/>
      <c r="C139" s="11"/>
      <c r="G139" s="7"/>
      <c r="H139" s="11"/>
      <c r="I139" s="7"/>
      <c r="J139" s="11"/>
      <c r="K139" s="7"/>
      <c r="L139" s="11"/>
      <c r="M139" s="7"/>
    </row>
    <row r="140" spans="2:13" ht="12.75">
      <c r="B140" t="s">
        <v>55</v>
      </c>
      <c r="C140" s="11" t="s">
        <v>219</v>
      </c>
      <c r="D140" s="11" t="s">
        <v>150</v>
      </c>
      <c r="E140" s="11" t="s">
        <v>15</v>
      </c>
      <c r="F140">
        <v>19.8</v>
      </c>
      <c r="G140" s="7">
        <f>G128+G134</f>
        <v>4.358219178082193</v>
      </c>
      <c r="H140" s="7">
        <v>20.4</v>
      </c>
      <c r="I140" s="7">
        <f>I128+I134</f>
        <v>11.316027397260275</v>
      </c>
      <c r="J140" s="7">
        <v>14.6</v>
      </c>
      <c r="K140" s="7">
        <f>K128+K134</f>
        <v>5.131428571428571</v>
      </c>
      <c r="L140" s="7">
        <v>19</v>
      </c>
      <c r="M140" s="7">
        <f>AVERAGE(K140,I140,G140)</f>
        <v>6.935225048923679</v>
      </c>
    </row>
    <row r="141" spans="2:13" ht="12.75">
      <c r="B141" s="15" t="s">
        <v>56</v>
      </c>
      <c r="C141" s="11" t="s">
        <v>219</v>
      </c>
      <c r="D141" s="11" t="s">
        <v>150</v>
      </c>
      <c r="E141" s="11" t="s">
        <v>15</v>
      </c>
      <c r="F141">
        <v>85.2</v>
      </c>
      <c r="G141" s="7">
        <f>G125+G127+G129</f>
        <v>44.14123287671232</v>
      </c>
      <c r="H141" s="7">
        <v>79.3</v>
      </c>
      <c r="I141" s="7">
        <f>I125+I127+I129</f>
        <v>12.593287671232877</v>
      </c>
      <c r="J141" s="7">
        <v>81</v>
      </c>
      <c r="K141" s="7">
        <f>K125+K127+K129</f>
        <v>54.020952380952394</v>
      </c>
      <c r="L141" s="7">
        <v>82.5</v>
      </c>
      <c r="M141" s="7">
        <f>AVERAGE(K141,I141,G141)</f>
        <v>36.918490976299196</v>
      </c>
    </row>
    <row r="142" ht="12.75"/>
    <row r="143" ht="12.75"/>
    <row r="144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91"/>
  <sheetViews>
    <sheetView tabSelected="1" workbookViewId="0" topLeftCell="B43">
      <selection activeCell="AB68" sqref="AB68"/>
    </sheetView>
  </sheetViews>
  <sheetFormatPr defaultColWidth="9.140625" defaultRowHeight="12.75"/>
  <cols>
    <col min="1" max="1" width="9.140625" style="0" hidden="1" customWidth="1"/>
    <col min="2" max="2" width="13.7109375" style="0" customWidth="1"/>
    <col min="3" max="3" width="6.57421875" style="0" customWidth="1"/>
    <col min="6" max="6" width="4.28125" style="0" customWidth="1"/>
    <col min="8" max="8" width="4.00390625" style="0" customWidth="1"/>
    <col min="10" max="10" width="4.28125" style="0" customWidth="1"/>
    <col min="12" max="12" width="3.8515625" style="0" customWidth="1"/>
    <col min="14" max="22" width="0" style="0" hidden="1" customWidth="1"/>
    <col min="23" max="24" width="9.140625" style="0" hidden="1" customWidth="1"/>
    <col min="25" max="25" width="0" style="0" hidden="1" customWidth="1"/>
  </cols>
  <sheetData>
    <row r="1" ht="12.75">
      <c r="B1" s="9" t="s">
        <v>200</v>
      </c>
    </row>
    <row r="4" spans="2:13" ht="12.75">
      <c r="B4" s="9" t="s">
        <v>134</v>
      </c>
      <c r="G4" s="54" t="s">
        <v>175</v>
      </c>
      <c r="H4" s="54"/>
      <c r="I4" s="54" t="s">
        <v>176</v>
      </c>
      <c r="J4" s="54"/>
      <c r="K4" s="54" t="s">
        <v>177</v>
      </c>
      <c r="L4" s="54"/>
      <c r="M4" s="54" t="s">
        <v>47</v>
      </c>
    </row>
    <row r="6" spans="1:25" s="87" customFormat="1" ht="12.75">
      <c r="A6" s="87" t="s">
        <v>134</v>
      </c>
      <c r="B6" s="87" t="s">
        <v>13</v>
      </c>
      <c r="C6" s="87" t="s">
        <v>219</v>
      </c>
      <c r="D6" s="87" t="s">
        <v>14</v>
      </c>
      <c r="E6" s="87" t="s">
        <v>15</v>
      </c>
      <c r="F6" s="88" t="s">
        <v>178</v>
      </c>
      <c r="G6" s="89">
        <v>0.001300012896</v>
      </c>
      <c r="H6" s="89" t="s">
        <v>178</v>
      </c>
      <c r="I6" s="89">
        <v>0.00200001984</v>
      </c>
      <c r="J6" s="89" t="s">
        <v>178</v>
      </c>
      <c r="K6" s="89">
        <v>0.000800007936</v>
      </c>
      <c r="L6" s="89"/>
      <c r="M6" s="89">
        <f>AVERAGE(G6,I6,K6)</f>
        <v>0.001366680224</v>
      </c>
      <c r="N6" s="89"/>
      <c r="O6" s="89" t="s">
        <v>178</v>
      </c>
      <c r="P6" s="89"/>
      <c r="Q6" s="89" t="s">
        <v>178</v>
      </c>
      <c r="R6" s="89"/>
      <c r="S6" s="89" t="s">
        <v>178</v>
      </c>
      <c r="T6" s="89"/>
      <c r="U6" s="89" t="s">
        <v>178</v>
      </c>
      <c r="V6" s="89"/>
      <c r="W6" s="88" t="s">
        <v>178</v>
      </c>
      <c r="X6" s="88"/>
      <c r="Y6" s="87">
        <v>0.001366680224</v>
      </c>
    </row>
    <row r="7" spans="1:25" s="87" customFormat="1" ht="12.75">
      <c r="A7" s="87" t="s">
        <v>134</v>
      </c>
      <c r="B7" s="87" t="s">
        <v>62</v>
      </c>
      <c r="C7" s="87" t="s">
        <v>219</v>
      </c>
      <c r="D7" s="87" t="s">
        <v>16</v>
      </c>
      <c r="E7" s="87" t="s">
        <v>15</v>
      </c>
      <c r="F7" s="88" t="s">
        <v>178</v>
      </c>
      <c r="G7" s="90">
        <v>2.84375</v>
      </c>
      <c r="H7" s="90" t="s">
        <v>178</v>
      </c>
      <c r="I7" s="90">
        <v>1.008</v>
      </c>
      <c r="J7" s="90" t="s">
        <v>178</v>
      </c>
      <c r="K7" s="90">
        <v>2.104430379746835</v>
      </c>
      <c r="L7" s="90"/>
      <c r="M7" s="103">
        <f>AVERAGE(G7,I7,K7)</f>
        <v>1.9853934599156116</v>
      </c>
      <c r="N7" s="88"/>
      <c r="O7" s="88" t="s">
        <v>178</v>
      </c>
      <c r="P7" s="88"/>
      <c r="Q7" s="88" t="s">
        <v>178</v>
      </c>
      <c r="R7" s="88"/>
      <c r="S7" s="88" t="s">
        <v>178</v>
      </c>
      <c r="T7" s="88"/>
      <c r="U7" s="88" t="s">
        <v>178</v>
      </c>
      <c r="V7" s="88"/>
      <c r="W7" s="88" t="s">
        <v>178</v>
      </c>
      <c r="X7" s="88"/>
      <c r="Y7" s="87">
        <v>1.9853934599156116</v>
      </c>
    </row>
    <row r="8" spans="1:25" s="87" customFormat="1" ht="12.75">
      <c r="A8" s="87" t="s">
        <v>134</v>
      </c>
      <c r="B8" s="87" t="s">
        <v>63</v>
      </c>
      <c r="C8" s="87" t="s">
        <v>219</v>
      </c>
      <c r="D8" s="87" t="s">
        <v>16</v>
      </c>
      <c r="E8" s="87" t="s">
        <v>15</v>
      </c>
      <c r="F8" s="88" t="s">
        <v>178</v>
      </c>
      <c r="G8" s="90">
        <v>1.115625</v>
      </c>
      <c r="H8" s="90" t="s">
        <v>178</v>
      </c>
      <c r="I8" s="90">
        <v>1.5568</v>
      </c>
      <c r="J8" s="90" t="s">
        <v>178</v>
      </c>
      <c r="K8" s="90">
        <v>1.295886075949367</v>
      </c>
      <c r="L8" s="90"/>
      <c r="M8" s="103">
        <f>AVERAGE(G8,I8,K8)</f>
        <v>1.322770358649789</v>
      </c>
      <c r="N8" s="88"/>
      <c r="O8" s="88" t="s">
        <v>178</v>
      </c>
      <c r="P8" s="88"/>
      <c r="Q8" s="88" t="s">
        <v>178</v>
      </c>
      <c r="R8" s="88"/>
      <c r="S8" s="88" t="s">
        <v>178</v>
      </c>
      <c r="T8" s="88"/>
      <c r="U8" s="88" t="s">
        <v>178</v>
      </c>
      <c r="V8" s="88"/>
      <c r="W8" s="88" t="s">
        <v>178</v>
      </c>
      <c r="X8" s="88"/>
      <c r="Y8" s="87">
        <v>1.322770358649789</v>
      </c>
    </row>
    <row r="9" spans="6:24" s="87" customFormat="1" ht="12.75">
      <c r="F9" s="88"/>
      <c r="G9" s="90"/>
      <c r="H9" s="90"/>
      <c r="I9" s="90"/>
      <c r="J9" s="90"/>
      <c r="K9" s="90"/>
      <c r="L9" s="90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5" s="87" customFormat="1" ht="12.75">
      <c r="A10" s="87" t="s">
        <v>134</v>
      </c>
      <c r="B10" s="87" t="s">
        <v>50</v>
      </c>
      <c r="C10" s="87" t="s">
        <v>219</v>
      </c>
      <c r="D10" s="87" t="s">
        <v>16</v>
      </c>
      <c r="E10" s="87" t="s">
        <v>15</v>
      </c>
      <c r="F10" s="88" t="s">
        <v>100</v>
      </c>
      <c r="G10" s="90">
        <v>0.14461286624162834</v>
      </c>
      <c r="H10" s="90" t="s">
        <v>100</v>
      </c>
      <c r="I10" s="90">
        <v>0.13648309580112875</v>
      </c>
      <c r="J10" s="90" t="s">
        <v>100</v>
      </c>
      <c r="K10" s="90">
        <v>0.1269441467810588</v>
      </c>
      <c r="L10" s="104">
        <v>100</v>
      </c>
      <c r="M10" s="103">
        <f>AVERAGE(G10,I10,K10)</f>
        <v>0.13601336960793864</v>
      </c>
      <c r="N10" s="88"/>
      <c r="O10" s="88" t="s">
        <v>178</v>
      </c>
      <c r="P10" s="88"/>
      <c r="Q10" s="88" t="s">
        <v>178</v>
      </c>
      <c r="R10" s="88"/>
      <c r="S10" s="88" t="s">
        <v>178</v>
      </c>
      <c r="T10" s="88"/>
      <c r="U10" s="88" t="s">
        <v>178</v>
      </c>
      <c r="V10" s="88"/>
      <c r="W10" s="88" t="s">
        <v>178</v>
      </c>
      <c r="X10" s="88"/>
      <c r="Y10" s="87">
        <v>0.1360133696079386</v>
      </c>
    </row>
    <row r="11" spans="1:25" s="87" customFormat="1" ht="12.75">
      <c r="A11" s="87" t="s">
        <v>134</v>
      </c>
      <c r="B11" s="87" t="s">
        <v>51</v>
      </c>
      <c r="C11" s="87" t="s">
        <v>219</v>
      </c>
      <c r="D11" s="87" t="s">
        <v>16</v>
      </c>
      <c r="E11" s="87" t="s">
        <v>15</v>
      </c>
      <c r="F11" s="88" t="s">
        <v>178</v>
      </c>
      <c r="G11" s="90">
        <v>0.0594768854669377</v>
      </c>
      <c r="H11" s="90" t="s">
        <v>100</v>
      </c>
      <c r="I11" s="90">
        <v>0.04839072848549335</v>
      </c>
      <c r="J11" s="90" t="s">
        <v>100</v>
      </c>
      <c r="K11" s="90">
        <v>0.04834262289264581</v>
      </c>
      <c r="L11" s="104">
        <v>100</v>
      </c>
      <c r="M11" s="103">
        <f>AVERAGE(G11,I11,K11)</f>
        <v>0.05207007894835896</v>
      </c>
      <c r="N11" s="88"/>
      <c r="O11" s="88" t="s">
        <v>178</v>
      </c>
      <c r="P11" s="88"/>
      <c r="Q11" s="88" t="s">
        <v>178</v>
      </c>
      <c r="R11" s="88"/>
      <c r="S11" s="88" t="s">
        <v>178</v>
      </c>
      <c r="T11" s="88"/>
      <c r="U11" s="88" t="s">
        <v>178</v>
      </c>
      <c r="V11" s="88"/>
      <c r="W11" s="88" t="s">
        <v>178</v>
      </c>
      <c r="X11" s="88"/>
      <c r="Y11" s="87">
        <v>0.052070078948358946</v>
      </c>
    </row>
    <row r="12" spans="2:24" s="87" customFormat="1" ht="12.75">
      <c r="B12" s="91" t="s">
        <v>218</v>
      </c>
      <c r="C12" s="87" t="s">
        <v>219</v>
      </c>
      <c r="D12" s="87" t="s">
        <v>16</v>
      </c>
      <c r="E12" s="87" t="s">
        <v>15</v>
      </c>
      <c r="F12" s="88">
        <v>100</v>
      </c>
      <c r="G12" s="90">
        <f>G11*2+G10</f>
        <v>0.2635666371755037</v>
      </c>
      <c r="H12" s="104">
        <v>100</v>
      </c>
      <c r="I12" s="90">
        <f>I11*2+I10</f>
        <v>0.23326455277211544</v>
      </c>
      <c r="J12" s="104">
        <v>100</v>
      </c>
      <c r="K12" s="90">
        <f>K11*2+K10</f>
        <v>0.22362939256635045</v>
      </c>
      <c r="L12" s="104">
        <v>100</v>
      </c>
      <c r="M12" s="103">
        <f>AVERAGE(G12,I12,K12)</f>
        <v>0.24015352750465654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2:24" s="87" customFormat="1" ht="12.75">
      <c r="B13" s="91"/>
      <c r="F13" s="88"/>
      <c r="G13" s="90"/>
      <c r="H13" s="90"/>
      <c r="I13" s="90"/>
      <c r="J13" s="90"/>
      <c r="K13" s="90"/>
      <c r="L13" s="90"/>
      <c r="M13" s="103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5" s="87" customFormat="1" ht="12.75">
      <c r="A14" s="87" t="s">
        <v>134</v>
      </c>
      <c r="B14" s="87" t="s">
        <v>109</v>
      </c>
      <c r="C14" s="87" t="s">
        <v>219</v>
      </c>
      <c r="D14" s="87" t="s">
        <v>150</v>
      </c>
      <c r="E14" s="87" t="s">
        <v>15</v>
      </c>
      <c r="F14" s="88" t="s">
        <v>100</v>
      </c>
      <c r="G14" s="90">
        <v>34.9890783364122</v>
      </c>
      <c r="H14" s="90" t="s">
        <v>100</v>
      </c>
      <c r="I14" s="90">
        <v>31.31404198600467</v>
      </c>
      <c r="J14" s="90" t="s">
        <v>100</v>
      </c>
      <c r="K14" s="90">
        <v>27.728036042013503</v>
      </c>
      <c r="L14" s="90"/>
      <c r="M14" s="103">
        <f aca="true" t="shared" si="0" ref="M14:M20">AVERAGE(G14,I14,K14)</f>
        <v>31.34371878814346</v>
      </c>
      <c r="N14" s="88"/>
      <c r="O14" s="88" t="s">
        <v>178</v>
      </c>
      <c r="P14" s="88"/>
      <c r="Q14" s="88" t="s">
        <v>178</v>
      </c>
      <c r="R14" s="88"/>
      <c r="S14" s="88" t="s">
        <v>178</v>
      </c>
      <c r="T14" s="88"/>
      <c r="U14" s="88" t="s">
        <v>178</v>
      </c>
      <c r="V14" s="88"/>
      <c r="W14" s="88" t="s">
        <v>178</v>
      </c>
      <c r="X14" s="88"/>
      <c r="Y14" s="87">
        <v>31.34371878814346</v>
      </c>
    </row>
    <row r="15" spans="1:26" s="87" customFormat="1" ht="12.75">
      <c r="A15" s="87" t="s">
        <v>134</v>
      </c>
      <c r="B15" s="87" t="s">
        <v>105</v>
      </c>
      <c r="C15" s="87" t="s">
        <v>219</v>
      </c>
      <c r="D15" s="87" t="s">
        <v>150</v>
      </c>
      <c r="E15" s="87" t="s">
        <v>15</v>
      </c>
      <c r="F15" s="88" t="s">
        <v>100</v>
      </c>
      <c r="G15" s="90">
        <v>23.3260522242748</v>
      </c>
      <c r="H15" s="90" t="s">
        <v>100</v>
      </c>
      <c r="I15" s="90">
        <v>20.638800399866714</v>
      </c>
      <c r="J15" s="90" t="s">
        <v>100</v>
      </c>
      <c r="K15" s="90">
        <v>18.485357361342338</v>
      </c>
      <c r="L15" s="90"/>
      <c r="M15" s="103">
        <f t="shared" si="0"/>
        <v>20.81673666182795</v>
      </c>
      <c r="N15" s="88"/>
      <c r="O15" s="88" t="s">
        <v>178</v>
      </c>
      <c r="P15" s="88"/>
      <c r="Q15" s="88" t="s">
        <v>178</v>
      </c>
      <c r="R15" s="88"/>
      <c r="S15" s="88" t="s">
        <v>178</v>
      </c>
      <c r="T15" s="88"/>
      <c r="U15" s="88" t="s">
        <v>178</v>
      </c>
      <c r="V15" s="88"/>
      <c r="W15" s="88" t="s">
        <v>178</v>
      </c>
      <c r="X15" s="88"/>
      <c r="Y15" s="87">
        <v>20.81673666182795</v>
      </c>
      <c r="Z15" s="87" t="s">
        <v>257</v>
      </c>
    </row>
    <row r="16" spans="1:25" s="87" customFormat="1" ht="12.75">
      <c r="A16" s="87" t="s">
        <v>134</v>
      </c>
      <c r="B16" s="87" t="s">
        <v>106</v>
      </c>
      <c r="C16" s="87" t="s">
        <v>219</v>
      </c>
      <c r="D16" s="87" t="s">
        <v>150</v>
      </c>
      <c r="E16" s="87" t="s">
        <v>15</v>
      </c>
      <c r="F16" s="88" t="s">
        <v>178</v>
      </c>
      <c r="G16" s="90">
        <v>2.1868173960257624</v>
      </c>
      <c r="H16" s="90" t="s">
        <v>178</v>
      </c>
      <c r="I16" s="90">
        <v>2.846731089636788</v>
      </c>
      <c r="J16" s="90" t="s">
        <v>178</v>
      </c>
      <c r="K16" s="90">
        <v>2.1329258493856544</v>
      </c>
      <c r="L16" s="90"/>
      <c r="M16" s="103">
        <f t="shared" si="0"/>
        <v>2.3888247783494014</v>
      </c>
      <c r="N16" s="88"/>
      <c r="O16" s="88" t="s">
        <v>178</v>
      </c>
      <c r="P16" s="88"/>
      <c r="Q16" s="88" t="s">
        <v>178</v>
      </c>
      <c r="R16" s="88"/>
      <c r="S16" s="88" t="s">
        <v>178</v>
      </c>
      <c r="T16" s="88"/>
      <c r="U16" s="88" t="s">
        <v>178</v>
      </c>
      <c r="V16" s="88"/>
      <c r="W16" s="88" t="s">
        <v>178</v>
      </c>
      <c r="X16" s="88"/>
      <c r="Y16" s="87">
        <v>2.388824778349402</v>
      </c>
    </row>
    <row r="17" spans="1:25" s="87" customFormat="1" ht="12.75">
      <c r="A17" s="87" t="s">
        <v>134</v>
      </c>
      <c r="B17" s="87" t="s">
        <v>80</v>
      </c>
      <c r="C17" s="87" t="s">
        <v>219</v>
      </c>
      <c r="D17" s="87" t="s">
        <v>150</v>
      </c>
      <c r="E17" s="87" t="s">
        <v>15</v>
      </c>
      <c r="F17" s="88" t="s">
        <v>100</v>
      </c>
      <c r="G17" s="90">
        <v>1.457878264017175</v>
      </c>
      <c r="H17" s="90" t="s">
        <v>100</v>
      </c>
      <c r="I17" s="90">
        <v>0.711682772409197</v>
      </c>
      <c r="J17" s="90" t="s">
        <v>100</v>
      </c>
      <c r="K17" s="90">
        <v>0.7109752831285514</v>
      </c>
      <c r="L17" s="104">
        <v>100</v>
      </c>
      <c r="M17" s="103">
        <f t="shared" si="0"/>
        <v>0.9601787731849744</v>
      </c>
      <c r="N17" s="88"/>
      <c r="O17" s="88" t="s">
        <v>178</v>
      </c>
      <c r="P17" s="88"/>
      <c r="Q17" s="88" t="s">
        <v>178</v>
      </c>
      <c r="R17" s="88"/>
      <c r="S17" s="88" t="s">
        <v>178</v>
      </c>
      <c r="T17" s="88"/>
      <c r="U17" s="88" t="s">
        <v>178</v>
      </c>
      <c r="V17" s="88"/>
      <c r="W17" s="88" t="s">
        <v>178</v>
      </c>
      <c r="X17" s="88"/>
      <c r="Y17" s="87">
        <v>0.9601787731849744</v>
      </c>
    </row>
    <row r="18" spans="1:25" s="87" customFormat="1" ht="12.75">
      <c r="A18" s="87" t="s">
        <v>134</v>
      </c>
      <c r="B18" s="87" t="s">
        <v>107</v>
      </c>
      <c r="C18" s="87" t="s">
        <v>219</v>
      </c>
      <c r="D18" s="87" t="s">
        <v>150</v>
      </c>
      <c r="E18" s="87" t="s">
        <v>15</v>
      </c>
      <c r="F18" s="88" t="s">
        <v>100</v>
      </c>
      <c r="G18" s="90">
        <v>1.457878264017175</v>
      </c>
      <c r="H18" s="90" t="s">
        <v>100</v>
      </c>
      <c r="I18" s="90">
        <v>1.4233655448184</v>
      </c>
      <c r="J18" s="90" t="s">
        <v>100</v>
      </c>
      <c r="K18" s="90">
        <v>1.4219505662571</v>
      </c>
      <c r="L18" s="104">
        <v>100</v>
      </c>
      <c r="M18" s="103">
        <f t="shared" si="0"/>
        <v>1.4343981250308915</v>
      </c>
      <c r="N18" s="88"/>
      <c r="O18" s="88" t="s">
        <v>178</v>
      </c>
      <c r="P18" s="88"/>
      <c r="Q18" s="88" t="s">
        <v>178</v>
      </c>
      <c r="R18" s="88"/>
      <c r="S18" s="88" t="s">
        <v>178</v>
      </c>
      <c r="T18" s="88"/>
      <c r="U18" s="88" t="s">
        <v>178</v>
      </c>
      <c r="V18" s="88"/>
      <c r="W18" s="88" t="s">
        <v>178</v>
      </c>
      <c r="X18" s="88"/>
      <c r="Y18" s="87">
        <v>1.4343981250308915</v>
      </c>
    </row>
    <row r="19" spans="1:25" s="87" customFormat="1" ht="12.75">
      <c r="A19" s="87" t="s">
        <v>134</v>
      </c>
      <c r="B19" s="87" t="s">
        <v>85</v>
      </c>
      <c r="C19" s="87" t="s">
        <v>219</v>
      </c>
      <c r="D19" s="87" t="s">
        <v>150</v>
      </c>
      <c r="E19" s="87" t="s">
        <v>15</v>
      </c>
      <c r="F19" s="88" t="s">
        <v>178</v>
      </c>
      <c r="G19" s="90">
        <v>19.681356564231866</v>
      </c>
      <c r="H19" s="90" t="s">
        <v>178</v>
      </c>
      <c r="I19" s="90">
        <v>11.386924358547152</v>
      </c>
      <c r="J19" s="90" t="s">
        <v>178</v>
      </c>
      <c r="K19" s="90">
        <v>100.9584902042543</v>
      </c>
      <c r="L19" s="90"/>
      <c r="M19" s="103">
        <f t="shared" si="0"/>
        <v>44.00892370901111</v>
      </c>
      <c r="N19" s="88"/>
      <c r="O19" s="88" t="s">
        <v>178</v>
      </c>
      <c r="P19" s="88"/>
      <c r="Q19" s="88" t="s">
        <v>178</v>
      </c>
      <c r="R19" s="88"/>
      <c r="S19" s="88" t="s">
        <v>178</v>
      </c>
      <c r="T19" s="88"/>
      <c r="U19" s="88" t="s">
        <v>178</v>
      </c>
      <c r="V19" s="88"/>
      <c r="W19" s="88" t="s">
        <v>178</v>
      </c>
      <c r="X19" s="88"/>
      <c r="Y19" s="87">
        <v>44.00892370901111</v>
      </c>
    </row>
    <row r="20" spans="1:25" s="87" customFormat="1" ht="12.75">
      <c r="A20" s="87" t="s">
        <v>134</v>
      </c>
      <c r="B20" s="87" t="s">
        <v>79</v>
      </c>
      <c r="C20" s="87" t="s">
        <v>219</v>
      </c>
      <c r="D20" s="87" t="s">
        <v>150</v>
      </c>
      <c r="E20" s="87" t="s">
        <v>15</v>
      </c>
      <c r="F20" s="88" t="s">
        <v>100</v>
      </c>
      <c r="G20" s="90">
        <v>29.157565280343505</v>
      </c>
      <c r="H20" s="90" t="s">
        <v>100</v>
      </c>
      <c r="I20" s="90">
        <v>26.332262579140288</v>
      </c>
      <c r="J20" s="90" t="s">
        <v>100</v>
      </c>
      <c r="K20" s="90">
        <v>22.751209060113645</v>
      </c>
      <c r="L20" s="104">
        <v>100</v>
      </c>
      <c r="M20" s="103">
        <f t="shared" si="0"/>
        <v>26.08034563986581</v>
      </c>
      <c r="N20" s="88"/>
      <c r="O20" s="88" t="s">
        <v>178</v>
      </c>
      <c r="P20" s="88"/>
      <c r="Q20" s="88" t="s">
        <v>178</v>
      </c>
      <c r="R20" s="88"/>
      <c r="S20" s="88" t="s">
        <v>178</v>
      </c>
      <c r="T20" s="88"/>
      <c r="U20" s="88" t="s">
        <v>178</v>
      </c>
      <c r="V20" s="88"/>
      <c r="W20" s="88" t="s">
        <v>178</v>
      </c>
      <c r="X20" s="88"/>
      <c r="Y20" s="87">
        <v>26.08034563986581</v>
      </c>
    </row>
    <row r="21" spans="1:25" s="87" customFormat="1" ht="12.75">
      <c r="A21" s="87" t="s">
        <v>134</v>
      </c>
      <c r="B21" s="87" t="s">
        <v>81</v>
      </c>
      <c r="C21" s="87" t="s">
        <v>219</v>
      </c>
      <c r="D21" s="87" t="s">
        <v>150</v>
      </c>
      <c r="E21" s="87" t="s">
        <v>15</v>
      </c>
      <c r="F21" s="88" t="s">
        <v>178</v>
      </c>
      <c r="G21" s="90">
        <v>8.16411827849618</v>
      </c>
      <c r="H21" s="90" t="s">
        <v>178</v>
      </c>
      <c r="I21" s="90">
        <v>31.527546817727423</v>
      </c>
      <c r="J21" s="90" t="s">
        <v>178</v>
      </c>
      <c r="K21" s="90">
        <v>43.29839474252878</v>
      </c>
      <c r="L21" s="90"/>
      <c r="M21" s="90">
        <f>AVERAGE(G21,I21,K21)</f>
        <v>27.66335327958413</v>
      </c>
      <c r="N21" s="88"/>
      <c r="O21" s="88" t="s">
        <v>178</v>
      </c>
      <c r="P21" s="88"/>
      <c r="Q21" s="88" t="s">
        <v>178</v>
      </c>
      <c r="R21" s="88"/>
      <c r="S21" s="88" t="s">
        <v>178</v>
      </c>
      <c r="T21" s="88"/>
      <c r="U21" s="88" t="s">
        <v>178</v>
      </c>
      <c r="V21" s="88"/>
      <c r="W21" s="88" t="s">
        <v>178</v>
      </c>
      <c r="X21" s="88"/>
      <c r="Y21" s="87">
        <v>27.663353279584125</v>
      </c>
    </row>
    <row r="22" spans="1:25" s="87" customFormat="1" ht="12.75">
      <c r="A22" s="87" t="s">
        <v>134</v>
      </c>
      <c r="B22" s="87" t="s">
        <v>104</v>
      </c>
      <c r="C22" s="87" t="s">
        <v>219</v>
      </c>
      <c r="D22" s="87" t="s">
        <v>150</v>
      </c>
      <c r="E22" s="87" t="s">
        <v>15</v>
      </c>
      <c r="F22" s="88" t="s">
        <v>100</v>
      </c>
      <c r="G22" s="90">
        <v>11.6630261121374</v>
      </c>
      <c r="H22" s="90" t="s">
        <v>100</v>
      </c>
      <c r="I22" s="90">
        <v>10.675241586138</v>
      </c>
      <c r="J22" s="90" t="s">
        <v>100</v>
      </c>
      <c r="K22" s="90">
        <v>9.242678680671169</v>
      </c>
      <c r="L22" s="90"/>
      <c r="M22" s="103">
        <f>AVERAGE(G22,I22,K22)</f>
        <v>10.526982126315524</v>
      </c>
      <c r="N22" s="88"/>
      <c r="O22" s="88" t="s">
        <v>178</v>
      </c>
      <c r="P22" s="88"/>
      <c r="Q22" s="88" t="s">
        <v>178</v>
      </c>
      <c r="R22" s="88"/>
      <c r="S22" s="88" t="s">
        <v>178</v>
      </c>
      <c r="T22" s="88"/>
      <c r="U22" s="88" t="s">
        <v>178</v>
      </c>
      <c r="V22" s="88"/>
      <c r="W22" s="88" t="s">
        <v>178</v>
      </c>
      <c r="X22" s="88"/>
      <c r="Y22" s="87">
        <v>10.526982126315524</v>
      </c>
    </row>
    <row r="23" spans="1:25" s="87" customFormat="1" ht="12.75">
      <c r="A23" s="87" t="s">
        <v>134</v>
      </c>
      <c r="B23" s="87" t="s">
        <v>111</v>
      </c>
      <c r="C23" s="87" t="s">
        <v>219</v>
      </c>
      <c r="D23" s="87" t="s">
        <v>150</v>
      </c>
      <c r="E23" s="87" t="s">
        <v>15</v>
      </c>
      <c r="F23" s="88" t="s">
        <v>100</v>
      </c>
      <c r="G23" s="90">
        <v>40.8205913924809</v>
      </c>
      <c r="H23" s="90" t="s">
        <v>100</v>
      </c>
      <c r="I23" s="90">
        <v>36.295821392869</v>
      </c>
      <c r="J23" s="90" t="s">
        <v>100</v>
      </c>
      <c r="K23" s="90">
        <v>31.993887740784814</v>
      </c>
      <c r="L23" s="90"/>
      <c r="M23" s="103">
        <f>AVERAGE(G23,I23,K23)</f>
        <v>36.370100175378234</v>
      </c>
      <c r="N23" s="88"/>
      <c r="O23" s="88" t="s">
        <v>178</v>
      </c>
      <c r="P23" s="88"/>
      <c r="Q23" s="88" t="s">
        <v>178</v>
      </c>
      <c r="R23" s="88"/>
      <c r="S23" s="88" t="s">
        <v>178</v>
      </c>
      <c r="T23" s="88"/>
      <c r="U23" s="88" t="s">
        <v>178</v>
      </c>
      <c r="V23" s="88"/>
      <c r="W23" s="88" t="s">
        <v>178</v>
      </c>
      <c r="X23" s="88"/>
      <c r="Y23" s="87">
        <v>36.37010017537824</v>
      </c>
    </row>
    <row r="24" spans="2:24" s="87" customFormat="1" ht="12.75">
      <c r="B24" s="87" t="s">
        <v>55</v>
      </c>
      <c r="C24" s="87" t="s">
        <v>219</v>
      </c>
      <c r="D24" s="87" t="s">
        <v>150</v>
      </c>
      <c r="E24" s="87" t="s">
        <v>15</v>
      </c>
      <c r="F24" s="88">
        <v>100</v>
      </c>
      <c r="G24" s="90">
        <f>G18+G20</f>
        <v>30.61544354436068</v>
      </c>
      <c r="H24" s="88">
        <v>100</v>
      </c>
      <c r="I24" s="90">
        <f>I18+I20</f>
        <v>27.755628123958687</v>
      </c>
      <c r="J24" s="88">
        <v>100</v>
      </c>
      <c r="K24" s="90">
        <f>K18+K20</f>
        <v>24.173159626370744</v>
      </c>
      <c r="L24" s="88">
        <v>100</v>
      </c>
      <c r="M24" s="90">
        <f>AVERAGE(G24,I24,K24)</f>
        <v>27.514743764896703</v>
      </c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2:24" s="87" customFormat="1" ht="12.75">
      <c r="B25" s="87" t="s">
        <v>56</v>
      </c>
      <c r="C25" s="87" t="s">
        <v>219</v>
      </c>
      <c r="D25" s="87" t="s">
        <v>150</v>
      </c>
      <c r="E25" s="87" t="s">
        <v>15</v>
      </c>
      <c r="F25" s="88">
        <f>(G17+G15)/G25*100</f>
        <v>69.4590477345701</v>
      </c>
      <c r="G25" s="90">
        <f>G15/+G17+G19</f>
        <v>35.68135656423186</v>
      </c>
      <c r="H25" s="88">
        <f>(I17+I15)/I25*100</f>
        <v>52.864840567532525</v>
      </c>
      <c r="I25" s="90">
        <f>I15/+I17+I19</f>
        <v>40.386924358547155</v>
      </c>
      <c r="J25" s="88">
        <f>(K17+K15)/K25*100</f>
        <v>15.120164562123653</v>
      </c>
      <c r="K25" s="90">
        <f>K15/+K17+K19</f>
        <v>126.9584902042543</v>
      </c>
      <c r="L25" s="88">
        <f>(M17+M15)/M25*100</f>
        <v>32.178390043035996</v>
      </c>
      <c r="M25" s="90">
        <f>AVERAGE(G25,I25,K25)</f>
        <v>67.67559037567777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6:24" s="87" customFormat="1" ht="12.75">
      <c r="F26" s="88"/>
      <c r="G26" s="90"/>
      <c r="H26" s="90"/>
      <c r="I26" s="90"/>
      <c r="J26" s="90"/>
      <c r="K26" s="90"/>
      <c r="L26" s="90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2:24" s="87" customFormat="1" ht="12.75">
      <c r="B27" s="11" t="s">
        <v>214</v>
      </c>
      <c r="C27" s="11" t="s">
        <v>215</v>
      </c>
      <c r="D27" s="11"/>
      <c r="E27" s="11"/>
      <c r="F27" s="11"/>
      <c r="G27" s="20"/>
      <c r="H27" s="20"/>
      <c r="I27" s="21"/>
      <c r="J27" s="20"/>
      <c r="K27" s="20"/>
      <c r="L27" s="22"/>
      <c r="M27" s="6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2:24" s="87" customFormat="1" ht="12.75">
      <c r="B28" s="11" t="s">
        <v>119</v>
      </c>
      <c r="C28" s="11"/>
      <c r="D28" s="11" t="s">
        <v>53</v>
      </c>
      <c r="E28" s="11"/>
      <c r="F28" s="11"/>
      <c r="G28" s="26">
        <v>193.9</v>
      </c>
      <c r="H28" s="26"/>
      <c r="I28" s="27">
        <v>126.6</v>
      </c>
      <c r="J28" s="26"/>
      <c r="K28" s="26">
        <v>97.2</v>
      </c>
      <c r="L28" s="22"/>
      <c r="M28" s="6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2:24" s="87" customFormat="1" ht="12.75">
      <c r="B29" s="11" t="s">
        <v>120</v>
      </c>
      <c r="C29" s="87" t="s">
        <v>219</v>
      </c>
      <c r="D29" s="11" t="s">
        <v>53</v>
      </c>
      <c r="E29" s="11"/>
      <c r="F29" s="11"/>
      <c r="G29" s="97">
        <v>0.0074</v>
      </c>
      <c r="H29" s="97" t="s">
        <v>100</v>
      </c>
      <c r="I29" s="97">
        <v>0.003</v>
      </c>
      <c r="J29" s="97" t="s">
        <v>100</v>
      </c>
      <c r="K29" s="97">
        <v>0.003</v>
      </c>
      <c r="L29" s="22"/>
      <c r="M29" s="95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2:24" s="87" customFormat="1" ht="12.75">
      <c r="B30" s="11" t="s">
        <v>52</v>
      </c>
      <c r="C30" s="87" t="s">
        <v>219</v>
      </c>
      <c r="D30" s="11" t="s">
        <v>18</v>
      </c>
      <c r="E30" s="11"/>
      <c r="F30" s="11"/>
      <c r="G30" s="98">
        <f>(G28-G29)/G28*100</f>
        <v>99.99618359979371</v>
      </c>
      <c r="H30" s="26"/>
      <c r="I30" s="98">
        <f>(I28-I29)/I28*100</f>
        <v>99.99763033175356</v>
      </c>
      <c r="J30" s="26"/>
      <c r="K30" s="98">
        <f>(K28-K29)/K28*100</f>
        <v>99.99691358024691</v>
      </c>
      <c r="L30" s="26"/>
      <c r="M30" s="96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6:24" s="87" customFormat="1" ht="12.75">
      <c r="F31" s="88"/>
      <c r="G31" s="90"/>
      <c r="H31" s="90"/>
      <c r="I31" s="90"/>
      <c r="J31" s="90"/>
      <c r="K31" s="90"/>
      <c r="L31" s="90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2:24" s="87" customFormat="1" ht="12.75">
      <c r="B32" s="11" t="s">
        <v>214</v>
      </c>
      <c r="C32" s="11" t="s">
        <v>216</v>
      </c>
      <c r="D32" s="11"/>
      <c r="E32" s="11"/>
      <c r="F32" s="11"/>
      <c r="G32" s="20"/>
      <c r="H32" s="20"/>
      <c r="I32" s="21"/>
      <c r="J32" s="20"/>
      <c r="K32" s="20"/>
      <c r="L32" s="90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2:24" s="87" customFormat="1" ht="12.75">
      <c r="B33" s="11" t="s">
        <v>119</v>
      </c>
      <c r="C33" s="11"/>
      <c r="D33" s="11" t="s">
        <v>53</v>
      </c>
      <c r="E33" s="11"/>
      <c r="F33" s="11"/>
      <c r="G33" s="26">
        <v>126.4</v>
      </c>
      <c r="H33" s="26"/>
      <c r="I33" s="27">
        <v>122.3</v>
      </c>
      <c r="J33" s="26"/>
      <c r="K33" s="26">
        <v>117.2</v>
      </c>
      <c r="L33" s="90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2:24" s="87" customFormat="1" ht="12.75">
      <c r="B34" s="11" t="s">
        <v>120</v>
      </c>
      <c r="C34" s="87" t="s">
        <v>219</v>
      </c>
      <c r="D34" s="11" t="s">
        <v>53</v>
      </c>
      <c r="E34" s="11"/>
      <c r="F34" s="11"/>
      <c r="G34" s="97">
        <v>0.0062</v>
      </c>
      <c r="H34" s="97"/>
      <c r="I34" s="97">
        <v>0.0023</v>
      </c>
      <c r="J34" s="97"/>
      <c r="K34" s="97">
        <v>0.0027</v>
      </c>
      <c r="L34" s="90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2:24" s="87" customFormat="1" ht="12.75">
      <c r="B35" s="11" t="s">
        <v>52</v>
      </c>
      <c r="C35" s="87" t="s">
        <v>219</v>
      </c>
      <c r="D35" s="11" t="s">
        <v>18</v>
      </c>
      <c r="E35" s="11"/>
      <c r="F35" s="11"/>
      <c r="G35" s="98">
        <f>(G33-G34)/G33*100</f>
        <v>99.99509493670885</v>
      </c>
      <c r="H35" s="26"/>
      <c r="I35" s="98">
        <f>(I33-I34)/I33*100</f>
        <v>99.99811937857727</v>
      </c>
      <c r="J35" s="26"/>
      <c r="K35" s="98">
        <f>(K33-K34)/K33*100</f>
        <v>99.99769624573378</v>
      </c>
      <c r="L35" s="90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6:24" s="87" customFormat="1" ht="12.75">
      <c r="F36" s="88"/>
      <c r="G36" s="90"/>
      <c r="H36" s="90"/>
      <c r="I36" s="90"/>
      <c r="J36" s="90"/>
      <c r="K36" s="90"/>
      <c r="L36" s="90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2:24" s="87" customFormat="1" ht="12.75">
      <c r="B37" s="11" t="s">
        <v>214</v>
      </c>
      <c r="C37" s="11" t="s">
        <v>217</v>
      </c>
      <c r="D37" s="11"/>
      <c r="E37" s="11"/>
      <c r="F37" s="11"/>
      <c r="G37" s="20"/>
      <c r="H37" s="20"/>
      <c r="I37" s="21"/>
      <c r="J37" s="20"/>
      <c r="K37" s="20"/>
      <c r="L37" s="90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2:24" s="87" customFormat="1" ht="12.75">
      <c r="B38" s="11" t="s">
        <v>119</v>
      </c>
      <c r="C38" s="11"/>
      <c r="D38" s="11" t="s">
        <v>53</v>
      </c>
      <c r="E38" s="11"/>
      <c r="F38" s="11"/>
      <c r="G38" s="26">
        <v>225.4</v>
      </c>
      <c r="H38" s="26"/>
      <c r="I38" s="27">
        <v>82.6</v>
      </c>
      <c r="J38" s="26"/>
      <c r="K38" s="26">
        <v>81.3</v>
      </c>
      <c r="L38" s="90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s="87" customFormat="1" ht="12.75">
      <c r="B39" s="11" t="s">
        <v>120</v>
      </c>
      <c r="C39" s="87" t="s">
        <v>219</v>
      </c>
      <c r="D39" s="11" t="s">
        <v>53</v>
      </c>
      <c r="E39" s="11"/>
      <c r="F39" s="11" t="s">
        <v>100</v>
      </c>
      <c r="G39" s="97">
        <v>0.0028</v>
      </c>
      <c r="H39" s="97" t="s">
        <v>100</v>
      </c>
      <c r="I39" s="97">
        <v>0.003</v>
      </c>
      <c r="J39" s="97" t="s">
        <v>100</v>
      </c>
      <c r="K39" s="97">
        <v>0.003</v>
      </c>
      <c r="L39" s="90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2:24" s="87" customFormat="1" ht="12.75">
      <c r="B40" s="11" t="s">
        <v>52</v>
      </c>
      <c r="C40" s="87" t="s">
        <v>219</v>
      </c>
      <c r="D40" s="11" t="s">
        <v>18</v>
      </c>
      <c r="E40" s="11"/>
      <c r="F40" s="11"/>
      <c r="G40" s="98">
        <f>(G38-G39)/G38*100</f>
        <v>99.99875776397515</v>
      </c>
      <c r="H40" s="26"/>
      <c r="I40" s="98">
        <f>(I38-I39)/I38*100</f>
        <v>99.99636803874093</v>
      </c>
      <c r="J40" s="26"/>
      <c r="K40" s="98">
        <f>(K38-K39)/K38*100</f>
        <v>99.99630996309963</v>
      </c>
      <c r="L40" s="90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6:24" s="87" customFormat="1" ht="12.75">
      <c r="F41" s="88"/>
      <c r="G41" s="90"/>
      <c r="H41" s="90"/>
      <c r="I41" s="90"/>
      <c r="J41" s="90"/>
      <c r="K41" s="90"/>
      <c r="L41" s="90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6:24" s="87" customFormat="1" ht="12.75">
      <c r="F42" s="88"/>
      <c r="G42" s="90"/>
      <c r="H42" s="90"/>
      <c r="I42" s="90"/>
      <c r="J42" s="90"/>
      <c r="K42" s="90"/>
      <c r="L42" s="90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s="87" customFormat="1" ht="12.75">
      <c r="B43" s="87" t="s">
        <v>86</v>
      </c>
      <c r="C43" s="87" t="s">
        <v>99</v>
      </c>
      <c r="D43" s="87" t="s">
        <v>219</v>
      </c>
      <c r="F43" s="88"/>
      <c r="G43" s="90"/>
      <c r="H43" s="90"/>
      <c r="I43" s="90"/>
      <c r="J43" s="90"/>
      <c r="K43" s="90"/>
      <c r="L43" s="90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64" s="87" customFormat="1" ht="12.75">
      <c r="B44" s="11" t="s">
        <v>78</v>
      </c>
      <c r="C44" s="11"/>
      <c r="D44" s="11" t="s">
        <v>17</v>
      </c>
      <c r="G44" s="90">
        <v>40058</v>
      </c>
      <c r="H44" s="90"/>
      <c r="I44" s="90">
        <v>42014</v>
      </c>
      <c r="J44" s="90"/>
      <c r="K44" s="90">
        <v>41590</v>
      </c>
      <c r="L44" s="90"/>
      <c r="M44" s="90">
        <f>AVERAGE(K44,I44,G44)</f>
        <v>41220.666666666664</v>
      </c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5" spans="2:64" s="87" customFormat="1" ht="12.75">
      <c r="B45" s="11" t="s">
        <v>83</v>
      </c>
      <c r="C45" s="11"/>
      <c r="D45" s="11" t="s">
        <v>18</v>
      </c>
      <c r="G45" s="90">
        <v>8.2</v>
      </c>
      <c r="H45" s="90"/>
      <c r="I45" s="90">
        <v>8.5</v>
      </c>
      <c r="J45" s="90"/>
      <c r="K45" s="90">
        <v>8.36</v>
      </c>
      <c r="L45" s="90"/>
      <c r="M45" s="90">
        <f>AVERAGE(K45,I45,G45)</f>
        <v>8.353333333333333</v>
      </c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1:64" s="87" customFormat="1" ht="12.75">
      <c r="A46" s="87" t="s">
        <v>134</v>
      </c>
      <c r="B46" s="11" t="s">
        <v>84</v>
      </c>
      <c r="C46" s="11"/>
      <c r="D46" s="11" t="s">
        <v>18</v>
      </c>
      <c r="G46" s="90">
        <v>27.8</v>
      </c>
      <c r="H46" s="90"/>
      <c r="I46" s="90">
        <v>21.7</v>
      </c>
      <c r="J46" s="90"/>
      <c r="K46" s="90">
        <v>21.6</v>
      </c>
      <c r="L46" s="90"/>
      <c r="M46" s="90">
        <f>AVERAGE(K46,I46,G46)</f>
        <v>23.7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7" spans="2:64" s="87" customFormat="1" ht="12.75">
      <c r="B47" s="11" t="s">
        <v>77</v>
      </c>
      <c r="C47" s="11"/>
      <c r="D47" s="11" t="s">
        <v>19</v>
      </c>
      <c r="G47" s="90">
        <v>167.9</v>
      </c>
      <c r="H47" s="90"/>
      <c r="I47" s="90">
        <v>159.4</v>
      </c>
      <c r="J47" s="90"/>
      <c r="K47" s="90">
        <v>159.6</v>
      </c>
      <c r="L47" s="90"/>
      <c r="M47" s="90">
        <f>AVERAGE(K47,I47,G47)</f>
        <v>162.29999999999998</v>
      </c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7:64" s="87" customFormat="1" ht="12.75"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</row>
    <row r="49" spans="2:64" s="87" customFormat="1" ht="12.75">
      <c r="B49" s="44" t="s">
        <v>136</v>
      </c>
      <c r="G49" s="54" t="s">
        <v>175</v>
      </c>
      <c r="H49" s="54"/>
      <c r="I49" s="54" t="s">
        <v>176</v>
      </c>
      <c r="J49" s="54"/>
      <c r="K49" s="54" t="s">
        <v>177</v>
      </c>
      <c r="L49" s="54"/>
      <c r="M49" s="54" t="s">
        <v>47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</row>
    <row r="50" spans="6:24" s="87" customFormat="1" ht="12.75">
      <c r="F50" s="88"/>
      <c r="G50" s="90"/>
      <c r="H50" s="90"/>
      <c r="I50" s="90"/>
      <c r="J50" s="90"/>
      <c r="K50" s="90"/>
      <c r="L50" s="90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5" s="87" customFormat="1" ht="12.75">
      <c r="A51" s="87" t="s">
        <v>136</v>
      </c>
      <c r="B51" s="87" t="s">
        <v>13</v>
      </c>
      <c r="C51" s="87" t="s">
        <v>219</v>
      </c>
      <c r="D51" s="87" t="s">
        <v>14</v>
      </c>
      <c r="E51" s="87" t="s">
        <v>15</v>
      </c>
      <c r="F51" s="88" t="s">
        <v>178</v>
      </c>
      <c r="G51" s="89">
        <v>0.001700016864</v>
      </c>
      <c r="H51" s="89" t="s">
        <v>178</v>
      </c>
      <c r="I51" s="89">
        <v>0.00050000496</v>
      </c>
      <c r="J51" s="89" t="s">
        <v>178</v>
      </c>
      <c r="K51" s="89">
        <v>0.001200011904</v>
      </c>
      <c r="L51" s="89"/>
      <c r="M51" s="89">
        <f aca="true" t="shared" si="1" ref="M51:M56">AVERAGE(G51,I51,K51)</f>
        <v>0.001133344576</v>
      </c>
      <c r="N51" s="89"/>
      <c r="O51" s="89" t="s">
        <v>178</v>
      </c>
      <c r="P51" s="89"/>
      <c r="Q51" s="89" t="s">
        <v>178</v>
      </c>
      <c r="R51" s="89"/>
      <c r="S51" s="89" t="s">
        <v>178</v>
      </c>
      <c r="T51" s="89"/>
      <c r="U51" s="89" t="s">
        <v>178</v>
      </c>
      <c r="V51" s="89"/>
      <c r="W51" s="88" t="s">
        <v>178</v>
      </c>
      <c r="X51" s="88"/>
      <c r="Y51" s="87">
        <v>0.001133344576</v>
      </c>
    </row>
    <row r="52" spans="1:25" s="87" customFormat="1" ht="12.75">
      <c r="A52" s="87" t="s">
        <v>136</v>
      </c>
      <c r="B52" s="87" t="s">
        <v>62</v>
      </c>
      <c r="C52" s="87" t="s">
        <v>219</v>
      </c>
      <c r="D52" s="87" t="s">
        <v>16</v>
      </c>
      <c r="E52" s="87" t="s">
        <v>15</v>
      </c>
      <c r="F52" s="88" t="s">
        <v>178</v>
      </c>
      <c r="G52" s="90">
        <v>1.9103313840156</v>
      </c>
      <c r="H52" s="90" t="s">
        <v>178</v>
      </c>
      <c r="I52" s="90">
        <v>1.7965169569202561</v>
      </c>
      <c r="J52" s="90" t="s">
        <v>178</v>
      </c>
      <c r="K52" s="90">
        <v>2.5626204238921</v>
      </c>
      <c r="L52" s="90"/>
      <c r="M52" s="7">
        <f t="shared" si="1"/>
        <v>2.089822921609319</v>
      </c>
      <c r="N52" s="88"/>
      <c r="O52" s="88" t="s">
        <v>178</v>
      </c>
      <c r="P52" s="88"/>
      <c r="Q52" s="88" t="s">
        <v>178</v>
      </c>
      <c r="R52" s="88"/>
      <c r="S52" s="88" t="s">
        <v>178</v>
      </c>
      <c r="T52" s="88"/>
      <c r="U52" s="88" t="s">
        <v>178</v>
      </c>
      <c r="V52" s="88"/>
      <c r="W52" s="88" t="s">
        <v>178</v>
      </c>
      <c r="X52" s="88"/>
      <c r="Y52" s="87">
        <v>2.089822921609319</v>
      </c>
    </row>
    <row r="53" spans="1:25" s="87" customFormat="1" ht="12.75">
      <c r="A53" s="87" t="s">
        <v>136</v>
      </c>
      <c r="B53" s="87" t="s">
        <v>63</v>
      </c>
      <c r="C53" s="87" t="s">
        <v>219</v>
      </c>
      <c r="D53" s="87" t="s">
        <v>16</v>
      </c>
      <c r="E53" s="87" t="s">
        <v>15</v>
      </c>
      <c r="F53" s="88" t="s">
        <v>178</v>
      </c>
      <c r="G53" s="90">
        <v>2.3879142300195</v>
      </c>
      <c r="H53" s="90" t="s">
        <v>178</v>
      </c>
      <c r="I53" s="90">
        <v>1.8991750687442712</v>
      </c>
      <c r="J53" s="90" t="s">
        <v>178</v>
      </c>
      <c r="K53" s="90">
        <v>2.3603082851637764</v>
      </c>
      <c r="L53" s="90"/>
      <c r="M53" s="7">
        <f t="shared" si="1"/>
        <v>2.215799194642516</v>
      </c>
      <c r="N53" s="88"/>
      <c r="O53" s="88" t="s">
        <v>178</v>
      </c>
      <c r="P53" s="88"/>
      <c r="Q53" s="88" t="s">
        <v>178</v>
      </c>
      <c r="R53" s="88"/>
      <c r="S53" s="88" t="s">
        <v>178</v>
      </c>
      <c r="T53" s="88"/>
      <c r="U53" s="88" t="s">
        <v>178</v>
      </c>
      <c r="V53" s="88"/>
      <c r="W53" s="88" t="s">
        <v>178</v>
      </c>
      <c r="X53" s="88"/>
      <c r="Y53" s="87">
        <v>2.215799194642516</v>
      </c>
    </row>
    <row r="54" spans="1:25" s="87" customFormat="1" ht="12.75">
      <c r="A54" s="87" t="s">
        <v>136</v>
      </c>
      <c r="B54" s="87" t="s">
        <v>50</v>
      </c>
      <c r="C54" s="87" t="s">
        <v>219</v>
      </c>
      <c r="D54" s="87" t="s">
        <v>16</v>
      </c>
      <c r="E54" s="87" t="s">
        <v>15</v>
      </c>
      <c r="F54" s="88" t="s">
        <v>100</v>
      </c>
      <c r="G54" s="90">
        <v>0.1649927511557</v>
      </c>
      <c r="H54" s="90" t="s">
        <v>100</v>
      </c>
      <c r="I54" s="90">
        <v>0.16124792695655</v>
      </c>
      <c r="J54" s="90" t="s">
        <v>100</v>
      </c>
      <c r="K54" s="90">
        <v>0.15519727982495565</v>
      </c>
      <c r="L54" s="104">
        <v>100</v>
      </c>
      <c r="M54" s="7">
        <f t="shared" si="1"/>
        <v>0.1604793193124019</v>
      </c>
      <c r="N54" s="88"/>
      <c r="O54" s="88" t="s">
        <v>178</v>
      </c>
      <c r="P54" s="88"/>
      <c r="Q54" s="88" t="s">
        <v>178</v>
      </c>
      <c r="R54" s="88"/>
      <c r="S54" s="88" t="s">
        <v>178</v>
      </c>
      <c r="T54" s="88"/>
      <c r="U54" s="88" t="s">
        <v>178</v>
      </c>
      <c r="V54" s="88"/>
      <c r="W54" s="88" t="s">
        <v>178</v>
      </c>
      <c r="X54" s="88"/>
      <c r="Y54" s="87">
        <v>0.1604793193124019</v>
      </c>
    </row>
    <row r="55" spans="1:25" s="87" customFormat="1" ht="12.75">
      <c r="A55" s="87" t="s">
        <v>136</v>
      </c>
      <c r="B55" s="87" t="s">
        <v>51</v>
      </c>
      <c r="C55" s="87" t="s">
        <v>219</v>
      </c>
      <c r="D55" s="87" t="s">
        <v>16</v>
      </c>
      <c r="E55" s="87" t="s">
        <v>15</v>
      </c>
      <c r="F55" s="88" t="s">
        <v>100</v>
      </c>
      <c r="G55" s="90">
        <v>0.05937644634326784</v>
      </c>
      <c r="H55" s="90" t="s">
        <v>100</v>
      </c>
      <c r="I55" s="90">
        <v>0.049738958568966735</v>
      </c>
      <c r="J55" s="90" t="s">
        <v>100</v>
      </c>
      <c r="K55" s="90">
        <v>0.049523338015249</v>
      </c>
      <c r="L55" s="104">
        <v>100</v>
      </c>
      <c r="M55" s="7">
        <f t="shared" si="1"/>
        <v>0.05287958097582785</v>
      </c>
      <c r="N55" s="88"/>
      <c r="O55" s="88" t="s">
        <v>178</v>
      </c>
      <c r="P55" s="88"/>
      <c r="Q55" s="88" t="s">
        <v>178</v>
      </c>
      <c r="R55" s="88"/>
      <c r="S55" s="88" t="s">
        <v>178</v>
      </c>
      <c r="T55" s="88"/>
      <c r="U55" s="88" t="s">
        <v>178</v>
      </c>
      <c r="V55" s="88"/>
      <c r="W55" s="88" t="s">
        <v>178</v>
      </c>
      <c r="X55" s="88"/>
      <c r="Y55" s="87">
        <v>0.05287958097582785</v>
      </c>
    </row>
    <row r="56" spans="2:24" s="87" customFormat="1" ht="12.75">
      <c r="B56" s="91" t="s">
        <v>218</v>
      </c>
      <c r="C56" s="87" t="s">
        <v>219</v>
      </c>
      <c r="D56" s="87" t="s">
        <v>16</v>
      </c>
      <c r="E56" s="87" t="s">
        <v>15</v>
      </c>
      <c r="F56" s="88">
        <v>100</v>
      </c>
      <c r="G56" s="90">
        <f>G54+G55*2</f>
        <v>0.28374564384223566</v>
      </c>
      <c r="H56" s="104">
        <v>100</v>
      </c>
      <c r="I56" s="90">
        <f>I54+I55*2</f>
        <v>0.26072584409448346</v>
      </c>
      <c r="J56" s="104">
        <v>100</v>
      </c>
      <c r="K56" s="90">
        <f>K54+K55*2</f>
        <v>0.2542439558554537</v>
      </c>
      <c r="L56" s="104">
        <v>100</v>
      </c>
      <c r="M56" s="7">
        <f t="shared" si="1"/>
        <v>0.26623848126405764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5" s="87" customFormat="1" ht="12.75">
      <c r="A57" s="87" t="s">
        <v>136</v>
      </c>
      <c r="B57" s="87" t="s">
        <v>109</v>
      </c>
      <c r="C57" s="87" t="s">
        <v>219</v>
      </c>
      <c r="D57" s="87" t="s">
        <v>150</v>
      </c>
      <c r="E57" s="87" t="s">
        <v>15</v>
      </c>
      <c r="F57" s="88" t="s">
        <v>100</v>
      </c>
      <c r="G57" s="90">
        <v>39.08832436020572</v>
      </c>
      <c r="H57" s="90" t="s">
        <v>100</v>
      </c>
      <c r="I57" s="90">
        <v>31.69881872739064</v>
      </c>
      <c r="J57" s="90" t="s">
        <v>100</v>
      </c>
      <c r="K57" s="90">
        <v>36.41700342268659</v>
      </c>
      <c r="L57" s="90"/>
      <c r="M57" s="7">
        <f aca="true" t="shared" si="2" ref="M57:M66">AVERAGE(G57,I57,K57)</f>
        <v>35.73471550342765</v>
      </c>
      <c r="N57" s="88"/>
      <c r="O57" s="88" t="s">
        <v>178</v>
      </c>
      <c r="P57" s="88"/>
      <c r="Q57" s="88" t="s">
        <v>178</v>
      </c>
      <c r="R57" s="88"/>
      <c r="S57" s="88" t="s">
        <v>178</v>
      </c>
      <c r="T57" s="88"/>
      <c r="U57" s="88" t="s">
        <v>178</v>
      </c>
      <c r="V57" s="88"/>
      <c r="W57" s="88" t="s">
        <v>178</v>
      </c>
      <c r="X57" s="88"/>
      <c r="Y57" s="87">
        <v>35.73471550342765</v>
      </c>
    </row>
    <row r="58" spans="1:25" s="87" customFormat="1" ht="12.75">
      <c r="A58" s="87" t="s">
        <v>136</v>
      </c>
      <c r="B58" s="87" t="s">
        <v>105</v>
      </c>
      <c r="C58" s="87" t="s">
        <v>219</v>
      </c>
      <c r="D58" s="87" t="s">
        <v>150</v>
      </c>
      <c r="E58" s="87" t="s">
        <v>15</v>
      </c>
      <c r="F58" s="88" t="s">
        <v>100</v>
      </c>
      <c r="G58" s="90">
        <v>25.78166074822079</v>
      </c>
      <c r="H58" s="90" t="s">
        <v>100</v>
      </c>
      <c r="I58" s="90">
        <v>21.13254581826043</v>
      </c>
      <c r="J58" s="90" t="s">
        <v>100</v>
      </c>
      <c r="K58" s="90">
        <v>24.278002281791</v>
      </c>
      <c r="L58" s="90"/>
      <c r="M58" s="7">
        <f t="shared" si="2"/>
        <v>23.730736282757405</v>
      </c>
      <c r="N58" s="88"/>
      <c r="O58" s="88" t="s">
        <v>178</v>
      </c>
      <c r="P58" s="88"/>
      <c r="Q58" s="88" t="s">
        <v>178</v>
      </c>
      <c r="R58" s="88"/>
      <c r="S58" s="88" t="s">
        <v>178</v>
      </c>
      <c r="T58" s="88"/>
      <c r="U58" s="88" t="s">
        <v>178</v>
      </c>
      <c r="V58" s="88"/>
      <c r="W58" s="88" t="s">
        <v>178</v>
      </c>
      <c r="X58" s="88"/>
      <c r="Y58" s="87">
        <v>23.730736282757405</v>
      </c>
    </row>
    <row r="59" spans="1:25" s="87" customFormat="1" ht="12.75">
      <c r="A59" s="87" t="s">
        <v>136</v>
      </c>
      <c r="B59" s="87" t="s">
        <v>106</v>
      </c>
      <c r="C59" s="87" t="s">
        <v>219</v>
      </c>
      <c r="D59" s="87" t="s">
        <v>150</v>
      </c>
      <c r="E59" s="87" t="s">
        <v>15</v>
      </c>
      <c r="F59" s="88" t="s">
        <v>178</v>
      </c>
      <c r="G59" s="90">
        <v>4.158332378745289</v>
      </c>
      <c r="H59" s="90" t="s">
        <v>178</v>
      </c>
      <c r="I59" s="90">
        <v>4.063951118896236</v>
      </c>
      <c r="J59" s="90" t="s">
        <v>178</v>
      </c>
      <c r="K59" s="90">
        <v>2.4278002281791</v>
      </c>
      <c r="L59" s="90"/>
      <c r="M59" s="7">
        <f t="shared" si="2"/>
        <v>3.550027908606875</v>
      </c>
      <c r="N59" s="88"/>
      <c r="O59" s="88" t="s">
        <v>178</v>
      </c>
      <c r="P59" s="88"/>
      <c r="Q59" s="88" t="s">
        <v>178</v>
      </c>
      <c r="R59" s="88"/>
      <c r="S59" s="88" t="s">
        <v>178</v>
      </c>
      <c r="T59" s="88"/>
      <c r="U59" s="88" t="s">
        <v>178</v>
      </c>
      <c r="V59" s="88"/>
      <c r="W59" s="88" t="s">
        <v>178</v>
      </c>
      <c r="X59" s="88"/>
      <c r="Y59" s="87">
        <v>3.550027908606875</v>
      </c>
    </row>
    <row r="60" spans="1:25" s="87" customFormat="1" ht="12.75">
      <c r="A60" s="87" t="s">
        <v>136</v>
      </c>
      <c r="B60" s="87" t="s">
        <v>80</v>
      </c>
      <c r="C60" s="87" t="s">
        <v>219</v>
      </c>
      <c r="D60" s="87" t="s">
        <v>150</v>
      </c>
      <c r="E60" s="87" t="s">
        <v>15</v>
      </c>
      <c r="F60" s="88" t="s">
        <v>100</v>
      </c>
      <c r="G60" s="90">
        <v>1.3306663611985</v>
      </c>
      <c r="H60" s="90" t="s">
        <v>100</v>
      </c>
      <c r="I60" s="90">
        <v>0.8127902237792473</v>
      </c>
      <c r="J60" s="90" t="s">
        <v>100</v>
      </c>
      <c r="K60" s="90">
        <v>0.8092667427263687</v>
      </c>
      <c r="L60" s="104">
        <v>100</v>
      </c>
      <c r="M60" s="7">
        <f t="shared" si="2"/>
        <v>0.9842411092347053</v>
      </c>
      <c r="N60" s="88"/>
      <c r="O60" s="88" t="s">
        <v>178</v>
      </c>
      <c r="P60" s="88"/>
      <c r="Q60" s="88" t="s">
        <v>178</v>
      </c>
      <c r="R60" s="88"/>
      <c r="S60" s="88" t="s">
        <v>178</v>
      </c>
      <c r="T60" s="88"/>
      <c r="U60" s="88" t="s">
        <v>178</v>
      </c>
      <c r="V60" s="88"/>
      <c r="W60" s="88" t="s">
        <v>178</v>
      </c>
      <c r="X60" s="88"/>
      <c r="Y60" s="87">
        <v>0.9842411092347053</v>
      </c>
    </row>
    <row r="61" spans="1:25" s="87" customFormat="1" ht="12.75">
      <c r="A61" s="87" t="s">
        <v>136</v>
      </c>
      <c r="B61" s="87" t="s">
        <v>107</v>
      </c>
      <c r="C61" s="87" t="s">
        <v>219</v>
      </c>
      <c r="D61" s="87" t="s">
        <v>150</v>
      </c>
      <c r="E61" s="87" t="s">
        <v>15</v>
      </c>
      <c r="F61" s="88" t="s">
        <v>100</v>
      </c>
      <c r="G61" s="90">
        <v>1.6633329514981157</v>
      </c>
      <c r="H61" s="90" t="s">
        <v>100</v>
      </c>
      <c r="I61" s="90">
        <v>1.6255804475585</v>
      </c>
      <c r="J61" s="90" t="s">
        <v>100</v>
      </c>
      <c r="K61" s="90">
        <v>1.6185334854527373</v>
      </c>
      <c r="L61" s="104">
        <v>100</v>
      </c>
      <c r="M61" s="7">
        <f t="shared" si="2"/>
        <v>1.6358156281697844</v>
      </c>
      <c r="N61" s="88"/>
      <c r="O61" s="88" t="s">
        <v>178</v>
      </c>
      <c r="P61" s="88"/>
      <c r="Q61" s="88" t="s">
        <v>178</v>
      </c>
      <c r="R61" s="88"/>
      <c r="S61" s="88" t="s">
        <v>178</v>
      </c>
      <c r="T61" s="88"/>
      <c r="U61" s="88" t="s">
        <v>178</v>
      </c>
      <c r="V61" s="88"/>
      <c r="W61" s="88" t="s">
        <v>178</v>
      </c>
      <c r="X61" s="88"/>
      <c r="Y61" s="87">
        <v>1.6358156281697844</v>
      </c>
    </row>
    <row r="62" spans="1:25" s="87" customFormat="1" ht="12.75">
      <c r="A62" s="87" t="s">
        <v>136</v>
      </c>
      <c r="B62" s="87" t="s">
        <v>85</v>
      </c>
      <c r="C62" s="87" t="s">
        <v>219</v>
      </c>
      <c r="D62" s="87" t="s">
        <v>150</v>
      </c>
      <c r="E62" s="87" t="s">
        <v>15</v>
      </c>
      <c r="F62" s="88" t="s">
        <v>178</v>
      </c>
      <c r="G62" s="90">
        <v>14.969996563483</v>
      </c>
      <c r="H62" s="90" t="s">
        <v>178</v>
      </c>
      <c r="I62" s="90">
        <v>8.94069246157172</v>
      </c>
      <c r="J62" s="90" t="s">
        <v>178</v>
      </c>
      <c r="K62" s="90">
        <v>10.520467655442793</v>
      </c>
      <c r="L62" s="90"/>
      <c r="M62" s="7">
        <f t="shared" si="2"/>
        <v>11.477052226832505</v>
      </c>
      <c r="N62" s="88"/>
      <c r="O62" s="88" t="s">
        <v>178</v>
      </c>
      <c r="P62" s="88"/>
      <c r="Q62" s="88" t="s">
        <v>178</v>
      </c>
      <c r="R62" s="88"/>
      <c r="S62" s="88" t="s">
        <v>178</v>
      </c>
      <c r="T62" s="88"/>
      <c r="U62" s="88" t="s">
        <v>178</v>
      </c>
      <c r="V62" s="88"/>
      <c r="W62" s="88" t="s">
        <v>178</v>
      </c>
      <c r="X62" s="88"/>
      <c r="Y62" s="87">
        <v>11.477052226832505</v>
      </c>
    </row>
    <row r="63" spans="1:25" s="87" customFormat="1" ht="12.75">
      <c r="A63" s="87" t="s">
        <v>136</v>
      </c>
      <c r="B63" s="87" t="s">
        <v>79</v>
      </c>
      <c r="C63" s="87" t="s">
        <v>219</v>
      </c>
      <c r="D63" s="87" t="s">
        <v>150</v>
      </c>
      <c r="E63" s="87" t="s">
        <v>15</v>
      </c>
      <c r="F63" s="88" t="s">
        <v>100</v>
      </c>
      <c r="G63" s="90">
        <v>32.43499255421325</v>
      </c>
      <c r="H63" s="90" t="s">
        <v>100</v>
      </c>
      <c r="I63" s="90">
        <v>26.822077384715158</v>
      </c>
      <c r="J63" s="90" t="s">
        <v>100</v>
      </c>
      <c r="K63" s="90">
        <v>29.942869480875643</v>
      </c>
      <c r="L63" s="104">
        <v>100</v>
      </c>
      <c r="M63" s="7">
        <f t="shared" si="2"/>
        <v>29.733313139934683</v>
      </c>
      <c r="N63" s="88"/>
      <c r="O63" s="88" t="s">
        <v>178</v>
      </c>
      <c r="P63" s="88"/>
      <c r="Q63" s="88" t="s">
        <v>178</v>
      </c>
      <c r="R63" s="88"/>
      <c r="S63" s="88" t="s">
        <v>178</v>
      </c>
      <c r="T63" s="88"/>
      <c r="U63" s="88" t="s">
        <v>178</v>
      </c>
      <c r="V63" s="88"/>
      <c r="W63" s="88" t="s">
        <v>178</v>
      </c>
      <c r="X63" s="88"/>
      <c r="Y63" s="87">
        <v>29.733313139934683</v>
      </c>
    </row>
    <row r="64" spans="1:25" s="87" customFormat="1" ht="12.75">
      <c r="A64" s="87" t="s">
        <v>136</v>
      </c>
      <c r="B64" s="87" t="s">
        <v>81</v>
      </c>
      <c r="C64" s="87" t="s">
        <v>219</v>
      </c>
      <c r="D64" s="87" t="s">
        <v>150</v>
      </c>
      <c r="E64" s="87" t="s">
        <v>15</v>
      </c>
      <c r="F64" s="88" t="s">
        <v>178</v>
      </c>
      <c r="G64" s="90">
        <v>103.12664299288316</v>
      </c>
      <c r="H64" s="90" t="s">
        <v>178</v>
      </c>
      <c r="I64" s="90">
        <v>75.91460690098168</v>
      </c>
      <c r="J64" s="90" t="s">
        <v>178</v>
      </c>
      <c r="K64" s="90">
        <v>89.828608442627</v>
      </c>
      <c r="L64" s="90"/>
      <c r="M64" s="7">
        <f t="shared" si="2"/>
        <v>89.62328611216395</v>
      </c>
      <c r="N64" s="88"/>
      <c r="O64" s="88" t="s">
        <v>178</v>
      </c>
      <c r="P64" s="88"/>
      <c r="Q64" s="88" t="s">
        <v>178</v>
      </c>
      <c r="R64" s="88"/>
      <c r="S64" s="88" t="s">
        <v>178</v>
      </c>
      <c r="T64" s="88"/>
      <c r="U64" s="88" t="s">
        <v>178</v>
      </c>
      <c r="V64" s="88"/>
      <c r="W64" s="88" t="s">
        <v>178</v>
      </c>
      <c r="X64" s="88"/>
      <c r="Y64" s="87">
        <v>89.62328611216395</v>
      </c>
    </row>
    <row r="65" spans="1:25" s="87" customFormat="1" ht="12.75">
      <c r="A65" s="87" t="s">
        <v>136</v>
      </c>
      <c r="B65" s="87" t="s">
        <v>104</v>
      </c>
      <c r="C65" s="87" t="s">
        <v>219</v>
      </c>
      <c r="D65" s="87" t="s">
        <v>150</v>
      </c>
      <c r="E65" s="87" t="s">
        <v>15</v>
      </c>
      <c r="F65" s="88" t="s">
        <v>100</v>
      </c>
      <c r="G65" s="90">
        <v>13.306663611985</v>
      </c>
      <c r="H65" s="90" t="s">
        <v>100</v>
      </c>
      <c r="I65" s="90">
        <v>10.566272909130214</v>
      </c>
      <c r="J65" s="90" t="s">
        <v>100</v>
      </c>
      <c r="K65" s="90">
        <v>12.13900114089553</v>
      </c>
      <c r="L65" s="90"/>
      <c r="M65" s="7">
        <f t="shared" si="2"/>
        <v>12.003979220670248</v>
      </c>
      <c r="N65" s="88"/>
      <c r="O65" s="88" t="s">
        <v>178</v>
      </c>
      <c r="P65" s="88"/>
      <c r="Q65" s="88" t="s">
        <v>178</v>
      </c>
      <c r="R65" s="88"/>
      <c r="S65" s="88" t="s">
        <v>178</v>
      </c>
      <c r="T65" s="88"/>
      <c r="U65" s="88" t="s">
        <v>178</v>
      </c>
      <c r="V65" s="88"/>
      <c r="W65" s="88" t="s">
        <v>178</v>
      </c>
      <c r="X65" s="88"/>
      <c r="Y65" s="87">
        <v>12.003979220670248</v>
      </c>
    </row>
    <row r="66" spans="1:25" s="87" customFormat="1" ht="12.75">
      <c r="A66" s="87" t="s">
        <v>136</v>
      </c>
      <c r="B66" s="87" t="s">
        <v>111</v>
      </c>
      <c r="C66" s="87" t="s">
        <v>219</v>
      </c>
      <c r="D66" s="87" t="s">
        <v>150</v>
      </c>
      <c r="E66" s="87" t="s">
        <v>15</v>
      </c>
      <c r="F66" s="88" t="s">
        <v>100</v>
      </c>
      <c r="G66" s="90">
        <v>45.741656166198176</v>
      </c>
      <c r="H66" s="90" t="s">
        <v>100</v>
      </c>
      <c r="I66" s="90">
        <v>36.575560070066125</v>
      </c>
      <c r="J66" s="90" t="s">
        <v>100</v>
      </c>
      <c r="K66" s="90">
        <v>42.08187062177117</v>
      </c>
      <c r="L66" s="90"/>
      <c r="M66" s="7">
        <f t="shared" si="2"/>
        <v>41.46636228601182</v>
      </c>
      <c r="N66" s="88"/>
      <c r="O66" s="88" t="s">
        <v>178</v>
      </c>
      <c r="P66" s="88"/>
      <c r="Q66" s="88" t="s">
        <v>178</v>
      </c>
      <c r="R66" s="88"/>
      <c r="S66" s="88" t="s">
        <v>178</v>
      </c>
      <c r="T66" s="88"/>
      <c r="U66" s="88" t="s">
        <v>178</v>
      </c>
      <c r="V66" s="88"/>
      <c r="W66" s="88" t="s">
        <v>178</v>
      </c>
      <c r="X66" s="88"/>
      <c r="Y66" s="87">
        <v>41.46636228601182</v>
      </c>
    </row>
    <row r="67" spans="2:13" ht="12.75">
      <c r="B67" s="87" t="s">
        <v>55</v>
      </c>
      <c r="C67" s="87" t="s">
        <v>219</v>
      </c>
      <c r="D67" s="87" t="s">
        <v>150</v>
      </c>
      <c r="E67" s="87" t="s">
        <v>15</v>
      </c>
      <c r="F67" s="88">
        <v>100</v>
      </c>
      <c r="G67" s="90">
        <f>G61+G63</f>
        <v>34.098325505711365</v>
      </c>
      <c r="H67" s="104">
        <v>100</v>
      </c>
      <c r="I67" s="90">
        <f>I61+I63</f>
        <v>28.44765783227366</v>
      </c>
      <c r="J67" s="104">
        <v>100</v>
      </c>
      <c r="K67" s="90">
        <f>K61+K63</f>
        <v>31.56140296632838</v>
      </c>
      <c r="L67">
        <v>100</v>
      </c>
      <c r="M67" s="7">
        <f>AVERAGE(G67,I67,K67)</f>
        <v>31.369128768104463</v>
      </c>
    </row>
    <row r="68" spans="2:13" ht="12.75">
      <c r="B68" s="87" t="s">
        <v>56</v>
      </c>
      <c r="C68" s="87" t="s">
        <v>219</v>
      </c>
      <c r="D68" s="87" t="s">
        <v>150</v>
      </c>
      <c r="E68" s="87" t="s">
        <v>15</v>
      </c>
      <c r="F68" s="88">
        <f>(G60+G58)/G68*100</f>
        <v>64.42687747035579</v>
      </c>
      <c r="G68" s="90">
        <f>G58+G60+G62</f>
        <v>42.08232367290229</v>
      </c>
      <c r="H68" s="88">
        <f>(I60+I58)/I68*100</f>
        <v>71.05263157894737</v>
      </c>
      <c r="I68" s="90">
        <f>I58+I60+I62</f>
        <v>30.8860285036114</v>
      </c>
      <c r="J68" s="88">
        <f>(K60+K58)/K68*100</f>
        <v>70.4545454545454</v>
      </c>
      <c r="K68" s="90">
        <f>K58+K60+K62</f>
        <v>35.60773667996016</v>
      </c>
      <c r="L68" s="88">
        <f>(M60+M58)/M68*100</f>
        <v>68.2884537073242</v>
      </c>
      <c r="M68" s="7">
        <f>AVERAGE(G68,I68,K68)</f>
        <v>36.19202961882462</v>
      </c>
    </row>
    <row r="69" spans="2:11" ht="12.75">
      <c r="B69" s="87"/>
      <c r="C69" s="87"/>
      <c r="D69" s="87"/>
      <c r="E69" s="87"/>
      <c r="F69" s="88"/>
      <c r="G69" s="90"/>
      <c r="H69" s="90"/>
      <c r="I69" s="90"/>
      <c r="J69" s="90"/>
      <c r="K69" s="90"/>
    </row>
    <row r="70" spans="2:11" ht="12.75">
      <c r="B70" s="87"/>
      <c r="C70" s="87"/>
      <c r="D70" s="87"/>
      <c r="E70" s="87"/>
      <c r="F70" s="88"/>
      <c r="G70" s="90"/>
      <c r="H70" s="90"/>
      <c r="I70" s="90"/>
      <c r="J70" s="90"/>
      <c r="K70" s="90"/>
    </row>
    <row r="71" spans="2:11" ht="12.75">
      <c r="B71" s="11" t="s">
        <v>214</v>
      </c>
      <c r="C71" s="11" t="s">
        <v>215</v>
      </c>
      <c r="D71" s="11"/>
      <c r="E71" s="11"/>
      <c r="F71" s="11"/>
      <c r="G71" s="20"/>
      <c r="H71" s="20"/>
      <c r="I71" s="21"/>
      <c r="J71" s="20"/>
      <c r="K71" s="20"/>
    </row>
    <row r="72" spans="2:11" ht="12.75">
      <c r="B72" s="11" t="s">
        <v>119</v>
      </c>
      <c r="C72" s="11"/>
      <c r="D72" s="11" t="s">
        <v>53</v>
      </c>
      <c r="E72" s="11"/>
      <c r="F72" s="11"/>
      <c r="G72" s="26">
        <v>97</v>
      </c>
      <c r="H72" s="26"/>
      <c r="I72" s="27">
        <v>122.1</v>
      </c>
      <c r="J72" s="26"/>
      <c r="K72" s="26">
        <v>263.2</v>
      </c>
    </row>
    <row r="73" spans="2:11" ht="12.75">
      <c r="B73" s="11" t="s">
        <v>120</v>
      </c>
      <c r="C73" s="87" t="s">
        <v>219</v>
      </c>
      <c r="D73" s="11" t="s">
        <v>53</v>
      </c>
      <c r="E73" s="11"/>
      <c r="F73" s="11"/>
      <c r="G73" s="97">
        <v>0.0016</v>
      </c>
      <c r="H73" s="97" t="s">
        <v>100</v>
      </c>
      <c r="I73" s="97">
        <v>0.0029</v>
      </c>
      <c r="J73" s="97" t="s">
        <v>100</v>
      </c>
      <c r="K73" s="97">
        <v>0.0031</v>
      </c>
    </row>
    <row r="74" spans="2:11" ht="12.75">
      <c r="B74" s="11" t="s">
        <v>52</v>
      </c>
      <c r="C74" s="87" t="s">
        <v>219</v>
      </c>
      <c r="D74" s="11" t="s">
        <v>18</v>
      </c>
      <c r="E74" s="11"/>
      <c r="F74" s="11"/>
      <c r="G74" s="98">
        <f>(G72-G73)/G72*100</f>
        <v>99.99835051546391</v>
      </c>
      <c r="H74" s="26"/>
      <c r="I74" s="98">
        <f>(I72-I73)/I72*100</f>
        <v>99.9976248976249</v>
      </c>
      <c r="J74" s="26"/>
      <c r="K74" s="98">
        <f>(K72-K73)/K72*100</f>
        <v>99.99882218844985</v>
      </c>
    </row>
    <row r="75" spans="2:11" ht="12.75">
      <c r="B75" s="87"/>
      <c r="C75" s="87"/>
      <c r="D75" s="87"/>
      <c r="E75" s="87"/>
      <c r="F75" s="88"/>
      <c r="G75" s="90"/>
      <c r="H75" s="90"/>
      <c r="I75" s="90"/>
      <c r="J75" s="90"/>
      <c r="K75" s="90"/>
    </row>
    <row r="76" spans="2:11" ht="12.75">
      <c r="B76" s="11" t="s">
        <v>214</v>
      </c>
      <c r="C76" s="11" t="s">
        <v>216</v>
      </c>
      <c r="D76" s="11"/>
      <c r="E76" s="11"/>
      <c r="F76" s="11"/>
      <c r="G76" s="20"/>
      <c r="H76" s="20"/>
      <c r="I76" s="21"/>
      <c r="J76" s="20"/>
      <c r="K76" s="20"/>
    </row>
    <row r="77" spans="2:11" ht="12.75">
      <c r="B77" s="11" t="s">
        <v>119</v>
      </c>
      <c r="C77" s="11"/>
      <c r="D77" s="11" t="s">
        <v>53</v>
      </c>
      <c r="E77" s="11"/>
      <c r="F77" s="11"/>
      <c r="G77" s="26">
        <v>13.5</v>
      </c>
      <c r="H77" s="26"/>
      <c r="I77" s="27">
        <v>118.9</v>
      </c>
      <c r="J77" s="26"/>
      <c r="K77" s="26">
        <v>128.8</v>
      </c>
    </row>
    <row r="78" spans="2:11" ht="12.75">
      <c r="B78" s="11" t="s">
        <v>120</v>
      </c>
      <c r="C78" s="87" t="s">
        <v>219</v>
      </c>
      <c r="D78" s="11" t="s">
        <v>53</v>
      </c>
      <c r="E78" s="11"/>
      <c r="F78" s="11" t="s">
        <v>100</v>
      </c>
      <c r="G78" s="97">
        <v>0.0031</v>
      </c>
      <c r="H78" s="97" t="s">
        <v>100</v>
      </c>
      <c r="I78" s="97">
        <v>0.0029</v>
      </c>
      <c r="J78" s="97" t="s">
        <v>100</v>
      </c>
      <c r="K78" s="97">
        <v>0.0031</v>
      </c>
    </row>
    <row r="79" spans="2:11" ht="12.75">
      <c r="B79" s="11" t="s">
        <v>52</v>
      </c>
      <c r="C79" s="87" t="s">
        <v>219</v>
      </c>
      <c r="D79" s="11" t="s">
        <v>18</v>
      </c>
      <c r="E79" s="11"/>
      <c r="F79" s="11"/>
      <c r="G79" s="98">
        <f>(G77-G78)/G77*100</f>
        <v>99.97703703703704</v>
      </c>
      <c r="H79" s="26"/>
      <c r="I79" s="98">
        <f>(I77-I78)/I77*100</f>
        <v>99.99756097560976</v>
      </c>
      <c r="J79" s="26"/>
      <c r="K79" s="98">
        <f>(K77-K78)/K77*100</f>
        <v>99.99759316770187</v>
      </c>
    </row>
    <row r="80" spans="2:11" ht="12.75">
      <c r="B80" s="87"/>
      <c r="C80" s="87"/>
      <c r="D80" s="87"/>
      <c r="E80" s="87"/>
      <c r="F80" s="88"/>
      <c r="G80" s="90"/>
      <c r="H80" s="90"/>
      <c r="I80" s="90"/>
      <c r="J80" s="90"/>
      <c r="K80" s="90"/>
    </row>
    <row r="81" spans="2:11" ht="12.75">
      <c r="B81" s="11" t="s">
        <v>214</v>
      </c>
      <c r="C81" s="11" t="s">
        <v>258</v>
      </c>
      <c r="D81" s="11"/>
      <c r="E81" s="11"/>
      <c r="F81" s="11"/>
      <c r="G81" s="20"/>
      <c r="H81" s="20"/>
      <c r="I81" s="21"/>
      <c r="J81" s="20"/>
      <c r="K81" s="20"/>
    </row>
    <row r="82" spans="2:11" ht="12.75">
      <c r="B82" s="11" t="s">
        <v>119</v>
      </c>
      <c r="C82" s="11"/>
      <c r="D82" s="11" t="s">
        <v>53</v>
      </c>
      <c r="E82" s="11"/>
      <c r="F82" s="11"/>
      <c r="G82" s="26">
        <v>89.6</v>
      </c>
      <c r="H82" s="26"/>
      <c r="I82" s="27">
        <v>82.9</v>
      </c>
      <c r="J82" s="26"/>
      <c r="K82" s="26">
        <v>79.7</v>
      </c>
    </row>
    <row r="83" spans="2:11" ht="12.75">
      <c r="B83" s="11" t="s">
        <v>120</v>
      </c>
      <c r="C83" s="87" t="s">
        <v>219</v>
      </c>
      <c r="D83" s="11" t="s">
        <v>53</v>
      </c>
      <c r="E83" s="11"/>
      <c r="F83" s="11" t="s">
        <v>100</v>
      </c>
      <c r="G83" s="97">
        <v>0.0031</v>
      </c>
      <c r="H83" s="97" t="s">
        <v>100</v>
      </c>
      <c r="I83" s="97">
        <v>0.0029</v>
      </c>
      <c r="J83" s="97" t="s">
        <v>100</v>
      </c>
      <c r="K83" s="97">
        <v>0.0031</v>
      </c>
    </row>
    <row r="84" spans="2:11" ht="12.75">
      <c r="B84" s="11" t="s">
        <v>52</v>
      </c>
      <c r="C84" s="87" t="s">
        <v>219</v>
      </c>
      <c r="D84" s="11" t="s">
        <v>18</v>
      </c>
      <c r="E84" s="11"/>
      <c r="F84" s="11"/>
      <c r="G84" s="98">
        <f>(G82-G83)/G82*100</f>
        <v>99.99654017857142</v>
      </c>
      <c r="H84" s="26"/>
      <c r="I84" s="98">
        <f>(I82-I83)/I82*100</f>
        <v>99.99650180940893</v>
      </c>
      <c r="J84" s="26"/>
      <c r="K84" s="98">
        <f>(K82-K83)/K82*100</f>
        <v>99.9961104140527</v>
      </c>
    </row>
    <row r="85" spans="2:11" ht="12.75">
      <c r="B85" s="87"/>
      <c r="C85" s="87"/>
      <c r="D85" s="87"/>
      <c r="E85" s="87"/>
      <c r="F85" s="88"/>
      <c r="G85" s="90"/>
      <c r="H85" s="90"/>
      <c r="I85" s="90"/>
      <c r="J85" s="90"/>
      <c r="K85" s="90"/>
    </row>
    <row r="86" spans="2:11" ht="12.75">
      <c r="B86" s="87"/>
      <c r="C86" s="87"/>
      <c r="D86" s="87"/>
      <c r="E86" s="87"/>
      <c r="F86" s="88"/>
      <c r="G86" s="90"/>
      <c r="H86" s="90"/>
      <c r="I86" s="90"/>
      <c r="J86" s="90"/>
      <c r="K86" s="90"/>
    </row>
    <row r="87" spans="2:11" ht="12.75">
      <c r="B87" s="91" t="s">
        <v>86</v>
      </c>
      <c r="C87" s="87" t="s">
        <v>99</v>
      </c>
      <c r="D87" s="87" t="s">
        <v>219</v>
      </c>
      <c r="E87" s="87"/>
      <c r="F87" s="88"/>
      <c r="G87" s="90"/>
      <c r="H87" s="90"/>
      <c r="I87" s="90"/>
      <c r="J87" s="90"/>
      <c r="K87" s="90"/>
    </row>
    <row r="88" spans="2:64" s="87" customFormat="1" ht="12.75">
      <c r="B88" s="11" t="s">
        <v>78</v>
      </c>
      <c r="C88" s="11"/>
      <c r="D88" s="11" t="s">
        <v>17</v>
      </c>
      <c r="G88" s="90">
        <v>43802</v>
      </c>
      <c r="H88" s="90"/>
      <c r="I88" s="90">
        <v>42149</v>
      </c>
      <c r="J88" s="90"/>
      <c r="K88" s="90">
        <v>44494</v>
      </c>
      <c r="L88" s="90"/>
      <c r="M88" s="90">
        <f>AVERAGE(K88,I88,G88)</f>
        <v>43481.666666666664</v>
      </c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</row>
    <row r="89" spans="2:64" s="87" customFormat="1" ht="12.75">
      <c r="B89" s="11" t="s">
        <v>83</v>
      </c>
      <c r="C89" s="11"/>
      <c r="D89" s="11" t="s">
        <v>18</v>
      </c>
      <c r="G89" s="90">
        <v>10.74</v>
      </c>
      <c r="H89" s="90"/>
      <c r="I89" s="90">
        <v>10.09</v>
      </c>
      <c r="J89" s="90"/>
      <c r="K89" s="90">
        <v>10.62</v>
      </c>
      <c r="L89" s="90"/>
      <c r="M89" s="90">
        <f>AVERAGE(K89,I89,G89)</f>
        <v>10.483333333333334</v>
      </c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</row>
    <row r="90" spans="1:64" s="87" customFormat="1" ht="12.75">
      <c r="A90" s="87" t="s">
        <v>136</v>
      </c>
      <c r="B90" s="11" t="s">
        <v>84</v>
      </c>
      <c r="C90" s="11"/>
      <c r="D90" s="11" t="s">
        <v>18</v>
      </c>
      <c r="G90" s="90">
        <v>23.8</v>
      </c>
      <c r="H90" s="90"/>
      <c r="I90" s="90">
        <v>24.7</v>
      </c>
      <c r="J90" s="90"/>
      <c r="K90" s="90">
        <v>22.6</v>
      </c>
      <c r="L90" s="90"/>
      <c r="M90" s="90">
        <f>AVERAGE(K90,I90,G90)</f>
        <v>23.7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</row>
    <row r="91" spans="2:64" s="87" customFormat="1" ht="12.75">
      <c r="B91" s="11" t="s">
        <v>77</v>
      </c>
      <c r="C91" s="11"/>
      <c r="D91" s="11" t="s">
        <v>19</v>
      </c>
      <c r="G91" s="90">
        <v>155.8</v>
      </c>
      <c r="H91" s="90"/>
      <c r="I91" s="90">
        <v>170</v>
      </c>
      <c r="J91" s="90"/>
      <c r="K91" s="90">
        <v>171.9</v>
      </c>
      <c r="L91" s="90"/>
      <c r="M91" s="90">
        <f>AVERAGE(K91,I91,G91)</f>
        <v>165.9</v>
      </c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B1">
      <selection activeCell="E1" sqref="E1"/>
    </sheetView>
  </sheetViews>
  <sheetFormatPr defaultColWidth="9.140625" defaultRowHeight="12.75"/>
  <cols>
    <col min="1" max="1" width="2.28125" style="3" hidden="1" customWidth="1"/>
    <col min="2" max="2" width="22.57421875" style="2" customWidth="1"/>
    <col min="3" max="3" width="7.57421875" style="2" customWidth="1"/>
    <col min="4" max="4" width="9.28125" style="2" customWidth="1"/>
    <col min="5" max="5" width="6.421875" style="2" customWidth="1"/>
    <col min="6" max="6" width="2.8515625" style="3" customWidth="1"/>
    <col min="7" max="7" width="16.28125" style="4" customWidth="1"/>
    <col min="8" max="8" width="3.140625" style="4" customWidth="1"/>
    <col min="9" max="9" width="17.00390625" style="3" customWidth="1"/>
    <col min="10" max="10" width="3.140625" style="3" customWidth="1"/>
    <col min="11" max="11" width="17.00390625" style="3" customWidth="1"/>
    <col min="12" max="12" width="2.00390625" style="3" customWidth="1"/>
    <col min="13" max="13" width="16.28125" style="3" customWidth="1"/>
    <col min="14" max="14" width="7.140625" style="3" customWidth="1"/>
    <col min="15" max="15" width="6.7109375" style="3" customWidth="1"/>
    <col min="16" max="16" width="6.8515625" style="3" customWidth="1"/>
    <col min="17" max="17" width="9.00390625" style="3" customWidth="1"/>
    <col min="18" max="18" width="9.28125" style="3" customWidth="1"/>
    <col min="19" max="19" width="1.57421875" style="3" customWidth="1"/>
    <col min="20" max="20" width="14.28125" style="3" customWidth="1"/>
    <col min="21" max="21" width="16.140625" style="3" customWidth="1"/>
    <col min="22" max="16384" width="8.8515625" style="3" customWidth="1"/>
  </cols>
  <sheetData>
    <row r="1" spans="2:20" ht="12.75">
      <c r="B1" s="29" t="s">
        <v>201</v>
      </c>
      <c r="C1" s="29"/>
      <c r="D1" s="12"/>
      <c r="E1" s="12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20" ht="12.75">
      <c r="B2" s="12"/>
      <c r="C2" s="12"/>
      <c r="D2" s="12"/>
      <c r="E2" s="12"/>
      <c r="F2" s="30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ht="12.75">
      <c r="B3" s="12"/>
      <c r="C3" s="12"/>
      <c r="D3" s="12"/>
      <c r="E3" s="12"/>
      <c r="F3" s="30"/>
      <c r="G3" s="31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2.75">
      <c r="A4" s="3" t="s">
        <v>87</v>
      </c>
      <c r="B4" s="29" t="str">
        <f>'emiss 1'!B6</f>
        <v>338C10</v>
      </c>
      <c r="C4" s="29" t="str">
        <f>cond!C10</f>
        <v>Trial - risk burn (DRE)</v>
      </c>
      <c r="D4" s="12"/>
      <c r="E4" s="12"/>
      <c r="F4" s="30"/>
      <c r="G4" s="32" t="s">
        <v>175</v>
      </c>
      <c r="H4" s="32"/>
      <c r="I4" s="32" t="s">
        <v>176</v>
      </c>
      <c r="J4" s="32"/>
      <c r="K4" s="32" t="s">
        <v>177</v>
      </c>
      <c r="L4" s="32"/>
      <c r="M4" s="32" t="s">
        <v>47</v>
      </c>
      <c r="N4" s="30"/>
      <c r="O4" s="30"/>
      <c r="P4" s="30"/>
      <c r="Q4" s="30"/>
      <c r="R4" s="30"/>
      <c r="S4" s="30"/>
      <c r="T4" s="30"/>
    </row>
    <row r="5" spans="2:20" ht="12.75">
      <c r="B5" s="12"/>
      <c r="C5" s="12"/>
      <c r="D5" s="12"/>
      <c r="E5" s="12"/>
      <c r="F5" s="30"/>
      <c r="N5" s="30"/>
      <c r="O5" s="30"/>
      <c r="P5" s="30"/>
      <c r="Q5" s="53"/>
      <c r="R5" s="30"/>
      <c r="S5" s="30"/>
      <c r="T5" s="30"/>
    </row>
    <row r="6" spans="2:20" ht="12.75">
      <c r="B6" s="12" t="s">
        <v>239</v>
      </c>
      <c r="C6" s="12"/>
      <c r="D6" s="12"/>
      <c r="E6" s="12"/>
      <c r="F6" s="30"/>
      <c r="G6" s="4" t="s">
        <v>241</v>
      </c>
      <c r="I6" s="4" t="s">
        <v>241</v>
      </c>
      <c r="K6" s="4" t="s">
        <v>241</v>
      </c>
      <c r="L6" s="4"/>
      <c r="M6" s="4" t="s">
        <v>241</v>
      </c>
      <c r="N6" s="30"/>
      <c r="O6" s="30"/>
      <c r="P6" s="30"/>
      <c r="Q6" s="53"/>
      <c r="R6" s="30"/>
      <c r="S6" s="30"/>
      <c r="T6" s="30"/>
    </row>
    <row r="7" spans="2:20" ht="12.75">
      <c r="B7" s="12" t="s">
        <v>240</v>
      </c>
      <c r="C7" s="12"/>
      <c r="D7" s="12"/>
      <c r="E7" s="12"/>
      <c r="F7" s="30"/>
      <c r="G7" s="4" t="s">
        <v>25</v>
      </c>
      <c r="I7" s="4" t="s">
        <v>25</v>
      </c>
      <c r="K7" s="4" t="s">
        <v>25</v>
      </c>
      <c r="L7" s="4"/>
      <c r="M7" s="4" t="s">
        <v>25</v>
      </c>
      <c r="N7" s="30"/>
      <c r="O7" s="30"/>
      <c r="P7" s="30"/>
      <c r="Q7" s="53"/>
      <c r="R7" s="30"/>
      <c r="S7" s="30"/>
      <c r="T7" s="30"/>
    </row>
    <row r="8" spans="2:20" ht="12.75">
      <c r="B8" s="12" t="s">
        <v>254</v>
      </c>
      <c r="C8" s="12"/>
      <c r="D8" s="12"/>
      <c r="E8" s="12"/>
      <c r="F8" s="30"/>
      <c r="G8" s="4" t="s">
        <v>25</v>
      </c>
      <c r="I8" s="4" t="s">
        <v>25</v>
      </c>
      <c r="K8" s="4" t="s">
        <v>25</v>
      </c>
      <c r="L8" s="4"/>
      <c r="M8" s="4" t="s">
        <v>25</v>
      </c>
      <c r="N8" s="30"/>
      <c r="O8" s="30"/>
      <c r="P8" s="30"/>
      <c r="Q8" s="53"/>
      <c r="R8" s="30"/>
      <c r="S8" s="30"/>
      <c r="T8" s="30"/>
    </row>
    <row r="9" spans="2:18" s="53" customFormat="1" ht="12.75">
      <c r="B9" s="53" t="s">
        <v>48</v>
      </c>
      <c r="F9" s="51"/>
      <c r="G9" s="62" t="s">
        <v>153</v>
      </c>
      <c r="H9" s="62"/>
      <c r="I9" s="62" t="s">
        <v>153</v>
      </c>
      <c r="J9" s="62"/>
      <c r="K9" s="62" t="s">
        <v>153</v>
      </c>
      <c r="L9" s="62"/>
      <c r="M9" s="62" t="s">
        <v>153</v>
      </c>
      <c r="R9" s="57"/>
    </row>
    <row r="10" spans="2:20" ht="12.75">
      <c r="B10" s="12" t="s">
        <v>88</v>
      </c>
      <c r="C10" s="53"/>
      <c r="D10" s="12" t="s">
        <v>53</v>
      </c>
      <c r="E10" s="12"/>
      <c r="F10"/>
      <c r="G10">
        <v>52283</v>
      </c>
      <c r="H10"/>
      <c r="I10">
        <v>51443</v>
      </c>
      <c r="J10"/>
      <c r="K10">
        <v>52974</v>
      </c>
      <c r="L10"/>
      <c r="M10" s="67">
        <f>AVERAGE(G10,I10,K10)</f>
        <v>52233.333333333336</v>
      </c>
      <c r="N10" s="43"/>
      <c r="O10" s="43"/>
      <c r="P10" s="43"/>
      <c r="Q10" s="66"/>
      <c r="R10" s="30"/>
      <c r="S10" s="30"/>
      <c r="T10" s="30"/>
    </row>
    <row r="11" spans="2:20" ht="12.75">
      <c r="B11" s="12" t="s">
        <v>49</v>
      </c>
      <c r="C11" s="53"/>
      <c r="D11" s="12" t="s">
        <v>53</v>
      </c>
      <c r="E11" s="12"/>
      <c r="F11"/>
      <c r="G11">
        <v>9497</v>
      </c>
      <c r="H11"/>
      <c r="I11">
        <v>8980</v>
      </c>
      <c r="J11"/>
      <c r="K11">
        <v>11221</v>
      </c>
      <c r="L11"/>
      <c r="M11" s="67">
        <f aca="true" t="shared" si="0" ref="M11:M19">AVERAGE(G11,I11,K11)</f>
        <v>9899.333333333334</v>
      </c>
      <c r="N11" s="43"/>
      <c r="O11" s="43"/>
      <c r="P11" s="43"/>
      <c r="Q11" s="66"/>
      <c r="R11" s="30"/>
      <c r="S11" s="30"/>
      <c r="T11" s="30"/>
    </row>
    <row r="12" spans="2:20" ht="12.75">
      <c r="B12" s="12" t="s">
        <v>128</v>
      </c>
      <c r="C12" s="12"/>
      <c r="D12" s="12" t="s">
        <v>53</v>
      </c>
      <c r="E12" s="12"/>
      <c r="F12"/>
      <c r="G12">
        <v>1204</v>
      </c>
      <c r="H12"/>
      <c r="I12">
        <v>1384</v>
      </c>
      <c r="J12"/>
      <c r="K12">
        <v>1283</v>
      </c>
      <c r="L12"/>
      <c r="M12" s="67">
        <f t="shared" si="0"/>
        <v>1290.3333333333333</v>
      </c>
      <c r="N12" s="67"/>
      <c r="O12" s="43"/>
      <c r="P12" s="43"/>
      <c r="Q12" s="66"/>
      <c r="R12" s="30"/>
      <c r="S12" s="30"/>
      <c r="T12" s="30"/>
    </row>
    <row r="13" spans="2:20" ht="12.75">
      <c r="B13" s="12"/>
      <c r="C13" s="12"/>
      <c r="D13" s="12"/>
      <c r="E13" s="12"/>
      <c r="F13"/>
      <c r="G13"/>
      <c r="H13"/>
      <c r="I13"/>
      <c r="J13"/>
      <c r="K13"/>
      <c r="L13"/>
      <c r="M13" s="67"/>
      <c r="N13" s="67"/>
      <c r="O13" s="43"/>
      <c r="P13" s="43"/>
      <c r="Q13" s="66"/>
      <c r="R13" s="30"/>
      <c r="S13" s="30"/>
      <c r="T13" s="30"/>
    </row>
    <row r="14" spans="2:20" ht="12.75">
      <c r="B14" s="12" t="s">
        <v>121</v>
      </c>
      <c r="D14" s="12" t="s">
        <v>17</v>
      </c>
      <c r="E14" s="12"/>
      <c r="F14" s="30"/>
      <c r="G14" s="20">
        <v>39094</v>
      </c>
      <c r="H14" s="20"/>
      <c r="I14" s="20">
        <v>40231</v>
      </c>
      <c r="J14" s="20"/>
      <c r="K14" s="20">
        <v>38711</v>
      </c>
      <c r="L14" s="20"/>
      <c r="M14" s="67">
        <f t="shared" si="0"/>
        <v>39345.333333333336</v>
      </c>
      <c r="N14" s="67"/>
      <c r="O14" s="43"/>
      <c r="P14" s="43"/>
      <c r="Q14" s="66"/>
      <c r="R14" s="30"/>
      <c r="S14" s="30"/>
      <c r="T14" s="30"/>
    </row>
    <row r="15" spans="2:20" ht="12.75">
      <c r="B15" s="12" t="s">
        <v>122</v>
      </c>
      <c r="D15" s="12" t="s">
        <v>18</v>
      </c>
      <c r="E15" s="12"/>
      <c r="F15" s="30"/>
      <c r="G15">
        <v>10.1</v>
      </c>
      <c r="H15"/>
      <c r="I15">
        <v>10.4</v>
      </c>
      <c r="J15"/>
      <c r="K15">
        <v>10.6</v>
      </c>
      <c r="L15"/>
      <c r="M15" s="7">
        <f t="shared" si="0"/>
        <v>10.366666666666667</v>
      </c>
      <c r="N15" s="7"/>
      <c r="O15" s="43"/>
      <c r="P15" s="43"/>
      <c r="Q15" s="66"/>
      <c r="R15" s="30"/>
      <c r="S15" s="30"/>
      <c r="T15" s="30"/>
    </row>
    <row r="16" spans="2:20" ht="12.75">
      <c r="B16" s="3"/>
      <c r="C16" s="12"/>
      <c r="D16" s="12"/>
      <c r="E16" s="12"/>
      <c r="F16" s="30"/>
      <c r="G16" s="64"/>
      <c r="H16" s="64"/>
      <c r="I16" s="65"/>
      <c r="J16" s="65"/>
      <c r="K16"/>
      <c r="L16"/>
      <c r="M16" s="67"/>
      <c r="N16" s="43"/>
      <c r="O16" s="43"/>
      <c r="P16" s="43"/>
      <c r="Q16" s="66"/>
      <c r="R16" s="30"/>
      <c r="S16" s="30"/>
      <c r="T16" s="30"/>
    </row>
    <row r="17" spans="2:20" ht="12.75">
      <c r="B17" s="48" t="s">
        <v>123</v>
      </c>
      <c r="C17" s="12"/>
      <c r="D17" s="12"/>
      <c r="E17" s="12"/>
      <c r="F17" s="30"/>
      <c r="G17" s="64"/>
      <c r="H17" s="64"/>
      <c r="I17" s="65"/>
      <c r="J17" s="65"/>
      <c r="K17" s="65"/>
      <c r="L17" s="65"/>
      <c r="M17" s="67"/>
      <c r="N17" s="65"/>
      <c r="O17" s="65"/>
      <c r="P17" s="65"/>
      <c r="Q17" s="66"/>
      <c r="R17" s="30"/>
      <c r="S17" s="30"/>
      <c r="T17" s="30"/>
    </row>
    <row r="18" spans="2:20" ht="12.75">
      <c r="B18" s="12" t="s">
        <v>49</v>
      </c>
      <c r="C18" s="12"/>
      <c r="D18" s="12" t="s">
        <v>60</v>
      </c>
      <c r="E18" s="12" t="s">
        <v>15</v>
      </c>
      <c r="F18" s="20"/>
      <c r="G18" s="67">
        <f>(G11/60)*1000*454/(G$14*0.0283)*(21-7)/(21-G$15)</f>
        <v>83424.96518048961</v>
      </c>
      <c r="H18" s="67"/>
      <c r="I18" s="67">
        <f>(I11/60)*1000*454/(I$14*0.0283)*(21-7)/(21-I$15)</f>
        <v>78823.5238428979</v>
      </c>
      <c r="J18" s="67"/>
      <c r="K18" s="67">
        <f>(K11/60)*1000*454/(K$14*0.0283)*(21-7)/(21-K$15)</f>
        <v>104330.19890001697</v>
      </c>
      <c r="L18" s="67"/>
      <c r="M18" s="67">
        <f t="shared" si="0"/>
        <v>88859.56264113483</v>
      </c>
      <c r="N18" s="65"/>
      <c r="O18" s="65"/>
      <c r="P18" s="65"/>
      <c r="Q18" s="66"/>
      <c r="R18" s="30"/>
      <c r="S18" s="30"/>
      <c r="T18" s="30"/>
    </row>
    <row r="19" spans="2:20" ht="12.75">
      <c r="B19" s="12" t="s">
        <v>128</v>
      </c>
      <c r="C19" s="12"/>
      <c r="D19" s="12" t="s">
        <v>150</v>
      </c>
      <c r="E19" s="12" t="s">
        <v>15</v>
      </c>
      <c r="F19" s="20"/>
      <c r="G19" s="67">
        <f>(G12/60)*1000000*454/(G$14*0.0283)*(21-7)/(21-G$15)</f>
        <v>10576356.541782616</v>
      </c>
      <c r="H19" s="67"/>
      <c r="I19" s="67">
        <f>(I12/60)*1000000*454/(I$14*0.0283)*(21-7)/(21-I$15)</f>
        <v>12148302.561088055</v>
      </c>
      <c r="J19" s="67"/>
      <c r="K19" s="67">
        <f>(K12/60)*1000000*454/(K$14*0.0283)*(21-7)/(21-K$15)</f>
        <v>11929029.960673891</v>
      </c>
      <c r="L19" s="67"/>
      <c r="M19" s="67">
        <f t="shared" si="0"/>
        <v>11551229.687848188</v>
      </c>
      <c r="N19" s="65"/>
      <c r="O19" s="65"/>
      <c r="P19" s="65"/>
      <c r="Q19" s="66"/>
      <c r="R19" s="30"/>
      <c r="S19" s="30"/>
      <c r="T19" s="30"/>
    </row>
    <row r="20" spans="2:20" ht="12.75">
      <c r="B20" s="12"/>
      <c r="C20" s="3"/>
      <c r="D20" s="12"/>
      <c r="E20" s="12"/>
      <c r="F20" s="30"/>
      <c r="G20" s="64"/>
      <c r="H20" s="64"/>
      <c r="I20" s="21"/>
      <c r="J20" s="65"/>
      <c r="K20" s="21"/>
      <c r="L20" s="21"/>
      <c r="M20" s="66"/>
      <c r="N20" s="65"/>
      <c r="O20" s="65"/>
      <c r="P20" s="65"/>
      <c r="Q20" s="66"/>
      <c r="R20" s="30"/>
      <c r="S20" s="30"/>
      <c r="T20" s="30"/>
    </row>
    <row r="21" spans="2:20" ht="12.75">
      <c r="B21" s="12"/>
      <c r="C21" s="3"/>
      <c r="D21" s="12"/>
      <c r="E21" s="12"/>
      <c r="F21" s="30"/>
      <c r="G21" s="64"/>
      <c r="H21" s="64"/>
      <c r="I21" s="21"/>
      <c r="J21" s="65"/>
      <c r="K21" s="21"/>
      <c r="L21" s="21"/>
      <c r="M21" s="66"/>
      <c r="N21" s="65"/>
      <c r="O21" s="65"/>
      <c r="P21" s="65"/>
      <c r="Q21" s="66"/>
      <c r="R21" s="30"/>
      <c r="S21" s="30"/>
      <c r="T21" s="30"/>
    </row>
    <row r="22" spans="2:20" ht="12.75">
      <c r="B22" s="29" t="str">
        <f>cond!C13</f>
        <v>338C11</v>
      </c>
      <c r="C22" s="85" t="str">
        <f>cond!C20</f>
        <v>Trial - risk burn (Metals)</v>
      </c>
      <c r="D22" s="29"/>
      <c r="E22" s="12"/>
      <c r="F22" s="20"/>
      <c r="G22" s="32" t="s">
        <v>175</v>
      </c>
      <c r="H22" s="32"/>
      <c r="I22" s="32" t="s">
        <v>176</v>
      </c>
      <c r="J22" s="32"/>
      <c r="K22" s="32" t="s">
        <v>177</v>
      </c>
      <c r="L22" s="32"/>
      <c r="M22" s="32" t="s">
        <v>47</v>
      </c>
      <c r="N22" s="65"/>
      <c r="O22" s="65"/>
      <c r="P22" s="65"/>
      <c r="Q22" s="66"/>
      <c r="R22" s="30"/>
      <c r="S22" s="30"/>
      <c r="T22" s="30"/>
    </row>
    <row r="23" spans="2:20" ht="12.75">
      <c r="B23" s="12" t="s">
        <v>239</v>
      </c>
      <c r="C23" s="12"/>
      <c r="D23" s="12"/>
      <c r="E23" s="12"/>
      <c r="F23" s="30"/>
      <c r="G23" s="4" t="s">
        <v>241</v>
      </c>
      <c r="I23" s="4" t="s">
        <v>241</v>
      </c>
      <c r="K23" s="4" t="s">
        <v>241</v>
      </c>
      <c r="L23" s="4"/>
      <c r="M23" s="4" t="s">
        <v>241</v>
      </c>
      <c r="N23" s="65"/>
      <c r="O23" s="65"/>
      <c r="P23" s="65"/>
      <c r="Q23" s="66"/>
      <c r="R23" s="30"/>
      <c r="S23" s="30"/>
      <c r="T23" s="30"/>
    </row>
    <row r="24" spans="2:20" ht="12.75">
      <c r="B24" s="12" t="s">
        <v>240</v>
      </c>
      <c r="C24" s="12"/>
      <c r="D24" s="12"/>
      <c r="E24" s="12"/>
      <c r="F24" s="30"/>
      <c r="G24" s="4" t="s">
        <v>25</v>
      </c>
      <c r="I24" s="4" t="s">
        <v>25</v>
      </c>
      <c r="K24" s="4" t="s">
        <v>25</v>
      </c>
      <c r="L24" s="4"/>
      <c r="M24" s="4" t="s">
        <v>25</v>
      </c>
      <c r="N24" s="65"/>
      <c r="O24" s="65"/>
      <c r="P24" s="65"/>
      <c r="Q24" s="66"/>
      <c r="R24" s="30"/>
      <c r="S24" s="30"/>
      <c r="T24" s="30"/>
    </row>
    <row r="25" spans="1:20" ht="12.75">
      <c r="A25" s="53"/>
      <c r="B25" s="53" t="s">
        <v>48</v>
      </c>
      <c r="C25" s="53"/>
      <c r="D25" s="53"/>
      <c r="E25" s="53"/>
      <c r="F25" s="51"/>
      <c r="G25" s="62" t="s">
        <v>153</v>
      </c>
      <c r="H25" s="62"/>
      <c r="I25" s="62" t="s">
        <v>153</v>
      </c>
      <c r="J25" s="62"/>
      <c r="K25" s="62" t="s">
        <v>153</v>
      </c>
      <c r="L25" s="62"/>
      <c r="M25" s="62" t="s">
        <v>153</v>
      </c>
      <c r="N25" s="65"/>
      <c r="O25" s="65"/>
      <c r="P25" s="65"/>
      <c r="Q25" s="66"/>
      <c r="R25" s="30"/>
      <c r="S25" s="30"/>
      <c r="T25" s="30"/>
    </row>
    <row r="26" spans="1:20" ht="12.75">
      <c r="A26" s="53"/>
      <c r="B26" s="12" t="s">
        <v>88</v>
      </c>
      <c r="C26" s="53"/>
      <c r="D26" s="12" t="s">
        <v>53</v>
      </c>
      <c r="E26" s="53"/>
      <c r="F26" s="51"/>
      <c r="G26" s="105">
        <v>32391</v>
      </c>
      <c r="H26" s="105"/>
      <c r="I26" s="105">
        <v>31953</v>
      </c>
      <c r="J26" s="105"/>
      <c r="K26" s="105">
        <v>32254</v>
      </c>
      <c r="L26" s="105"/>
      <c r="M26" s="106">
        <f>AVERAGE(G26,I26,K26)</f>
        <v>32199.333333333332</v>
      </c>
      <c r="N26" s="65"/>
      <c r="O26" s="65"/>
      <c r="P26" s="65"/>
      <c r="Q26" s="66"/>
      <c r="R26" s="30"/>
      <c r="S26" s="30"/>
      <c r="T26" s="30"/>
    </row>
    <row r="27" spans="2:20" ht="12.75">
      <c r="B27" s="12"/>
      <c r="C27" s="53"/>
      <c r="D27" s="12"/>
      <c r="E27" s="12"/>
      <c r="F27"/>
      <c r="G27"/>
      <c r="H27"/>
      <c r="I27"/>
      <c r="J27"/>
      <c r="K27"/>
      <c r="L27"/>
      <c r="M27" s="67"/>
      <c r="N27" s="65"/>
      <c r="O27" s="65"/>
      <c r="P27" s="65"/>
      <c r="Q27" s="66"/>
      <c r="R27" s="30"/>
      <c r="S27" s="30"/>
      <c r="T27" s="30"/>
    </row>
    <row r="28" spans="2:20" ht="12.75">
      <c r="B28" s="12"/>
      <c r="C28" s="12"/>
      <c r="D28" s="12"/>
      <c r="E28" s="12"/>
      <c r="F28"/>
      <c r="G28"/>
      <c r="H28"/>
      <c r="I28"/>
      <c r="J28"/>
      <c r="K28"/>
      <c r="L28"/>
      <c r="M28" s="67"/>
      <c r="N28" s="65"/>
      <c r="O28" s="65"/>
      <c r="P28" s="65"/>
      <c r="Q28" s="66"/>
      <c r="R28" s="30"/>
      <c r="S28" s="30"/>
      <c r="T28" s="30"/>
    </row>
    <row r="29" spans="2:20" ht="12.75">
      <c r="B29" s="12" t="s">
        <v>165</v>
      </c>
      <c r="C29" s="3"/>
      <c r="D29" s="12"/>
      <c r="E29" s="12"/>
      <c r="F29" s="30"/>
      <c r="G29" s="64"/>
      <c r="H29" s="64"/>
      <c r="I29" s="64"/>
      <c r="J29" s="64"/>
      <c r="K29" s="21"/>
      <c r="L29" s="21"/>
      <c r="M29" s="66"/>
      <c r="N29" s="65"/>
      <c r="O29" s="65"/>
      <c r="P29" s="65"/>
      <c r="Q29" s="66"/>
      <c r="R29" s="30"/>
      <c r="S29" s="30"/>
      <c r="T29" s="30"/>
    </row>
    <row r="30" spans="2:20" ht="12.75">
      <c r="B30" s="3"/>
      <c r="C30" s="12"/>
      <c r="D30" s="12"/>
      <c r="E30" s="12"/>
      <c r="F30" s="30"/>
      <c r="G30" s="64"/>
      <c r="H30" s="64"/>
      <c r="I30" s="65"/>
      <c r="J30" s="65"/>
      <c r="K30" s="65"/>
      <c r="L30" s="65"/>
      <c r="M30" s="66"/>
      <c r="N30" s="65"/>
      <c r="O30" s="65"/>
      <c r="P30" s="65"/>
      <c r="Q30" s="66"/>
      <c r="R30" s="30"/>
      <c r="S30" s="30"/>
      <c r="T30" s="30"/>
    </row>
    <row r="31" spans="2:20" ht="12.75">
      <c r="B31" s="12"/>
      <c r="D31" s="12"/>
      <c r="E31" s="12"/>
      <c r="F31" s="30"/>
      <c r="G31" s="64"/>
      <c r="H31" s="64"/>
      <c r="I31" s="27"/>
      <c r="J31" s="65"/>
      <c r="K31" s="21"/>
      <c r="L31" s="21"/>
      <c r="M31" s="67"/>
      <c r="N31" s="65"/>
      <c r="O31" s="65"/>
      <c r="P31" s="65"/>
      <c r="Q31" s="66"/>
      <c r="R31" s="33"/>
      <c r="S31" s="33"/>
      <c r="T31" s="30"/>
    </row>
    <row r="32" spans="2:20" ht="12.75">
      <c r="B32" s="12"/>
      <c r="D32" s="12"/>
      <c r="E32" s="12"/>
      <c r="F32" s="30"/>
      <c r="G32" s="64"/>
      <c r="H32" s="64"/>
      <c r="I32" s="27"/>
      <c r="J32" s="65"/>
      <c r="K32" s="21"/>
      <c r="L32" s="21"/>
      <c r="M32" s="67"/>
      <c r="N32" s="65"/>
      <c r="O32" s="65"/>
      <c r="P32" s="65"/>
      <c r="Q32" s="66"/>
      <c r="R32" s="13"/>
      <c r="S32" s="13"/>
      <c r="T32" s="30"/>
    </row>
    <row r="33" spans="2:20" ht="12.75">
      <c r="B33" s="3"/>
      <c r="C33" s="12"/>
      <c r="D33" s="12"/>
      <c r="E33" s="12"/>
      <c r="F33" s="30"/>
      <c r="G33" s="64"/>
      <c r="H33" s="64"/>
      <c r="I33" s="65"/>
      <c r="J33" s="65"/>
      <c r="K33" s="65"/>
      <c r="L33" s="65"/>
      <c r="M33" s="67"/>
      <c r="N33" s="65"/>
      <c r="O33" s="65"/>
      <c r="P33" s="65"/>
      <c r="Q33" s="66"/>
      <c r="R33" s="13"/>
      <c r="S33" s="13"/>
      <c r="T33" s="30"/>
    </row>
    <row r="34" spans="2:20" ht="12.75">
      <c r="B34" s="48"/>
      <c r="C34" s="12"/>
      <c r="D34" s="12"/>
      <c r="E34" s="12"/>
      <c r="F34" s="30"/>
      <c r="G34" s="64"/>
      <c r="H34" s="64"/>
      <c r="I34" s="65"/>
      <c r="J34" s="65"/>
      <c r="K34" s="65"/>
      <c r="L34" s="65"/>
      <c r="M34" s="67"/>
      <c r="N34" s="65"/>
      <c r="O34" s="65"/>
      <c r="P34" s="65"/>
      <c r="Q34" s="66"/>
      <c r="R34" s="13"/>
      <c r="S34" s="13"/>
      <c r="T34" s="30"/>
    </row>
    <row r="35" spans="2:20" ht="12.75">
      <c r="B35" s="12"/>
      <c r="C35" s="12"/>
      <c r="D35" s="12"/>
      <c r="E35" s="12"/>
      <c r="F35" s="20"/>
      <c r="G35" s="7"/>
      <c r="H35" s="64"/>
      <c r="I35" s="7"/>
      <c r="J35" s="65"/>
      <c r="K35" s="7"/>
      <c r="L35" s="7"/>
      <c r="M35" s="7"/>
      <c r="N35" s="65"/>
      <c r="O35" s="65"/>
      <c r="P35" s="65"/>
      <c r="Q35" s="66"/>
      <c r="R35" s="30"/>
      <c r="S35" s="30"/>
      <c r="T35" s="30"/>
    </row>
    <row r="36" spans="2:20" ht="12.75">
      <c r="B36" s="12"/>
      <c r="C36" s="12"/>
      <c r="D36" s="12"/>
      <c r="E36" s="12"/>
      <c r="F36" s="20"/>
      <c r="G36" s="7"/>
      <c r="H36" s="64"/>
      <c r="I36" s="7"/>
      <c r="J36" s="64"/>
      <c r="K36" s="7"/>
      <c r="L36" s="7"/>
      <c r="M36" s="7"/>
      <c r="N36" s="65"/>
      <c r="O36" s="65"/>
      <c r="P36" s="65"/>
      <c r="Q36" s="66"/>
      <c r="R36" s="30"/>
      <c r="S36" s="30"/>
      <c r="T36" s="30"/>
    </row>
    <row r="37" spans="2:20" ht="12.75">
      <c r="B37" s="12"/>
      <c r="C37" s="12"/>
      <c r="D37" s="12"/>
      <c r="E37" s="12"/>
      <c r="F37"/>
      <c r="G37" s="7"/>
      <c r="H37"/>
      <c r="I37" s="7"/>
      <c r="J37"/>
      <c r="K37" s="7"/>
      <c r="L37" s="7"/>
      <c r="M37" s="7"/>
      <c r="N37" s="65"/>
      <c r="O37" s="65"/>
      <c r="P37" s="65"/>
      <c r="Q37" s="66"/>
      <c r="R37" s="30"/>
      <c r="S37" s="30"/>
      <c r="T37" s="30"/>
    </row>
    <row r="38" spans="2:20" ht="12.75">
      <c r="B38" s="12"/>
      <c r="C38" s="12"/>
      <c r="D38" s="12"/>
      <c r="E38" s="12"/>
      <c r="F38" s="32"/>
      <c r="G38" s="7"/>
      <c r="H38" s="64"/>
      <c r="I38" s="7"/>
      <c r="J38" s="64"/>
      <c r="K38" s="7"/>
      <c r="L38" s="7"/>
      <c r="M38" s="7"/>
      <c r="N38" s="30"/>
      <c r="O38" s="30"/>
      <c r="P38" s="30"/>
      <c r="Q38" s="30"/>
      <c r="R38" s="30"/>
      <c r="S38" s="30"/>
      <c r="T38" s="30"/>
    </row>
    <row r="39" spans="2:20" ht="12.75">
      <c r="B39" s="12"/>
      <c r="C39" s="12"/>
      <c r="D39" s="3"/>
      <c r="E39" s="12"/>
      <c r="F39" s="30"/>
      <c r="G39" s="7"/>
      <c r="H39" s="64"/>
      <c r="I39" s="7"/>
      <c r="J39" s="65"/>
      <c r="K39" s="7"/>
      <c r="L39" s="7"/>
      <c r="M39" s="7"/>
      <c r="N39" s="30"/>
      <c r="O39" s="30"/>
      <c r="P39" s="30"/>
      <c r="Q39" s="30"/>
      <c r="R39" s="30"/>
      <c r="S39" s="30"/>
      <c r="T39" s="30"/>
    </row>
    <row r="40" spans="2:20" ht="12.75">
      <c r="B40" s="12"/>
      <c r="C40" s="12"/>
      <c r="D40" s="3"/>
      <c r="E40" s="12"/>
      <c r="F40" s="30"/>
      <c r="G40" s="7"/>
      <c r="H40" s="64"/>
      <c r="I40" s="7"/>
      <c r="J40" s="65"/>
      <c r="K40" s="7"/>
      <c r="L40" s="7"/>
      <c r="M40" s="7"/>
      <c r="N40" s="30"/>
      <c r="O40" s="30"/>
      <c r="P40" s="30"/>
      <c r="Q40" s="30"/>
      <c r="R40" s="30"/>
      <c r="S40" s="30"/>
      <c r="T40" s="30"/>
    </row>
    <row r="41" spans="2:20" ht="12.75">
      <c r="B41" s="12"/>
      <c r="C41" s="12"/>
      <c r="D41" s="12"/>
      <c r="E41" s="12"/>
      <c r="F41" s="30"/>
      <c r="G41" s="7"/>
      <c r="H41" s="64"/>
      <c r="I41" s="7"/>
      <c r="J41" s="65"/>
      <c r="K41" s="7"/>
      <c r="L41" s="7"/>
      <c r="M41" s="7"/>
      <c r="N41" s="30"/>
      <c r="O41" s="30"/>
      <c r="P41" s="30"/>
      <c r="Q41" s="30"/>
      <c r="R41" s="30"/>
      <c r="S41" s="30"/>
      <c r="T41" s="30"/>
    </row>
    <row r="42" spans="2:20" ht="12.75">
      <c r="B42" s="12"/>
      <c r="C42" s="12"/>
      <c r="D42" s="12"/>
      <c r="E42" s="12"/>
      <c r="F42" s="30"/>
      <c r="G42" s="7"/>
      <c r="H42" s="64"/>
      <c r="I42" s="7"/>
      <c r="J42" s="65"/>
      <c r="K42" s="7"/>
      <c r="L42" s="7"/>
      <c r="M42" s="7"/>
      <c r="N42" s="30"/>
      <c r="O42" s="30"/>
      <c r="P42" s="30"/>
      <c r="Q42" s="30"/>
      <c r="R42" s="30"/>
      <c r="S42" s="30"/>
      <c r="T42" s="30"/>
    </row>
    <row r="43" spans="2:20" ht="12.75">
      <c r="B43" s="12"/>
      <c r="C43" s="12"/>
      <c r="D43" s="12"/>
      <c r="E43" s="12"/>
      <c r="F43" s="20"/>
      <c r="G43" s="7"/>
      <c r="H43" s="64"/>
      <c r="I43" s="7"/>
      <c r="J43" s="21"/>
      <c r="K43" s="7"/>
      <c r="L43" s="7"/>
      <c r="M43" s="7"/>
      <c r="N43" s="30"/>
      <c r="O43" s="30"/>
      <c r="P43" s="30"/>
      <c r="Q43" s="33"/>
      <c r="R43" s="33"/>
      <c r="S43" s="30"/>
      <c r="T43" s="30"/>
    </row>
    <row r="44" spans="2:20" ht="12.75">
      <c r="B44" s="12"/>
      <c r="C44" s="12"/>
      <c r="D44" s="12"/>
      <c r="E44" s="12"/>
      <c r="F44" s="30"/>
      <c r="G44" s="7"/>
      <c r="H44" s="64"/>
      <c r="I44" s="7"/>
      <c r="J44" s="65"/>
      <c r="K44" s="7"/>
      <c r="L44" s="7"/>
      <c r="M44" s="7"/>
      <c r="N44" s="30"/>
      <c r="O44" s="30"/>
      <c r="P44" s="30"/>
      <c r="Q44" s="33"/>
      <c r="R44" s="33"/>
      <c r="S44" s="30"/>
      <c r="T44" s="30"/>
    </row>
    <row r="45" spans="2:20" ht="12.75">
      <c r="B45" s="12"/>
      <c r="C45" s="29"/>
      <c r="D45" s="12"/>
      <c r="E45" s="12"/>
      <c r="F45" s="30"/>
      <c r="G45" s="7"/>
      <c r="H45" s="64"/>
      <c r="I45" s="7"/>
      <c r="J45" s="65"/>
      <c r="K45" s="7"/>
      <c r="L45" s="7"/>
      <c r="M45" s="7"/>
      <c r="N45" s="30"/>
      <c r="O45" s="30"/>
      <c r="P45" s="30"/>
      <c r="Q45" s="33"/>
      <c r="R45" s="33"/>
      <c r="S45" s="30"/>
      <c r="T45" s="30"/>
    </row>
    <row r="46" spans="2:20" ht="12.75">
      <c r="B46" s="12"/>
      <c r="C46" s="12"/>
      <c r="D46" s="12"/>
      <c r="E46" s="12"/>
      <c r="F46" s="30"/>
      <c r="G46" s="7"/>
      <c r="H46" s="64"/>
      <c r="I46" s="7"/>
      <c r="J46" s="64"/>
      <c r="K46" s="7"/>
      <c r="L46" s="7"/>
      <c r="M46" s="7"/>
      <c r="N46" s="30"/>
      <c r="O46" s="30"/>
      <c r="P46" s="30"/>
      <c r="Q46" s="33"/>
      <c r="R46" s="33"/>
      <c r="S46" s="30"/>
      <c r="T46" s="30"/>
    </row>
    <row r="47" spans="2:20" ht="12.75">
      <c r="B47" s="12"/>
      <c r="C47" s="12"/>
      <c r="D47" s="12"/>
      <c r="E47" s="12"/>
      <c r="F47" s="20"/>
      <c r="G47" s="7"/>
      <c r="H47" s="20"/>
      <c r="I47" s="7"/>
      <c r="J47" s="20"/>
      <c r="K47" s="7"/>
      <c r="L47" s="7"/>
      <c r="M47" s="7"/>
      <c r="N47" s="30"/>
      <c r="O47" s="30"/>
      <c r="P47" s="30"/>
      <c r="Q47" s="33"/>
      <c r="R47" s="33"/>
      <c r="S47" s="30"/>
      <c r="T47" s="30"/>
    </row>
    <row r="48" spans="2:20" ht="12.75">
      <c r="B48" s="12"/>
      <c r="C48" s="12"/>
      <c r="D48" s="12"/>
      <c r="E48" s="12"/>
      <c r="F48" s="20"/>
      <c r="G48" s="7"/>
      <c r="H48" s="20"/>
      <c r="I48" s="7"/>
      <c r="J48" s="20"/>
      <c r="K48" s="7"/>
      <c r="L48" s="7"/>
      <c r="M48" s="7"/>
      <c r="N48" s="30"/>
      <c r="O48" s="30"/>
      <c r="P48" s="30"/>
      <c r="Q48" s="33"/>
      <c r="R48" s="33"/>
      <c r="S48" s="30"/>
      <c r="T48" s="30"/>
    </row>
    <row r="49" spans="2:20" ht="12.75">
      <c r="B49" s="12"/>
      <c r="C49" s="12"/>
      <c r="D49" s="12"/>
      <c r="E49" s="12"/>
      <c r="F49" s="30"/>
      <c r="G49" s="7"/>
      <c r="H49" s="64"/>
      <c r="I49" s="7"/>
      <c r="J49" s="64"/>
      <c r="K49" s="7"/>
      <c r="L49" s="7"/>
      <c r="M49" s="7"/>
      <c r="N49" s="30"/>
      <c r="O49" s="30"/>
      <c r="P49" s="30"/>
      <c r="Q49" s="33"/>
      <c r="R49" s="33"/>
      <c r="S49" s="30"/>
      <c r="T49" s="30"/>
    </row>
    <row r="50" spans="2:20" ht="12.75">
      <c r="B50" s="12"/>
      <c r="C50" s="12"/>
      <c r="D50" s="12"/>
      <c r="E50" s="12"/>
      <c r="F50" s="30"/>
      <c r="G50" s="13"/>
      <c r="H50" s="13"/>
      <c r="I50" s="30"/>
      <c r="J50" s="30"/>
      <c r="K50" s="30"/>
      <c r="L50" s="30"/>
      <c r="M50" s="7"/>
      <c r="N50" s="30"/>
      <c r="O50" s="30"/>
      <c r="P50" s="30"/>
      <c r="Q50" s="33"/>
      <c r="R50" s="33"/>
      <c r="S50" s="30"/>
      <c r="T50" s="30"/>
    </row>
    <row r="51" spans="2:20" ht="12.75">
      <c r="B51" s="12"/>
      <c r="C51" s="12"/>
      <c r="D51" s="12"/>
      <c r="E51" s="12"/>
      <c r="F51" s="30"/>
      <c r="G51" s="81"/>
      <c r="H51" s="81"/>
      <c r="I51" s="81"/>
      <c r="J51" s="81"/>
      <c r="K51" s="81"/>
      <c r="L51" s="81"/>
      <c r="M51" s="69"/>
      <c r="N51" s="30"/>
      <c r="O51" s="30"/>
      <c r="P51" s="30"/>
      <c r="Q51" s="33"/>
      <c r="R51" s="33"/>
      <c r="S51" s="30"/>
      <c r="T51" s="30"/>
    </row>
    <row r="52" spans="2:20" ht="12.75">
      <c r="B52" s="12"/>
      <c r="C52" s="12"/>
      <c r="D52" s="12"/>
      <c r="E52" s="12"/>
      <c r="F52" s="30"/>
      <c r="G52" s="80"/>
      <c r="H52" s="80"/>
      <c r="I52" s="80"/>
      <c r="J52" s="80"/>
      <c r="K52" s="80"/>
      <c r="L52" s="80"/>
      <c r="M52" s="7"/>
      <c r="N52" s="30"/>
      <c r="O52" s="30"/>
      <c r="P52" s="30"/>
      <c r="Q52" s="33"/>
      <c r="R52" s="33"/>
      <c r="S52" s="30"/>
      <c r="T52" s="30"/>
    </row>
    <row r="53" spans="2:20" ht="12.75">
      <c r="B53" s="12"/>
      <c r="C53" s="12"/>
      <c r="D53" s="12"/>
      <c r="E53" s="12"/>
      <c r="F53" s="30"/>
      <c r="G53" s="31"/>
      <c r="H53" s="31"/>
      <c r="I53" s="30"/>
      <c r="J53" s="30"/>
      <c r="K53" s="30"/>
      <c r="L53" s="30"/>
      <c r="M53" s="33"/>
      <c r="N53" s="30"/>
      <c r="O53" s="30"/>
      <c r="P53" s="30"/>
      <c r="Q53" s="33"/>
      <c r="R53" s="33"/>
      <c r="S53" s="30"/>
      <c r="T53" s="30"/>
    </row>
    <row r="54" spans="2:20" ht="12.75">
      <c r="B54" s="12"/>
      <c r="C54" s="12"/>
      <c r="D54" s="12"/>
      <c r="E54" s="12"/>
      <c r="F54" s="30"/>
      <c r="G54" s="31"/>
      <c r="H54" s="31"/>
      <c r="I54" s="30"/>
      <c r="J54" s="30"/>
      <c r="K54" s="30"/>
      <c r="L54" s="30"/>
      <c r="M54" s="33"/>
      <c r="N54" s="30"/>
      <c r="O54" s="30"/>
      <c r="P54" s="30"/>
      <c r="Q54" s="33"/>
      <c r="R54" s="33"/>
      <c r="S54" s="30"/>
      <c r="T54" s="30"/>
    </row>
    <row r="55" spans="2:20" ht="12.75">
      <c r="B55" s="83"/>
      <c r="C55" s="83"/>
      <c r="D55" s="12"/>
      <c r="E55" s="12"/>
      <c r="F55" s="30"/>
      <c r="G55" s="31"/>
      <c r="H55" s="31"/>
      <c r="I55" s="30"/>
      <c r="J55" s="30"/>
      <c r="K55" s="30"/>
      <c r="L55" s="30"/>
      <c r="M55" s="82"/>
      <c r="N55" s="30"/>
      <c r="O55" s="30"/>
      <c r="P55" s="30"/>
      <c r="Q55" s="33"/>
      <c r="R55" s="33"/>
      <c r="S55" s="30"/>
      <c r="T55" s="30"/>
    </row>
    <row r="56" spans="3:20" ht="12.75">
      <c r="C56" s="12"/>
      <c r="D56" s="12"/>
      <c r="E56" s="12"/>
      <c r="F56" s="30"/>
      <c r="G56" s="31"/>
      <c r="H56" s="31"/>
      <c r="I56" s="30"/>
      <c r="J56" s="30"/>
      <c r="K56" s="30"/>
      <c r="L56" s="30"/>
      <c r="M56" s="33"/>
      <c r="N56" s="30"/>
      <c r="O56" s="30"/>
      <c r="P56" s="30"/>
      <c r="Q56" s="33"/>
      <c r="R56" s="33"/>
      <c r="S56" s="30"/>
      <c r="T56" s="30"/>
    </row>
    <row r="57" spans="3:20" ht="12.75">
      <c r="C57" s="12"/>
      <c r="D57" s="12"/>
      <c r="E57" s="12"/>
      <c r="F57" s="30"/>
      <c r="G57" s="31"/>
      <c r="H57" s="31"/>
      <c r="I57" s="30"/>
      <c r="J57" s="30"/>
      <c r="K57" s="30"/>
      <c r="L57" s="30"/>
      <c r="M57" s="33"/>
      <c r="N57" s="30"/>
      <c r="O57" s="30"/>
      <c r="P57" s="30"/>
      <c r="Q57" s="33"/>
      <c r="R57" s="33"/>
      <c r="S57" s="30"/>
      <c r="T57" s="30"/>
    </row>
    <row r="58" spans="4:20" ht="12.75">
      <c r="D58" s="12"/>
      <c r="E58" s="12"/>
      <c r="F58" s="30"/>
      <c r="G58" s="31"/>
      <c r="H58" s="31"/>
      <c r="I58" s="30"/>
      <c r="J58" s="30"/>
      <c r="K58" s="30"/>
      <c r="L58" s="30"/>
      <c r="M58" s="67"/>
      <c r="N58" s="30"/>
      <c r="O58" s="30"/>
      <c r="P58" s="30"/>
      <c r="Q58" s="33"/>
      <c r="R58" s="33"/>
      <c r="S58" s="30"/>
      <c r="T58" s="30"/>
    </row>
    <row r="59" spans="4:20" ht="12.75">
      <c r="D59" s="12"/>
      <c r="E59" s="12"/>
      <c r="F59" s="30"/>
      <c r="G59" s="31"/>
      <c r="H59" s="31"/>
      <c r="I59" s="30"/>
      <c r="J59" s="30"/>
      <c r="K59" s="30"/>
      <c r="L59" s="30"/>
      <c r="M59" s="67"/>
      <c r="N59" s="30"/>
      <c r="O59" s="30"/>
      <c r="P59" s="30"/>
      <c r="Q59" s="33"/>
      <c r="R59" s="33"/>
      <c r="S59" s="30"/>
      <c r="T59" s="30"/>
    </row>
    <row r="60" spans="4:20" ht="12.75">
      <c r="D60" s="12"/>
      <c r="E60" s="12"/>
      <c r="F60" s="30"/>
      <c r="G60" s="13"/>
      <c r="H60" s="13"/>
      <c r="I60" s="13"/>
      <c r="J60" s="13"/>
      <c r="K60" s="13"/>
      <c r="L60" s="13"/>
      <c r="M60" s="7"/>
      <c r="N60" s="30"/>
      <c r="O60" s="30"/>
      <c r="P60" s="30"/>
      <c r="Q60" s="33"/>
      <c r="R60" s="33"/>
      <c r="S60" s="30"/>
      <c r="T60" s="30"/>
    </row>
    <row r="61" spans="2:20" ht="12.75">
      <c r="B61" s="3"/>
      <c r="C61" s="3"/>
      <c r="D61" s="12"/>
      <c r="E61" s="12"/>
      <c r="F61" s="30"/>
      <c r="G61" s="31"/>
      <c r="H61" s="31"/>
      <c r="I61" s="30"/>
      <c r="J61" s="30"/>
      <c r="K61" s="30"/>
      <c r="L61" s="30"/>
      <c r="M61" s="7"/>
      <c r="N61" s="30"/>
      <c r="O61" s="30"/>
      <c r="P61" s="30"/>
      <c r="Q61" s="33"/>
      <c r="R61" s="33"/>
      <c r="S61" s="30"/>
      <c r="T61" s="30"/>
    </row>
    <row r="62" spans="2:20" ht="12.75">
      <c r="B62" s="3"/>
      <c r="C62" s="3"/>
      <c r="D62" s="12"/>
      <c r="E62" s="12"/>
      <c r="F62" s="30"/>
      <c r="G62" s="31"/>
      <c r="H62" s="31"/>
      <c r="I62" s="30"/>
      <c r="J62" s="30"/>
      <c r="K62" s="30"/>
      <c r="L62" s="30"/>
      <c r="M62" s="33"/>
      <c r="N62" s="30"/>
      <c r="O62" s="30"/>
      <c r="P62" s="30"/>
      <c r="Q62" s="33"/>
      <c r="R62" s="33"/>
      <c r="S62" s="30"/>
      <c r="T62" s="30"/>
    </row>
    <row r="64" spans="4:18" s="30" customFormat="1" ht="12.75">
      <c r="D64" s="12"/>
      <c r="E64" s="12"/>
      <c r="G64" s="31"/>
      <c r="H64" s="31"/>
      <c r="R64" s="33"/>
    </row>
    <row r="65" spans="4:18" s="30" customFormat="1" ht="12.75">
      <c r="D65" s="12"/>
      <c r="E65" s="12"/>
      <c r="G65" s="31"/>
      <c r="H65" s="31"/>
      <c r="R65" s="33"/>
    </row>
    <row r="69" spans="1:18" ht="12.75">
      <c r="A69" s="3" t="s">
        <v>87</v>
      </c>
      <c r="B69" s="29"/>
      <c r="C69" s="29"/>
      <c r="D69" s="12"/>
      <c r="E69" s="12"/>
      <c r="F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2.75">
      <c r="B70" s="12"/>
      <c r="C70" s="12"/>
      <c r="D70" s="12"/>
      <c r="E70" s="12"/>
      <c r="F70" s="30"/>
      <c r="G70" s="32"/>
      <c r="H70" s="32"/>
      <c r="I70" s="32"/>
      <c r="J70" s="32"/>
      <c r="K70" s="32"/>
      <c r="L70" s="32"/>
      <c r="M70" s="32"/>
      <c r="N70" s="30"/>
      <c r="O70" s="30"/>
      <c r="P70" s="30"/>
      <c r="Q70" s="53"/>
      <c r="R70" s="30"/>
    </row>
    <row r="71" spans="1:18" ht="12.75">
      <c r="A71" s="53"/>
      <c r="B71" s="53"/>
      <c r="C71" s="53"/>
      <c r="D71" s="53"/>
      <c r="E71" s="53"/>
      <c r="F71" s="51"/>
      <c r="G71" s="62"/>
      <c r="H71" s="62"/>
      <c r="I71" s="62"/>
      <c r="J71" s="62"/>
      <c r="K71" s="62"/>
      <c r="L71" s="62"/>
      <c r="M71" s="62"/>
      <c r="N71" s="53"/>
      <c r="O71" s="53"/>
      <c r="P71" s="53"/>
      <c r="Q71" s="53"/>
      <c r="R71" s="57"/>
    </row>
    <row r="72" spans="2:18" ht="12.75">
      <c r="B72" s="12"/>
      <c r="C72" s="12"/>
      <c r="D72" s="12"/>
      <c r="E72" s="12"/>
      <c r="F72"/>
      <c r="G72"/>
      <c r="H72"/>
      <c r="I72"/>
      <c r="J72"/>
      <c r="K72"/>
      <c r="L72"/>
      <c r="M72" s="67"/>
      <c r="N72" s="43"/>
      <c r="O72" s="43"/>
      <c r="P72" s="43"/>
      <c r="Q72" s="66"/>
      <c r="R72" s="30"/>
    </row>
    <row r="73" spans="2:18" ht="12.75">
      <c r="B73" s="12"/>
      <c r="C73" s="12"/>
      <c r="D73" s="12"/>
      <c r="E73" s="12"/>
      <c r="F73"/>
      <c r="G73"/>
      <c r="H73"/>
      <c r="I73"/>
      <c r="J73"/>
      <c r="K73"/>
      <c r="L73"/>
      <c r="M73" s="66"/>
      <c r="N73" s="43"/>
      <c r="O73" s="43"/>
      <c r="P73" s="43"/>
      <c r="Q73" s="66"/>
      <c r="R73" s="30"/>
    </row>
    <row r="74" spans="2:18" ht="12.75">
      <c r="B74" s="12"/>
      <c r="C74" s="12"/>
      <c r="D74" s="12"/>
      <c r="E74" s="12"/>
      <c r="F74" s="32"/>
      <c r="G74" s="70"/>
      <c r="H74" s="64"/>
      <c r="I74" s="70"/>
      <c r="J74" s="64"/>
      <c r="K74" s="37"/>
      <c r="L74" s="37"/>
      <c r="M74" s="66"/>
      <c r="N74" s="65"/>
      <c r="O74" s="65"/>
      <c r="P74" s="65"/>
      <c r="Q74" s="66"/>
      <c r="R74" s="30"/>
    </row>
    <row r="75" spans="2:18" ht="12.75">
      <c r="B75" s="12"/>
      <c r="C75" s="12"/>
      <c r="D75" s="12"/>
      <c r="E75" s="12"/>
      <c r="F75" s="30"/>
      <c r="G75" s="70"/>
      <c r="H75" s="64"/>
      <c r="I75" s="37"/>
      <c r="J75" s="65"/>
      <c r="K75" s="37"/>
      <c r="L75" s="37"/>
      <c r="M75" s="66"/>
      <c r="N75" s="65"/>
      <c r="O75" s="65"/>
      <c r="P75" s="65"/>
      <c r="Q75" s="66"/>
      <c r="R75" s="30"/>
    </row>
    <row r="76" spans="2:18" ht="12.75">
      <c r="B76" s="12"/>
      <c r="C76" s="12"/>
      <c r="D76" s="12"/>
      <c r="E76" s="12"/>
      <c r="F76" s="30"/>
      <c r="G76" s="70"/>
      <c r="H76" s="64"/>
      <c r="I76" s="37"/>
      <c r="J76" s="65"/>
      <c r="K76" s="37"/>
      <c r="L76" s="37"/>
      <c r="M76" s="66"/>
      <c r="N76" s="65"/>
      <c r="O76" s="65"/>
      <c r="P76" s="65"/>
      <c r="Q76" s="66"/>
      <c r="R76" s="30"/>
    </row>
    <row r="77" spans="2:18" ht="12.75">
      <c r="B77" s="12"/>
      <c r="C77" s="12"/>
      <c r="D77" s="12"/>
      <c r="E77" s="12"/>
      <c r="F77" s="30"/>
      <c r="G77" s="70"/>
      <c r="H77" s="64"/>
      <c r="I77" s="28"/>
      <c r="J77" s="21"/>
      <c r="K77" s="28"/>
      <c r="L77" s="28"/>
      <c r="M77" s="66"/>
      <c r="N77" s="65"/>
      <c r="O77" s="65"/>
      <c r="P77" s="65"/>
      <c r="Q77" s="66"/>
      <c r="R77" s="30"/>
    </row>
    <row r="78" spans="2:18" ht="12.75">
      <c r="B78" s="12"/>
      <c r="C78" s="12"/>
      <c r="D78" s="12"/>
      <c r="E78" s="12"/>
      <c r="F78" s="30"/>
      <c r="G78" s="70"/>
      <c r="H78" s="64"/>
      <c r="I78" s="28"/>
      <c r="J78" s="21"/>
      <c r="K78" s="28"/>
      <c r="L78" s="28"/>
      <c r="M78" s="66"/>
      <c r="N78" s="65"/>
      <c r="O78" s="65"/>
      <c r="P78" s="65"/>
      <c r="Q78" s="66"/>
      <c r="R78" s="30"/>
    </row>
    <row r="79" spans="2:18" ht="12.75">
      <c r="B79" s="12"/>
      <c r="C79" s="12"/>
      <c r="D79" s="12"/>
      <c r="E79" s="12"/>
      <c r="F79" s="20"/>
      <c r="G79" s="70"/>
      <c r="H79" s="64"/>
      <c r="I79" s="28"/>
      <c r="J79" s="21"/>
      <c r="K79" s="28"/>
      <c r="L79" s="28"/>
      <c r="M79" s="66"/>
      <c r="N79" s="65"/>
      <c r="O79" s="65"/>
      <c r="P79" s="65"/>
      <c r="Q79" s="66"/>
      <c r="R79" s="30"/>
    </row>
    <row r="80" spans="2:18" ht="12.75">
      <c r="B80" s="12"/>
      <c r="C80" s="12"/>
      <c r="D80" s="12"/>
      <c r="E80" s="12"/>
      <c r="F80" s="20"/>
      <c r="G80" s="70"/>
      <c r="H80" s="64"/>
      <c r="I80" s="28"/>
      <c r="J80" s="21"/>
      <c r="K80" s="28"/>
      <c r="L80" s="28"/>
      <c r="M80" s="66"/>
      <c r="N80" s="65"/>
      <c r="O80" s="65"/>
      <c r="P80" s="65"/>
      <c r="Q80" s="66"/>
      <c r="R80" s="30"/>
    </row>
    <row r="81" spans="2:18" ht="12.75">
      <c r="B81" s="12"/>
      <c r="C81" s="12"/>
      <c r="D81" s="12"/>
      <c r="E81" s="12"/>
      <c r="F81" s="30"/>
      <c r="G81" s="70"/>
      <c r="H81" s="64"/>
      <c r="I81" s="37"/>
      <c r="J81" s="65"/>
      <c r="K81" s="28"/>
      <c r="L81" s="28"/>
      <c r="M81" s="66"/>
      <c r="N81" s="65"/>
      <c r="O81" s="65"/>
      <c r="P81" s="65"/>
      <c r="Q81" s="66"/>
      <c r="R81" s="30"/>
    </row>
    <row r="82" spans="2:18" ht="12.75">
      <c r="B82" s="12"/>
      <c r="C82" s="12"/>
      <c r="D82" s="12"/>
      <c r="E82" s="12"/>
      <c r="F82" s="20"/>
      <c r="G82" s="70"/>
      <c r="H82" s="64"/>
      <c r="I82" s="70"/>
      <c r="J82" s="64"/>
      <c r="K82" s="28"/>
      <c r="L82" s="28"/>
      <c r="M82" s="66"/>
      <c r="N82" s="65"/>
      <c r="O82" s="65"/>
      <c r="P82" s="65"/>
      <c r="Q82" s="66"/>
      <c r="R82" s="30"/>
    </row>
    <row r="83" spans="2:18" ht="12.75">
      <c r="B83" s="12"/>
      <c r="C83" s="12"/>
      <c r="D83" s="12"/>
      <c r="E83" s="12"/>
      <c r="F83" s="30"/>
      <c r="G83" s="70"/>
      <c r="H83" s="64"/>
      <c r="I83" s="64"/>
      <c r="J83" s="64"/>
      <c r="K83" s="21"/>
      <c r="L83" s="21"/>
      <c r="M83" s="66"/>
      <c r="N83" s="65"/>
      <c r="O83" s="65"/>
      <c r="P83" s="65"/>
      <c r="Q83" s="66"/>
      <c r="R83" s="30"/>
    </row>
    <row r="84" spans="2:18" ht="12.75">
      <c r="B84" s="12"/>
      <c r="C84" s="12"/>
      <c r="D84" s="12"/>
      <c r="E84" s="12"/>
      <c r="F84" s="30"/>
      <c r="G84" s="70"/>
      <c r="H84" s="64"/>
      <c r="I84" s="64"/>
      <c r="J84" s="64"/>
      <c r="K84" s="21"/>
      <c r="L84" s="21"/>
      <c r="M84" s="66"/>
      <c r="N84" s="65"/>
      <c r="O84" s="65"/>
      <c r="P84" s="65"/>
      <c r="Q84" s="66"/>
      <c r="R84" s="30"/>
    </row>
    <row r="85" spans="2:18" ht="12.75">
      <c r="B85" s="12"/>
      <c r="C85" s="12"/>
      <c r="D85" s="12"/>
      <c r="E85" s="12"/>
      <c r="F85" s="30"/>
      <c r="G85" s="70"/>
      <c r="H85" s="64"/>
      <c r="I85" s="64"/>
      <c r="J85" s="64"/>
      <c r="K85" s="21"/>
      <c r="L85" s="21"/>
      <c r="M85" s="66"/>
      <c r="N85" s="65"/>
      <c r="O85" s="65"/>
      <c r="P85" s="65"/>
      <c r="Q85" s="66"/>
      <c r="R85" s="30"/>
    </row>
    <row r="86" spans="2:18" ht="12.75">
      <c r="B86" s="12"/>
      <c r="C86" s="12"/>
      <c r="D86" s="12"/>
      <c r="E86" s="12"/>
      <c r="F86" s="30"/>
      <c r="G86" s="70"/>
      <c r="H86" s="64"/>
      <c r="I86" s="64"/>
      <c r="J86" s="64"/>
      <c r="K86" s="21"/>
      <c r="L86" s="21"/>
      <c r="M86" s="66"/>
      <c r="N86" s="65"/>
      <c r="O86" s="65"/>
      <c r="P86" s="65"/>
      <c r="Q86" s="66"/>
      <c r="R86" s="30"/>
    </row>
    <row r="87" spans="2:18" ht="12.75">
      <c r="B87" s="12"/>
      <c r="C87" s="12"/>
      <c r="D87" s="12"/>
      <c r="E87" s="12"/>
      <c r="F87" s="30"/>
      <c r="G87" s="70"/>
      <c r="H87" s="64"/>
      <c r="I87" s="63"/>
      <c r="J87" s="27"/>
      <c r="K87" s="28"/>
      <c r="L87" s="28"/>
      <c r="M87" s="66"/>
      <c r="N87" s="65"/>
      <c r="O87" s="65"/>
      <c r="P87" s="65"/>
      <c r="Q87" s="66"/>
      <c r="R87" s="30"/>
    </row>
    <row r="88" spans="2:18" ht="12.75">
      <c r="B88" s="12"/>
      <c r="C88" s="12"/>
      <c r="D88" s="12"/>
      <c r="E88" s="12"/>
      <c r="F88" s="30"/>
      <c r="G88" s="70"/>
      <c r="H88" s="64"/>
      <c r="I88" s="27"/>
      <c r="J88" s="65"/>
      <c r="K88" s="21"/>
      <c r="L88" s="21"/>
      <c r="M88" s="66"/>
      <c r="N88" s="65"/>
      <c r="O88" s="65"/>
      <c r="P88" s="65"/>
      <c r="Q88" s="66"/>
      <c r="R88" s="33"/>
    </row>
    <row r="89" spans="2:18" ht="12.75">
      <c r="B89" s="12"/>
      <c r="C89" s="12"/>
      <c r="D89" s="12"/>
      <c r="E89" s="12"/>
      <c r="F89" s="64"/>
      <c r="G89" s="70"/>
      <c r="H89" s="64"/>
      <c r="I89" s="63"/>
      <c r="J89" s="27"/>
      <c r="K89" s="28"/>
      <c r="L89" s="28"/>
      <c r="M89" s="66"/>
      <c r="N89" s="65"/>
      <c r="O89" s="65"/>
      <c r="P89" s="65"/>
      <c r="Q89" s="66"/>
      <c r="R89" s="13"/>
    </row>
    <row r="90" spans="2:18" ht="12.75">
      <c r="B90" s="12"/>
      <c r="C90" s="12"/>
      <c r="D90" s="12"/>
      <c r="E90" s="12"/>
      <c r="F90" s="64"/>
      <c r="G90" s="70"/>
      <c r="H90" s="64"/>
      <c r="I90" s="63"/>
      <c r="J90" s="27"/>
      <c r="K90" s="28"/>
      <c r="L90" s="28"/>
      <c r="M90" s="66"/>
      <c r="N90" s="65"/>
      <c r="O90" s="65"/>
      <c r="P90" s="65"/>
      <c r="Q90" s="66"/>
      <c r="R90" s="13"/>
    </row>
    <row r="91" spans="2:18" ht="12.75">
      <c r="B91" s="12"/>
      <c r="C91" s="48"/>
      <c r="D91" s="12"/>
      <c r="E91" s="12"/>
      <c r="F91" s="64"/>
      <c r="G91" s="70"/>
      <c r="H91" s="64"/>
      <c r="I91" s="63"/>
      <c r="J91" s="27"/>
      <c r="K91" s="28"/>
      <c r="L91" s="28"/>
      <c r="M91" s="66"/>
      <c r="N91" s="65"/>
      <c r="O91" s="65"/>
      <c r="P91" s="65"/>
      <c r="Q91" s="66"/>
      <c r="R91" s="13"/>
    </row>
    <row r="92" spans="2:18" ht="12.75">
      <c r="B92" s="12"/>
      <c r="C92" s="12"/>
      <c r="D92" s="12"/>
      <c r="E92" s="12"/>
      <c r="F92" s="27"/>
      <c r="G92" s="70"/>
      <c r="H92" s="64"/>
      <c r="I92" s="63"/>
      <c r="J92" s="27"/>
      <c r="K92" s="28"/>
      <c r="L92" s="28"/>
      <c r="M92" s="66"/>
      <c r="N92" s="65"/>
      <c r="O92" s="65"/>
      <c r="P92" s="65"/>
      <c r="Q92" s="66"/>
      <c r="R92" s="30"/>
    </row>
    <row r="93" spans="2:18" ht="12.75">
      <c r="B93" s="12"/>
      <c r="C93" s="12"/>
      <c r="D93" s="12"/>
      <c r="E93" s="12"/>
      <c r="F93" s="27"/>
      <c r="G93" s="70"/>
      <c r="H93" s="64"/>
      <c r="I93" s="63"/>
      <c r="J93" s="64"/>
      <c r="K93" s="28"/>
      <c r="L93" s="28"/>
      <c r="M93" s="66"/>
      <c r="N93" s="65"/>
      <c r="O93" s="65"/>
      <c r="P93" s="65"/>
      <c r="Q93" s="66"/>
      <c r="R93" s="30"/>
    </row>
    <row r="94" spans="2:18" ht="12.75">
      <c r="B94" s="12"/>
      <c r="C94" s="12"/>
      <c r="D94" s="12"/>
      <c r="E94" s="12"/>
      <c r="F94" s="30"/>
      <c r="G94" s="70"/>
      <c r="H94" s="64"/>
      <c r="I94" s="27"/>
      <c r="J94" s="65"/>
      <c r="K94" s="21"/>
      <c r="L94" s="21"/>
      <c r="M94" s="66"/>
      <c r="N94" s="65"/>
      <c r="O94" s="65"/>
      <c r="P94" s="65"/>
      <c r="Q94" s="66"/>
      <c r="R94" s="30"/>
    </row>
    <row r="95" spans="2:18" ht="12.75">
      <c r="B95" s="12"/>
      <c r="C95" s="12"/>
      <c r="D95" s="12"/>
      <c r="E95" s="12"/>
      <c r="F95" s="30"/>
      <c r="G95" s="13"/>
      <c r="H95" s="13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2:18" ht="12.75">
      <c r="B96" s="12"/>
      <c r="D96" s="12"/>
      <c r="E96" s="12"/>
      <c r="F96" s="32"/>
      <c r="G96" s="13"/>
      <c r="H96" s="13"/>
      <c r="I96" s="30"/>
      <c r="J96" s="30"/>
      <c r="K96" s="30"/>
      <c r="L96" s="30"/>
      <c r="M96" s="43"/>
      <c r="N96" s="30"/>
      <c r="O96" s="30"/>
      <c r="P96" s="30"/>
      <c r="Q96" s="30"/>
      <c r="R96" s="30"/>
    </row>
    <row r="97" spans="2:18" ht="12.75">
      <c r="B97" s="12"/>
      <c r="D97" s="12"/>
      <c r="E97" s="12"/>
      <c r="F97" s="32"/>
      <c r="G97" s="13"/>
      <c r="H97" s="13"/>
      <c r="I97" s="30"/>
      <c r="J97" s="30"/>
      <c r="K97" s="30"/>
      <c r="L97" s="30"/>
      <c r="M97" s="33"/>
      <c r="N97" s="30"/>
      <c r="O97" s="30"/>
      <c r="P97" s="30"/>
      <c r="Q97" s="30"/>
      <c r="R97" s="30"/>
    </row>
    <row r="98" spans="2:18" ht="12.75">
      <c r="B98" s="12"/>
      <c r="C98" s="12"/>
      <c r="D98" s="12"/>
      <c r="E98" s="12"/>
      <c r="F98" s="32"/>
      <c r="G98" s="13"/>
      <c r="H98" s="13"/>
      <c r="I98" s="30"/>
      <c r="J98" s="30"/>
      <c r="K98" s="30"/>
      <c r="L98" s="30"/>
      <c r="M98" s="33"/>
      <c r="N98" s="30"/>
      <c r="O98" s="30"/>
      <c r="P98" s="30"/>
      <c r="Q98" s="30"/>
      <c r="R98" s="30"/>
    </row>
    <row r="99" spans="2:18" ht="12.75">
      <c r="B99" s="48"/>
      <c r="C99" s="12"/>
      <c r="D99" s="12"/>
      <c r="E99" s="12"/>
      <c r="F99" s="30"/>
      <c r="G99" s="13"/>
      <c r="H99" s="13"/>
      <c r="I99" s="30"/>
      <c r="J99" s="30"/>
      <c r="K99" s="30"/>
      <c r="L99" s="30"/>
      <c r="M99" s="33"/>
      <c r="N99" s="30"/>
      <c r="O99" s="30"/>
      <c r="P99" s="43"/>
      <c r="Q99" s="30"/>
      <c r="R99" s="30"/>
    </row>
    <row r="100" spans="2:18" ht="12.75">
      <c r="B100" s="12"/>
      <c r="C100" s="12"/>
      <c r="D100" s="12"/>
      <c r="E100" s="12"/>
      <c r="F100" s="32"/>
      <c r="G100" s="33"/>
      <c r="H100" s="64"/>
      <c r="I100" s="33"/>
      <c r="J100" s="64"/>
      <c r="K100" s="33"/>
      <c r="L100" s="33"/>
      <c r="M100" s="43"/>
      <c r="N100" s="30"/>
      <c r="O100" s="30"/>
      <c r="P100" s="30"/>
      <c r="Q100" s="33"/>
      <c r="R100" s="33"/>
    </row>
    <row r="101" spans="2:18" ht="12.75">
      <c r="B101" s="12"/>
      <c r="C101" s="12"/>
      <c r="D101" s="12"/>
      <c r="E101" s="12"/>
      <c r="F101" s="30"/>
      <c r="G101" s="33"/>
      <c r="H101" s="64"/>
      <c r="I101" s="33"/>
      <c r="J101" s="65"/>
      <c r="K101" s="33"/>
      <c r="L101" s="33"/>
      <c r="M101" s="33"/>
      <c r="N101" s="30"/>
      <c r="O101" s="30"/>
      <c r="P101" s="30"/>
      <c r="Q101" s="33"/>
      <c r="R101" s="33"/>
    </row>
    <row r="102" spans="2:18" ht="12.75">
      <c r="B102" s="12"/>
      <c r="C102" s="12"/>
      <c r="D102" s="12"/>
      <c r="E102" s="12"/>
      <c r="F102" s="30"/>
      <c r="G102" s="33"/>
      <c r="H102" s="64"/>
      <c r="I102" s="33"/>
      <c r="J102" s="65"/>
      <c r="K102" s="33"/>
      <c r="L102" s="33"/>
      <c r="M102" s="43"/>
      <c r="N102" s="30"/>
      <c r="O102" s="30"/>
      <c r="P102" s="30"/>
      <c r="Q102" s="33"/>
      <c r="R102" s="33"/>
    </row>
    <row r="103" spans="2:18" ht="12.75">
      <c r="B103" s="12"/>
      <c r="C103" s="12"/>
      <c r="D103" s="12"/>
      <c r="E103" s="12"/>
      <c r="F103" s="30"/>
      <c r="G103" s="33"/>
      <c r="H103" s="64"/>
      <c r="I103" s="33"/>
      <c r="J103" s="21"/>
      <c r="K103" s="33"/>
      <c r="L103" s="33"/>
      <c r="M103" s="33"/>
      <c r="N103" s="30"/>
      <c r="O103" s="30"/>
      <c r="P103" s="30"/>
      <c r="Q103" s="33"/>
      <c r="R103" s="33"/>
    </row>
    <row r="104" spans="2:18" ht="12.75">
      <c r="B104" s="12"/>
      <c r="C104" s="12"/>
      <c r="D104" s="12"/>
      <c r="E104" s="12"/>
      <c r="F104" s="30"/>
      <c r="G104" s="33"/>
      <c r="H104" s="64"/>
      <c r="I104" s="33"/>
      <c r="J104" s="21"/>
      <c r="K104" s="33"/>
      <c r="L104" s="33"/>
      <c r="M104" s="33"/>
      <c r="N104" s="30"/>
      <c r="O104" s="30"/>
      <c r="P104" s="30"/>
      <c r="Q104" s="33"/>
      <c r="R104" s="33"/>
    </row>
    <row r="105" spans="2:18" ht="12.75">
      <c r="B105" s="12"/>
      <c r="C105" s="12"/>
      <c r="D105" s="12"/>
      <c r="E105" s="12"/>
      <c r="F105" s="20"/>
      <c r="G105" s="33"/>
      <c r="H105" s="64"/>
      <c r="I105" s="33"/>
      <c r="J105" s="21"/>
      <c r="K105" s="33"/>
      <c r="L105" s="33"/>
      <c r="M105" s="43"/>
      <c r="N105" s="30"/>
      <c r="O105" s="30"/>
      <c r="P105" s="30"/>
      <c r="Q105" s="33"/>
      <c r="R105" s="33"/>
    </row>
    <row r="106" spans="2:18" ht="12.75">
      <c r="B106" s="12"/>
      <c r="C106" s="12"/>
      <c r="D106" s="12"/>
      <c r="E106" s="12"/>
      <c r="F106" s="20"/>
      <c r="G106" s="33"/>
      <c r="H106" s="64"/>
      <c r="I106" s="33"/>
      <c r="J106" s="21"/>
      <c r="K106" s="33"/>
      <c r="L106" s="33"/>
      <c r="M106" s="33"/>
      <c r="N106" s="30"/>
      <c r="O106" s="30"/>
      <c r="P106" s="30"/>
      <c r="Q106" s="33"/>
      <c r="R106" s="33"/>
    </row>
    <row r="107" spans="2:18" ht="12.75">
      <c r="B107" s="12"/>
      <c r="C107" s="12"/>
      <c r="D107" s="12"/>
      <c r="E107" s="12"/>
      <c r="F107" s="30"/>
      <c r="G107" s="33"/>
      <c r="H107" s="64"/>
      <c r="I107" s="33"/>
      <c r="J107" s="65"/>
      <c r="K107" s="33"/>
      <c r="L107" s="33"/>
      <c r="M107" s="43"/>
      <c r="N107" s="30"/>
      <c r="O107" s="30"/>
      <c r="P107" s="30"/>
      <c r="Q107" s="33"/>
      <c r="R107" s="33"/>
    </row>
    <row r="108" spans="2:18" ht="12.75">
      <c r="B108" s="12"/>
      <c r="C108" s="12"/>
      <c r="D108" s="12"/>
      <c r="E108" s="12"/>
      <c r="F108" s="20"/>
      <c r="G108" s="33"/>
      <c r="H108" s="64"/>
      <c r="I108" s="33"/>
      <c r="J108" s="64"/>
      <c r="K108" s="33"/>
      <c r="L108" s="33"/>
      <c r="M108" s="43"/>
      <c r="N108" s="30"/>
      <c r="O108" s="30"/>
      <c r="P108" s="30"/>
      <c r="Q108" s="33"/>
      <c r="R108" s="33"/>
    </row>
    <row r="109" spans="2:18" ht="12.75">
      <c r="B109" s="12"/>
      <c r="C109" s="12"/>
      <c r="D109" s="12"/>
      <c r="E109" s="12"/>
      <c r="F109" s="30"/>
      <c r="G109" s="33"/>
      <c r="H109" s="64"/>
      <c r="I109" s="33"/>
      <c r="J109" s="64"/>
      <c r="K109" s="33"/>
      <c r="L109" s="33"/>
      <c r="M109" s="43"/>
      <c r="N109" s="30"/>
      <c r="O109" s="30"/>
      <c r="P109" s="30"/>
      <c r="Q109" s="33"/>
      <c r="R109" s="33"/>
    </row>
    <row r="110" spans="2:18" ht="12.75">
      <c r="B110" s="12"/>
      <c r="C110" s="12"/>
      <c r="D110" s="12"/>
      <c r="E110" s="12"/>
      <c r="F110" s="30"/>
      <c r="G110" s="33"/>
      <c r="H110" s="64"/>
      <c r="I110" s="33"/>
      <c r="J110" s="64"/>
      <c r="K110" s="33"/>
      <c r="L110" s="33"/>
      <c r="M110" s="43"/>
      <c r="N110" s="30"/>
      <c r="O110" s="30"/>
      <c r="P110" s="30"/>
      <c r="Q110" s="33"/>
      <c r="R110" s="33"/>
    </row>
    <row r="111" spans="2:18" ht="12.75">
      <c r="B111" s="12"/>
      <c r="C111" s="29"/>
      <c r="D111" s="12"/>
      <c r="E111" s="12"/>
      <c r="F111" s="30"/>
      <c r="G111" s="33"/>
      <c r="H111" s="64"/>
      <c r="I111" s="33"/>
      <c r="J111" s="64"/>
      <c r="K111" s="33"/>
      <c r="L111" s="33"/>
      <c r="M111" s="43"/>
      <c r="N111" s="30"/>
      <c r="O111" s="30"/>
      <c r="P111" s="30"/>
      <c r="Q111" s="33"/>
      <c r="R111" s="33"/>
    </row>
    <row r="112" spans="2:18" ht="12.75">
      <c r="B112" s="12"/>
      <c r="C112" s="12"/>
      <c r="D112" s="12"/>
      <c r="E112" s="12"/>
      <c r="F112" s="30"/>
      <c r="G112" s="33"/>
      <c r="H112" s="64"/>
      <c r="I112" s="33"/>
      <c r="J112" s="64"/>
      <c r="K112" s="33"/>
      <c r="L112" s="33"/>
      <c r="M112" s="43"/>
      <c r="N112" s="30"/>
      <c r="O112" s="30"/>
      <c r="P112" s="30"/>
      <c r="Q112" s="33"/>
      <c r="R112" s="33"/>
    </row>
    <row r="113" spans="2:18" ht="12.75">
      <c r="B113" s="12"/>
      <c r="C113" s="12"/>
      <c r="D113" s="12"/>
      <c r="E113" s="12"/>
      <c r="F113" s="30"/>
      <c r="G113" s="33"/>
      <c r="H113" s="64"/>
      <c r="I113" s="33"/>
      <c r="J113" s="27"/>
      <c r="K113" s="33"/>
      <c r="L113" s="33"/>
      <c r="M113" s="33"/>
      <c r="N113" s="30"/>
      <c r="O113" s="30"/>
      <c r="P113" s="30"/>
      <c r="Q113" s="33"/>
      <c r="R113" s="33"/>
    </row>
    <row r="114" spans="2:18" ht="12.75">
      <c r="B114" s="12"/>
      <c r="C114" s="12"/>
      <c r="D114" s="12"/>
      <c r="E114" s="12"/>
      <c r="F114" s="30"/>
      <c r="G114" s="33"/>
      <c r="H114" s="64"/>
      <c r="I114" s="33"/>
      <c r="J114" s="65"/>
      <c r="K114" s="33"/>
      <c r="L114" s="33"/>
      <c r="M114" s="43"/>
      <c r="N114" s="30"/>
      <c r="O114" s="30"/>
      <c r="P114" s="30"/>
      <c r="Q114" s="33"/>
      <c r="R114" s="33"/>
    </row>
    <row r="115" spans="2:18" ht="12.75">
      <c r="B115" s="12"/>
      <c r="C115" s="12"/>
      <c r="D115" s="12"/>
      <c r="E115" s="12"/>
      <c r="F115" s="64"/>
      <c r="G115" s="33"/>
      <c r="H115" s="64"/>
      <c r="I115" s="33"/>
      <c r="J115" s="27"/>
      <c r="K115" s="33"/>
      <c r="L115" s="33"/>
      <c r="M115" s="33"/>
      <c r="N115" s="30"/>
      <c r="O115" s="30"/>
      <c r="P115" s="30"/>
      <c r="Q115" s="33"/>
      <c r="R115" s="33"/>
    </row>
    <row r="116" spans="2:18" ht="12.75">
      <c r="B116" s="12"/>
      <c r="C116" s="12"/>
      <c r="D116" s="12"/>
      <c r="E116" s="12"/>
      <c r="F116" s="64"/>
      <c r="G116" s="33"/>
      <c r="H116" s="64"/>
      <c r="I116" s="33"/>
      <c r="J116" s="27"/>
      <c r="K116" s="33"/>
      <c r="L116" s="33"/>
      <c r="M116" s="33"/>
      <c r="N116" s="30"/>
      <c r="O116" s="30"/>
      <c r="P116" s="30"/>
      <c r="Q116" s="33"/>
      <c r="R116" s="33"/>
    </row>
    <row r="117" spans="2:18" ht="12.75">
      <c r="B117" s="12"/>
      <c r="C117" s="12"/>
      <c r="D117" s="12"/>
      <c r="E117" s="12"/>
      <c r="F117" s="64"/>
      <c r="G117" s="33"/>
      <c r="H117" s="64"/>
      <c r="I117" s="33"/>
      <c r="J117" s="27"/>
      <c r="K117" s="33"/>
      <c r="L117" s="33"/>
      <c r="M117" s="33"/>
      <c r="N117" s="30"/>
      <c r="O117" s="30"/>
      <c r="P117" s="30"/>
      <c r="Q117" s="33"/>
      <c r="R117" s="33"/>
    </row>
    <row r="118" spans="2:18" ht="12.75">
      <c r="B118" s="12"/>
      <c r="C118" s="12"/>
      <c r="D118" s="12"/>
      <c r="E118" s="12"/>
      <c r="F118" s="27"/>
      <c r="G118" s="33"/>
      <c r="H118" s="64"/>
      <c r="I118" s="33"/>
      <c r="J118" s="27"/>
      <c r="K118" s="33"/>
      <c r="L118" s="33"/>
      <c r="M118" s="33"/>
      <c r="N118" s="30"/>
      <c r="O118" s="30"/>
      <c r="P118" s="30"/>
      <c r="Q118" s="33"/>
      <c r="R118" s="33"/>
    </row>
    <row r="119" spans="2:18" ht="12.75">
      <c r="B119" s="12"/>
      <c r="C119" s="12"/>
      <c r="D119" s="12"/>
      <c r="E119" s="12"/>
      <c r="F119" s="27"/>
      <c r="G119" s="33"/>
      <c r="H119" s="64"/>
      <c r="I119" s="33"/>
      <c r="J119" s="64"/>
      <c r="K119" s="33"/>
      <c r="L119" s="33"/>
      <c r="M119" s="33"/>
      <c r="N119" s="30"/>
      <c r="O119" s="30"/>
      <c r="P119" s="30"/>
      <c r="Q119" s="33"/>
      <c r="R119" s="33"/>
    </row>
    <row r="120" spans="2:18" ht="12.75">
      <c r="B120" s="12"/>
      <c r="C120" s="12"/>
      <c r="D120" s="12"/>
      <c r="E120" s="12"/>
      <c r="F120" s="30"/>
      <c r="G120" s="33"/>
      <c r="H120" s="64"/>
      <c r="I120" s="33"/>
      <c r="J120" s="65"/>
      <c r="K120" s="33"/>
      <c r="L120" s="33"/>
      <c r="M120" s="43"/>
      <c r="N120" s="30"/>
      <c r="O120" s="30"/>
      <c r="P120" s="30"/>
      <c r="Q120" s="33"/>
      <c r="R120" s="33"/>
    </row>
    <row r="121" spans="4:5" ht="12.75">
      <c r="D121" s="12"/>
      <c r="E121" s="12"/>
    </row>
    <row r="122" spans="1:18" ht="12.75">
      <c r="A122" s="30"/>
      <c r="B122" s="12"/>
      <c r="C122" s="12"/>
      <c r="D122" s="12"/>
      <c r="E122" s="12"/>
      <c r="F122" s="30"/>
      <c r="G122" s="71"/>
      <c r="H122" s="71"/>
      <c r="I122" s="71"/>
      <c r="J122" s="71"/>
      <c r="K122" s="71"/>
      <c r="L122" s="71"/>
      <c r="M122" s="43"/>
      <c r="N122" s="30"/>
      <c r="O122" s="30"/>
      <c r="P122" s="30"/>
      <c r="Q122" s="30"/>
      <c r="R122" s="33"/>
    </row>
    <row r="123" spans="1:18" ht="12.75">
      <c r="A123" s="30"/>
      <c r="B123" s="12"/>
      <c r="C123" s="12"/>
      <c r="D123" s="12"/>
      <c r="E123" s="12"/>
      <c r="F123" s="30"/>
      <c r="G123" s="71"/>
      <c r="H123" s="71"/>
      <c r="I123" s="71"/>
      <c r="J123" s="71"/>
      <c r="K123" s="71"/>
      <c r="L123" s="71"/>
      <c r="M123" s="43"/>
      <c r="N123" s="30"/>
      <c r="O123" s="30"/>
      <c r="P123" s="30"/>
      <c r="Q123" s="30"/>
      <c r="R123" s="3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70"/>
  <sheetViews>
    <sheetView workbookViewId="0" topLeftCell="B1">
      <selection activeCell="E1" sqref="E1"/>
    </sheetView>
  </sheetViews>
  <sheetFormatPr defaultColWidth="9.140625" defaultRowHeight="12.75"/>
  <cols>
    <col min="1" max="1" width="9.140625" style="91" hidden="1" customWidth="1"/>
    <col min="2" max="2" width="22.28125" style="91" customWidth="1"/>
    <col min="3" max="3" width="4.28125" style="91" customWidth="1"/>
    <col min="4" max="4" width="12.00390625" style="91" customWidth="1"/>
    <col min="5" max="5" width="2.00390625" style="91" customWidth="1"/>
    <col min="6" max="6" width="12.00390625" style="91" bestFit="1" customWidth="1"/>
    <col min="7" max="7" width="2.00390625" style="91" customWidth="1"/>
    <col min="8" max="8" width="12.00390625" style="91" bestFit="1" customWidth="1"/>
    <col min="9" max="9" width="2.00390625" style="91" customWidth="1"/>
    <col min="10" max="10" width="12.00390625" style="91" bestFit="1" customWidth="1"/>
    <col min="11" max="11" width="2.00390625" style="91" customWidth="1"/>
    <col min="12" max="12" width="12.00390625" style="91" customWidth="1"/>
    <col min="13" max="13" width="2.28125" style="91" customWidth="1"/>
    <col min="14" max="14" width="12.00390625" style="91" bestFit="1" customWidth="1"/>
    <col min="15" max="15" width="1.57421875" style="91" customWidth="1"/>
    <col min="16" max="16" width="12.00390625" style="91" bestFit="1" customWidth="1"/>
    <col min="17" max="17" width="2.57421875" style="91" customWidth="1"/>
    <col min="18" max="18" width="12.00390625" style="91" bestFit="1" customWidth="1"/>
    <col min="19" max="19" width="2.421875" style="91" customWidth="1"/>
    <col min="20" max="20" width="12.00390625" style="91" bestFit="1" customWidth="1"/>
    <col min="21" max="21" width="2.140625" style="91" customWidth="1"/>
    <col min="22" max="22" width="12.00390625" style="91" bestFit="1" customWidth="1"/>
    <col min="23" max="23" width="2.00390625" style="91" customWidth="1"/>
    <col min="24" max="24" width="12.00390625" style="91" bestFit="1" customWidth="1"/>
    <col min="25" max="25" width="1.57421875" style="91" customWidth="1"/>
    <col min="26" max="26" width="12.00390625" style="91" bestFit="1" customWidth="1"/>
    <col min="27" max="27" width="2.28125" style="91" customWidth="1"/>
    <col min="28" max="28" width="12.00390625" style="91" bestFit="1" customWidth="1"/>
    <col min="29" max="29" width="2.140625" style="91" customWidth="1"/>
    <col min="30" max="30" width="12.00390625" style="91" bestFit="1" customWidth="1"/>
    <col min="31" max="31" width="2.00390625" style="91" customWidth="1"/>
    <col min="32" max="32" width="12.00390625" style="91" bestFit="1" customWidth="1"/>
    <col min="33" max="33" width="2.00390625" style="91" customWidth="1"/>
    <col min="34" max="34" width="12.00390625" style="91" bestFit="1" customWidth="1"/>
    <col min="35" max="35" width="2.421875" style="91" customWidth="1"/>
    <col min="36" max="36" width="12.00390625" style="91" bestFit="1" customWidth="1"/>
    <col min="37" max="37" width="2.28125" style="91" customWidth="1"/>
    <col min="38" max="38" width="12.00390625" style="91" bestFit="1" customWidth="1"/>
    <col min="39" max="39" width="2.28125" style="91" customWidth="1"/>
    <col min="40" max="40" width="12.00390625" style="91" bestFit="1" customWidth="1"/>
    <col min="41" max="41" width="2.57421875" style="91" customWidth="1"/>
    <col min="42" max="42" width="12.00390625" style="91" bestFit="1" customWidth="1"/>
    <col min="43" max="43" width="2.57421875" style="91" customWidth="1"/>
    <col min="44" max="44" width="12.00390625" style="91" bestFit="1" customWidth="1"/>
    <col min="45" max="45" width="2.421875" style="91" customWidth="1"/>
    <col min="46" max="46" width="12.00390625" style="91" bestFit="1" customWidth="1"/>
    <col min="47" max="47" width="2.421875" style="91" customWidth="1"/>
    <col min="48" max="48" width="12.00390625" style="91" customWidth="1"/>
    <col min="49" max="49" width="3.00390625" style="91" customWidth="1"/>
    <col min="50" max="50" width="12.00390625" style="91" customWidth="1"/>
    <col min="51" max="51" width="3.140625" style="91" customWidth="1"/>
    <col min="52" max="52" width="12.00390625" style="91" customWidth="1"/>
    <col min="53" max="53" width="2.28125" style="91" customWidth="1"/>
    <col min="54" max="54" width="10.8515625" style="91" customWidth="1"/>
    <col min="55" max="55" width="1.8515625" style="91" customWidth="1"/>
    <col min="56" max="56" width="10.8515625" style="91" customWidth="1"/>
    <col min="57" max="57" width="2.57421875" style="91" customWidth="1"/>
    <col min="58" max="58" width="10.421875" style="91" customWidth="1"/>
    <col min="59" max="59" width="2.57421875" style="91" customWidth="1"/>
    <col min="60" max="60" width="12.00390625" style="91" bestFit="1" customWidth="1"/>
    <col min="61" max="16384" width="9.140625" style="91" customWidth="1"/>
  </cols>
  <sheetData>
    <row r="1" ht="12.75">
      <c r="B1" s="19" t="s">
        <v>202</v>
      </c>
    </row>
    <row r="4" spans="2:60" ht="12.75">
      <c r="B4" s="19" t="s">
        <v>134</v>
      </c>
      <c r="F4" s="94" t="s">
        <v>175</v>
      </c>
      <c r="G4" s="94"/>
      <c r="H4" s="94" t="s">
        <v>176</v>
      </c>
      <c r="I4" s="94"/>
      <c r="J4" s="94" t="s">
        <v>177</v>
      </c>
      <c r="K4" s="94"/>
      <c r="L4" s="94" t="s">
        <v>175</v>
      </c>
      <c r="M4" s="94"/>
      <c r="N4" s="94" t="s">
        <v>176</v>
      </c>
      <c r="O4" s="94"/>
      <c r="P4" s="94" t="s">
        <v>177</v>
      </c>
      <c r="Q4" s="94"/>
      <c r="R4" s="94" t="s">
        <v>175</v>
      </c>
      <c r="S4" s="94"/>
      <c r="T4" s="94" t="s">
        <v>176</v>
      </c>
      <c r="U4" s="94"/>
      <c r="V4" s="94" t="s">
        <v>177</v>
      </c>
      <c r="W4" s="94"/>
      <c r="X4" s="94" t="s">
        <v>175</v>
      </c>
      <c r="Y4" s="94"/>
      <c r="Z4" s="94" t="s">
        <v>176</v>
      </c>
      <c r="AA4" s="94"/>
      <c r="AB4" s="94" t="s">
        <v>177</v>
      </c>
      <c r="AC4" s="94"/>
      <c r="AD4" s="94" t="s">
        <v>175</v>
      </c>
      <c r="AE4" s="94"/>
      <c r="AF4" s="94" t="s">
        <v>176</v>
      </c>
      <c r="AG4" s="94"/>
      <c r="AH4" s="94" t="s">
        <v>177</v>
      </c>
      <c r="AI4" s="94"/>
      <c r="AJ4" s="94" t="s">
        <v>175</v>
      </c>
      <c r="AK4" s="94"/>
      <c r="AL4" s="94" t="s">
        <v>176</v>
      </c>
      <c r="AM4" s="94"/>
      <c r="AN4" s="94" t="s">
        <v>177</v>
      </c>
      <c r="AO4" s="94"/>
      <c r="AP4" s="94" t="s">
        <v>175</v>
      </c>
      <c r="AQ4" s="94"/>
      <c r="AR4" s="94" t="s">
        <v>176</v>
      </c>
      <c r="AS4" s="94"/>
      <c r="AT4" s="94" t="s">
        <v>177</v>
      </c>
      <c r="AU4" s="94"/>
      <c r="AV4" s="94" t="s">
        <v>175</v>
      </c>
      <c r="AW4" s="94"/>
      <c r="AX4" s="94" t="s">
        <v>176</v>
      </c>
      <c r="AY4" s="94"/>
      <c r="AZ4" s="94" t="s">
        <v>177</v>
      </c>
      <c r="BA4" s="94"/>
      <c r="BB4" s="94" t="s">
        <v>175</v>
      </c>
      <c r="BC4" s="94"/>
      <c r="BD4" s="94" t="s">
        <v>176</v>
      </c>
      <c r="BE4" s="94"/>
      <c r="BF4" s="94" t="s">
        <v>177</v>
      </c>
      <c r="BG4" s="94"/>
      <c r="BH4" s="94" t="s">
        <v>47</v>
      </c>
    </row>
    <row r="6" spans="2:60" ht="12.75">
      <c r="B6" s="91" t="s">
        <v>239</v>
      </c>
      <c r="F6" s="91" t="s">
        <v>241</v>
      </c>
      <c r="H6" s="91" t="s">
        <v>241</v>
      </c>
      <c r="J6" s="91" t="s">
        <v>241</v>
      </c>
      <c r="L6" s="91" t="s">
        <v>243</v>
      </c>
      <c r="N6" s="91" t="s">
        <v>243</v>
      </c>
      <c r="P6" s="91" t="s">
        <v>243</v>
      </c>
      <c r="R6" s="91" t="s">
        <v>245</v>
      </c>
      <c r="T6" s="91" t="s">
        <v>245</v>
      </c>
      <c r="V6" s="91" t="s">
        <v>245</v>
      </c>
      <c r="X6" s="91" t="s">
        <v>246</v>
      </c>
      <c r="Z6" s="91" t="s">
        <v>246</v>
      </c>
      <c r="AB6" s="91" t="s">
        <v>246</v>
      </c>
      <c r="AD6" s="91" t="s">
        <v>248</v>
      </c>
      <c r="AF6" s="91" t="s">
        <v>248</v>
      </c>
      <c r="AH6" s="91" t="s">
        <v>248</v>
      </c>
      <c r="AJ6" s="91" t="s">
        <v>249</v>
      </c>
      <c r="AL6" s="91" t="s">
        <v>249</v>
      </c>
      <c r="AN6" s="91" t="s">
        <v>249</v>
      </c>
      <c r="AP6" s="91" t="s">
        <v>251</v>
      </c>
      <c r="AR6" s="91" t="s">
        <v>251</v>
      </c>
      <c r="AT6" s="91" t="s">
        <v>251</v>
      </c>
      <c r="BB6" s="91" t="s">
        <v>252</v>
      </c>
      <c r="BD6" s="91" t="s">
        <v>252</v>
      </c>
      <c r="BF6" s="91" t="s">
        <v>252</v>
      </c>
      <c r="BH6" s="91" t="s">
        <v>252</v>
      </c>
    </row>
    <row r="7" spans="2:60" ht="12.75">
      <c r="B7" s="91" t="s">
        <v>240</v>
      </c>
      <c r="F7" s="91" t="s">
        <v>242</v>
      </c>
      <c r="H7" s="91" t="s">
        <v>242</v>
      </c>
      <c r="J7" s="91" t="s">
        <v>242</v>
      </c>
      <c r="L7" s="91" t="s">
        <v>244</v>
      </c>
      <c r="N7" s="91" t="s">
        <v>244</v>
      </c>
      <c r="P7" s="91" t="s">
        <v>244</v>
      </c>
      <c r="R7" s="91" t="s">
        <v>244</v>
      </c>
      <c r="T7" s="91" t="s">
        <v>244</v>
      </c>
      <c r="V7" s="91" t="s">
        <v>244</v>
      </c>
      <c r="X7" s="91" t="s">
        <v>247</v>
      </c>
      <c r="Z7" s="91" t="s">
        <v>247</v>
      </c>
      <c r="AB7" s="91" t="s">
        <v>247</v>
      </c>
      <c r="AD7" s="91" t="s">
        <v>244</v>
      </c>
      <c r="AF7" s="91" t="s">
        <v>244</v>
      </c>
      <c r="AH7" s="91" t="s">
        <v>244</v>
      </c>
      <c r="AJ7" s="91" t="s">
        <v>250</v>
      </c>
      <c r="AL7" s="91" t="s">
        <v>250</v>
      </c>
      <c r="AN7" s="91" t="s">
        <v>250</v>
      </c>
      <c r="AP7" s="91" t="s">
        <v>244</v>
      </c>
      <c r="AR7" s="91" t="s">
        <v>244</v>
      </c>
      <c r="AT7" s="91" t="s">
        <v>244</v>
      </c>
      <c r="BB7" s="91" t="s">
        <v>25</v>
      </c>
      <c r="BD7" s="91" t="s">
        <v>25</v>
      </c>
      <c r="BF7" s="91" t="s">
        <v>25</v>
      </c>
      <c r="BH7" s="91" t="s">
        <v>25</v>
      </c>
    </row>
    <row r="8" spans="2:60" ht="12.75">
      <c r="B8" s="91" t="s">
        <v>254</v>
      </c>
      <c r="AV8" s="91" t="s">
        <v>61</v>
      </c>
      <c r="AX8" s="91" t="s">
        <v>61</v>
      </c>
      <c r="AZ8" s="91" t="s">
        <v>61</v>
      </c>
      <c r="BB8" s="91" t="s">
        <v>25</v>
      </c>
      <c r="BD8" s="91" t="s">
        <v>25</v>
      </c>
      <c r="BF8" s="91" t="s">
        <v>25</v>
      </c>
      <c r="BH8" s="91" t="s">
        <v>25</v>
      </c>
    </row>
    <row r="9" spans="2:60" ht="12.75">
      <c r="B9" s="91" t="s">
        <v>48</v>
      </c>
      <c r="F9" s="91" t="s">
        <v>179</v>
      </c>
      <c r="H9" s="91" t="s">
        <v>179</v>
      </c>
      <c r="J9" s="91" t="s">
        <v>179</v>
      </c>
      <c r="L9" s="91" t="s">
        <v>180</v>
      </c>
      <c r="N9" s="91" t="s">
        <v>180</v>
      </c>
      <c r="P9" s="91" t="s">
        <v>180</v>
      </c>
      <c r="R9" s="91" t="s">
        <v>181</v>
      </c>
      <c r="T9" s="91" t="s">
        <v>181</v>
      </c>
      <c r="V9" s="91" t="s">
        <v>181</v>
      </c>
      <c r="X9" s="91" t="s">
        <v>182</v>
      </c>
      <c r="Z9" s="91" t="s">
        <v>182</v>
      </c>
      <c r="AB9" s="91" t="s">
        <v>182</v>
      </c>
      <c r="AD9" s="91" t="s">
        <v>183</v>
      </c>
      <c r="AF9" s="91" t="s">
        <v>183</v>
      </c>
      <c r="AH9" s="91" t="s">
        <v>183</v>
      </c>
      <c r="AJ9" s="91" t="s">
        <v>184</v>
      </c>
      <c r="AL9" s="91" t="s">
        <v>184</v>
      </c>
      <c r="AN9" s="91" t="s">
        <v>184</v>
      </c>
      <c r="AP9" s="91" t="s">
        <v>185</v>
      </c>
      <c r="AR9" s="91" t="s">
        <v>185</v>
      </c>
      <c r="AT9" s="91" t="s">
        <v>185</v>
      </c>
      <c r="BB9" s="91" t="s">
        <v>25</v>
      </c>
      <c r="BD9" s="91" t="s">
        <v>25</v>
      </c>
      <c r="BF9" s="91" t="s">
        <v>25</v>
      </c>
      <c r="BH9" s="91" t="s">
        <v>25</v>
      </c>
    </row>
    <row r="10" spans="1:53" ht="12.75">
      <c r="A10" s="91" t="s">
        <v>134</v>
      </c>
      <c r="B10" s="91" t="s">
        <v>186</v>
      </c>
      <c r="D10" s="91" t="s">
        <v>53</v>
      </c>
      <c r="F10" s="92">
        <v>1719.84</v>
      </c>
      <c r="G10" s="92"/>
      <c r="H10" s="92">
        <v>1727.7</v>
      </c>
      <c r="I10" s="92"/>
      <c r="J10" s="92">
        <v>1726.17</v>
      </c>
      <c r="K10" s="92"/>
      <c r="L10" s="92"/>
      <c r="M10" s="92"/>
      <c r="N10" s="92">
        <v>3713.89</v>
      </c>
      <c r="O10" s="92"/>
      <c r="P10" s="92"/>
      <c r="Q10" s="92"/>
      <c r="R10" s="92">
        <v>1991.41</v>
      </c>
      <c r="S10" s="92"/>
      <c r="T10" s="92">
        <v>2078.99</v>
      </c>
      <c r="U10" s="92"/>
      <c r="V10" s="92">
        <v>1919.68</v>
      </c>
      <c r="W10" s="92"/>
      <c r="X10" s="92">
        <v>4825</v>
      </c>
      <c r="Y10" s="92"/>
      <c r="Z10" s="92">
        <v>2028</v>
      </c>
      <c r="AA10" s="92"/>
      <c r="AB10" s="92">
        <v>1289</v>
      </c>
      <c r="AC10" s="92"/>
      <c r="AD10" s="92">
        <v>691.7</v>
      </c>
      <c r="AE10" s="92"/>
      <c r="AF10" s="92">
        <v>746.91</v>
      </c>
      <c r="AG10" s="92"/>
      <c r="AH10" s="92">
        <v>749.45</v>
      </c>
      <c r="AI10" s="92"/>
      <c r="AJ10" s="92">
        <v>3720.5</v>
      </c>
      <c r="AK10" s="92"/>
      <c r="AL10" s="92">
        <v>3343.3</v>
      </c>
      <c r="AM10" s="92"/>
      <c r="AN10" s="92">
        <v>3291.1</v>
      </c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</row>
    <row r="11" spans="1:53" ht="12.75">
      <c r="A11" s="91" t="s">
        <v>134</v>
      </c>
      <c r="B11" s="91" t="s">
        <v>187</v>
      </c>
      <c r="D11" s="91" t="s">
        <v>129</v>
      </c>
      <c r="F11" s="92">
        <v>9060</v>
      </c>
      <c r="G11" s="92"/>
      <c r="H11" s="92">
        <v>9129</v>
      </c>
      <c r="I11" s="92"/>
      <c r="J11" s="92">
        <v>8925</v>
      </c>
      <c r="K11" s="92"/>
      <c r="L11" s="92">
        <v>1391</v>
      </c>
      <c r="M11" s="92"/>
      <c r="N11" s="92">
        <v>1738</v>
      </c>
      <c r="O11" s="92"/>
      <c r="P11" s="92">
        <v>1333</v>
      </c>
      <c r="Q11" s="92"/>
      <c r="R11" s="92">
        <v>7678</v>
      </c>
      <c r="S11" s="92"/>
      <c r="T11" s="92">
        <v>8484</v>
      </c>
      <c r="U11" s="92"/>
      <c r="V11" s="92">
        <v>8589</v>
      </c>
      <c r="W11" s="92"/>
      <c r="X11" s="92">
        <v>872</v>
      </c>
      <c r="Y11" s="92"/>
      <c r="Z11" s="92">
        <v>668</v>
      </c>
      <c r="AA11" s="92"/>
      <c r="AB11" s="92">
        <v>718</v>
      </c>
      <c r="AC11" s="92"/>
      <c r="AD11" s="92">
        <v>8607</v>
      </c>
      <c r="AE11" s="92"/>
      <c r="AF11" s="92">
        <v>9396</v>
      </c>
      <c r="AG11" s="92"/>
      <c r="AH11" s="92">
        <v>9367</v>
      </c>
      <c r="AI11" s="92"/>
      <c r="AJ11" s="92">
        <v>7944</v>
      </c>
      <c r="AK11" s="92"/>
      <c r="AL11" s="92">
        <v>7821</v>
      </c>
      <c r="AM11" s="92"/>
      <c r="AN11" s="92">
        <v>7820</v>
      </c>
      <c r="AO11" s="92"/>
      <c r="AP11" s="92">
        <v>14332</v>
      </c>
      <c r="AQ11" s="92"/>
      <c r="AR11" s="92">
        <v>14289</v>
      </c>
      <c r="AS11" s="92"/>
      <c r="AT11" s="92">
        <v>14490</v>
      </c>
      <c r="AU11" s="92"/>
      <c r="AV11" s="92"/>
      <c r="AW11" s="92"/>
      <c r="AX11" s="92"/>
      <c r="AY11" s="92"/>
      <c r="AZ11" s="92"/>
      <c r="BA11" s="92"/>
    </row>
    <row r="12" spans="2:53" ht="12.75">
      <c r="B12" s="91" t="s">
        <v>253</v>
      </c>
      <c r="D12" s="91" t="s">
        <v>130</v>
      </c>
      <c r="F12" s="93">
        <f>F10*F11/1000000</f>
        <v>15.581750399999999</v>
      </c>
      <c r="G12" s="92"/>
      <c r="H12" s="93">
        <f>H10*H11/1000000</f>
        <v>15.7721733</v>
      </c>
      <c r="I12" s="92"/>
      <c r="J12" s="93">
        <f>J10*J11/1000000</f>
        <v>15.40606725</v>
      </c>
      <c r="K12" s="92"/>
      <c r="L12" s="93"/>
      <c r="M12" s="92"/>
      <c r="N12" s="93">
        <f>N10*N11/1000000</f>
        <v>6.45474082</v>
      </c>
      <c r="O12" s="92"/>
      <c r="P12" s="93">
        <f>P10*P11/1000000</f>
        <v>0</v>
      </c>
      <c r="Q12" s="92"/>
      <c r="R12" s="93">
        <f>R10*R11/1000000</f>
        <v>15.29004598</v>
      </c>
      <c r="S12" s="92"/>
      <c r="T12" s="93">
        <f>T10*T11/1000000</f>
        <v>17.638151159999996</v>
      </c>
      <c r="U12" s="92"/>
      <c r="V12" s="93">
        <f>V10*V11/1000000</f>
        <v>16.488131520000003</v>
      </c>
      <c r="W12" s="92"/>
      <c r="X12" s="93">
        <f>X10*X11/1000000</f>
        <v>4.2074</v>
      </c>
      <c r="Y12" s="92"/>
      <c r="Z12" s="93">
        <f>Z10*Z11/1000000</f>
        <v>1.354704</v>
      </c>
      <c r="AA12" s="92"/>
      <c r="AB12" s="93">
        <f>AB10*AB11/1000000</f>
        <v>0.925502</v>
      </c>
      <c r="AC12" s="92"/>
      <c r="AD12" s="93">
        <f>AD10*AD11/1000000</f>
        <v>5.953461900000001</v>
      </c>
      <c r="AE12" s="92"/>
      <c r="AF12" s="93">
        <f>AF10*AF11/1000000</f>
        <v>7.017966359999999</v>
      </c>
      <c r="AG12" s="92"/>
      <c r="AH12" s="93">
        <f>AH10*AH11/1000000</f>
        <v>7.020098150000001</v>
      </c>
      <c r="AI12" s="92"/>
      <c r="AJ12" s="93">
        <f>AJ10*AJ11/1000000</f>
        <v>29.555652</v>
      </c>
      <c r="AK12" s="92"/>
      <c r="AL12" s="93">
        <f>AL10*AL11/1000000</f>
        <v>26.1479493</v>
      </c>
      <c r="AM12" s="92"/>
      <c r="AN12" s="93">
        <f>AN10*AN11/1000000</f>
        <v>25.736402</v>
      </c>
      <c r="AO12" s="92"/>
      <c r="AP12" s="93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</row>
    <row r="13" spans="1:53" ht="12.75">
      <c r="A13" s="91" t="s">
        <v>134</v>
      </c>
      <c r="B13" s="91" t="s">
        <v>49</v>
      </c>
      <c r="D13" s="91" t="s">
        <v>188</v>
      </c>
      <c r="F13" s="92">
        <v>0.02</v>
      </c>
      <c r="G13" s="92"/>
      <c r="H13" s="92">
        <v>0.02</v>
      </c>
      <c r="I13" s="92"/>
      <c r="J13" s="92">
        <v>0.02</v>
      </c>
      <c r="K13" s="92"/>
      <c r="L13" s="92"/>
      <c r="M13" s="92"/>
      <c r="N13" s="92">
        <v>0.01</v>
      </c>
      <c r="O13" s="92"/>
      <c r="P13" s="92"/>
      <c r="Q13" s="92"/>
      <c r="R13" s="92">
        <v>0.01</v>
      </c>
      <c r="S13" s="92"/>
      <c r="T13" s="92">
        <v>0.01</v>
      </c>
      <c r="U13" s="92"/>
      <c r="V13" s="92">
        <v>0.01</v>
      </c>
      <c r="W13" s="92"/>
      <c r="X13" s="92">
        <v>61.14</v>
      </c>
      <c r="Y13" s="92"/>
      <c r="Z13" s="92">
        <v>63.46</v>
      </c>
      <c r="AA13" s="92"/>
      <c r="AB13" s="92">
        <v>62.99</v>
      </c>
      <c r="AC13" s="92"/>
      <c r="AD13" s="92">
        <v>0.01</v>
      </c>
      <c r="AE13" s="92"/>
      <c r="AF13" s="92">
        <v>0.01</v>
      </c>
      <c r="AG13" s="92"/>
      <c r="AH13" s="92">
        <v>0.01</v>
      </c>
      <c r="AI13" s="92"/>
      <c r="AJ13" s="92">
        <v>49.6</v>
      </c>
      <c r="AK13" s="92"/>
      <c r="AL13" s="92">
        <v>50.3</v>
      </c>
      <c r="AM13" s="92"/>
      <c r="AN13" s="92">
        <v>50.4</v>
      </c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</row>
    <row r="14" spans="1:53" ht="12.75">
      <c r="A14" s="91" t="s">
        <v>134</v>
      </c>
      <c r="B14" s="91" t="s">
        <v>128</v>
      </c>
      <c r="D14" s="91" t="s">
        <v>189</v>
      </c>
      <c r="F14" s="92">
        <v>200000</v>
      </c>
      <c r="G14" s="92"/>
      <c r="H14" s="92">
        <v>46000</v>
      </c>
      <c r="I14" s="92"/>
      <c r="J14" s="92">
        <v>52000</v>
      </c>
      <c r="K14" s="92"/>
      <c r="L14" s="92"/>
      <c r="M14" s="92"/>
      <c r="N14" s="92">
        <v>450</v>
      </c>
      <c r="O14" s="92"/>
      <c r="P14" s="92"/>
      <c r="Q14" s="92"/>
      <c r="R14" s="92">
        <v>1500</v>
      </c>
      <c r="S14" s="92"/>
      <c r="T14" s="92">
        <v>2700</v>
      </c>
      <c r="U14" s="92"/>
      <c r="V14" s="92">
        <v>3100</v>
      </c>
      <c r="W14" s="92"/>
      <c r="X14" s="92">
        <v>620</v>
      </c>
      <c r="Y14" s="92"/>
      <c r="Z14" s="92">
        <v>1300</v>
      </c>
      <c r="AA14" s="92"/>
      <c r="AB14" s="92">
        <v>1100</v>
      </c>
      <c r="AC14" s="92"/>
      <c r="AD14" s="92">
        <v>340000</v>
      </c>
      <c r="AE14" s="92"/>
      <c r="AF14" s="92">
        <v>21000</v>
      </c>
      <c r="AG14" s="92"/>
      <c r="AH14" s="92">
        <v>23000</v>
      </c>
      <c r="AI14" s="92"/>
      <c r="AJ14" s="92">
        <v>64000</v>
      </c>
      <c r="AK14" s="92"/>
      <c r="AL14" s="92">
        <v>63000</v>
      </c>
      <c r="AM14" s="92"/>
      <c r="AN14" s="92">
        <v>63000</v>
      </c>
      <c r="AO14" s="92"/>
      <c r="AP14" s="92">
        <v>280</v>
      </c>
      <c r="AQ14" s="92"/>
      <c r="AR14" s="92">
        <v>180</v>
      </c>
      <c r="AS14" s="92"/>
      <c r="AT14" s="92">
        <v>190</v>
      </c>
      <c r="AU14" s="92"/>
      <c r="AV14" s="92"/>
      <c r="AW14" s="92"/>
      <c r="AX14" s="92"/>
      <c r="AY14" s="92"/>
      <c r="AZ14" s="92"/>
      <c r="BA14" s="92"/>
    </row>
    <row r="15" spans="2:62" ht="12.75">
      <c r="B15" s="91" t="s">
        <v>49</v>
      </c>
      <c r="D15" s="91" t="s">
        <v>53</v>
      </c>
      <c r="F15" s="93">
        <f>F10*F13/100</f>
        <v>0.343968</v>
      </c>
      <c r="G15" s="93"/>
      <c r="H15" s="93">
        <f>H10*H13/100</f>
        <v>0.34554</v>
      </c>
      <c r="I15" s="93"/>
      <c r="J15" s="93">
        <f>J10*J13/100</f>
        <v>0.34523400000000004</v>
      </c>
      <c r="K15" s="93"/>
      <c r="L15" s="92"/>
      <c r="M15" s="92"/>
      <c r="N15" s="93">
        <f>N10*N13/100</f>
        <v>0.37138899999999997</v>
      </c>
      <c r="O15" s="93"/>
      <c r="P15" s="92"/>
      <c r="Q15" s="92"/>
      <c r="R15" s="93">
        <f>R10*R13/100</f>
        <v>0.199141</v>
      </c>
      <c r="S15" s="93"/>
      <c r="T15" s="93">
        <f>T10*T13/100</f>
        <v>0.207899</v>
      </c>
      <c r="U15" s="93"/>
      <c r="V15" s="93">
        <f>V10*V13/100</f>
        <v>0.191968</v>
      </c>
      <c r="W15" s="93"/>
      <c r="X15" s="93">
        <f>X10*X13/100</f>
        <v>2950.005</v>
      </c>
      <c r="Y15" s="93"/>
      <c r="Z15" s="93">
        <f>Z10*Z13/100</f>
        <v>1286.9688</v>
      </c>
      <c r="AA15" s="93"/>
      <c r="AB15" s="93">
        <f>AB10*AB13/100</f>
        <v>811.9411</v>
      </c>
      <c r="AC15" s="93"/>
      <c r="AD15" s="93">
        <f>AD10*AD13/100</f>
        <v>0.06917000000000001</v>
      </c>
      <c r="AE15" s="93"/>
      <c r="AF15" s="93">
        <f>AF10*AF13/100</f>
        <v>0.07469100000000001</v>
      </c>
      <c r="AG15" s="93"/>
      <c r="AH15" s="93">
        <f>AH10*AH13/100</f>
        <v>0.074945</v>
      </c>
      <c r="AI15" s="93"/>
      <c r="AJ15" s="93">
        <f>AJ10*AJ13/100</f>
        <v>1845.3680000000002</v>
      </c>
      <c r="AK15" s="93"/>
      <c r="AL15" s="93">
        <f>AL10*AL13/100</f>
        <v>1681.6798999999999</v>
      </c>
      <c r="AM15" s="93"/>
      <c r="AN15" s="93">
        <f>AN10*AN13/100</f>
        <v>1658.7144</v>
      </c>
      <c r="AO15" s="93"/>
      <c r="AP15" s="93">
        <f>AP10*AP13/100</f>
        <v>0</v>
      </c>
      <c r="AQ15" s="93"/>
      <c r="AR15" s="93">
        <f>AR10*AR13/100</f>
        <v>0</v>
      </c>
      <c r="AS15" s="93"/>
      <c r="AT15" s="93">
        <f>AT10*AT13/100</f>
        <v>0</v>
      </c>
      <c r="AU15" s="93"/>
      <c r="AV15" s="93"/>
      <c r="AW15" s="93"/>
      <c r="AX15" s="93"/>
      <c r="AY15" s="93"/>
      <c r="AZ15" s="93"/>
      <c r="BA15" s="92"/>
      <c r="BB15" s="93">
        <f>F15+L15+R15+X15+AD15+AJ15+AP15</f>
        <v>4795.985279</v>
      </c>
      <c r="BD15" s="93">
        <f>H15+N15+T15+Z15+AF15+AL15+AR15</f>
        <v>2969.6482189999997</v>
      </c>
      <c r="BF15" s="93">
        <f>J15+P15+V15+AB15+AH15+AN15+AT15</f>
        <v>2471.267647</v>
      </c>
      <c r="BG15" s="93"/>
      <c r="BH15" s="91">
        <v>3428.21</v>
      </c>
      <c r="BJ15" s="93"/>
    </row>
    <row r="16" spans="2:62" ht="12.75">
      <c r="B16" s="91" t="s">
        <v>128</v>
      </c>
      <c r="D16" s="91" t="s">
        <v>53</v>
      </c>
      <c r="F16" s="93">
        <f>F10*F14/1000000</f>
        <v>343.968</v>
      </c>
      <c r="G16" s="93"/>
      <c r="H16" s="93">
        <f>H10*H14/1000000</f>
        <v>79.4742</v>
      </c>
      <c r="I16" s="93"/>
      <c r="J16" s="93">
        <f>J10*J14/1000000</f>
        <v>89.76084</v>
      </c>
      <c r="K16" s="93"/>
      <c r="L16" s="92"/>
      <c r="M16" s="92"/>
      <c r="N16" s="93">
        <f>N10*N14/1000000</f>
        <v>1.6712505</v>
      </c>
      <c r="O16" s="93"/>
      <c r="P16" s="92"/>
      <c r="Q16" s="92"/>
      <c r="R16" s="93">
        <f>R10*R14/1000000</f>
        <v>2.987115</v>
      </c>
      <c r="S16" s="93"/>
      <c r="T16" s="93">
        <f>T10*T14/1000000</f>
        <v>5.6132729999999995</v>
      </c>
      <c r="U16" s="93"/>
      <c r="V16" s="93">
        <f>V10*V14/1000000</f>
        <v>5.951008</v>
      </c>
      <c r="W16" s="93"/>
      <c r="X16" s="93">
        <f>X10*X14/1000000</f>
        <v>2.9915</v>
      </c>
      <c r="Y16" s="93"/>
      <c r="Z16" s="93">
        <f>Z10*Z14/1000000</f>
        <v>2.6364</v>
      </c>
      <c r="AA16" s="93"/>
      <c r="AB16" s="93">
        <f>AB10*AB14/1000000</f>
        <v>1.4179</v>
      </c>
      <c r="AC16" s="93"/>
      <c r="AD16" s="93">
        <f>AD10*AD14/1000000</f>
        <v>235.17800000000003</v>
      </c>
      <c r="AE16" s="93"/>
      <c r="AF16" s="93">
        <f>AF10*AF14/1000000</f>
        <v>15.68511</v>
      </c>
      <c r="AG16" s="93"/>
      <c r="AH16" s="93">
        <f>AH10*AH14/1000000</f>
        <v>17.23735</v>
      </c>
      <c r="AI16" s="93"/>
      <c r="AJ16" s="93">
        <f>AJ10*AJ14/1000000</f>
        <v>238.112</v>
      </c>
      <c r="AK16" s="93"/>
      <c r="AL16" s="93">
        <f>AL10*AL14/1000000</f>
        <v>210.6279</v>
      </c>
      <c r="AM16" s="93"/>
      <c r="AN16" s="93">
        <f>AN10*AN14/1000000</f>
        <v>207.3393</v>
      </c>
      <c r="AO16" s="93"/>
      <c r="AP16" s="93">
        <f>AP10*AP14/1000000</f>
        <v>0</v>
      </c>
      <c r="AQ16" s="93"/>
      <c r="AR16" s="93">
        <f>AR10*AR14/1000000</f>
        <v>0</v>
      </c>
      <c r="AS16" s="93"/>
      <c r="AT16" s="93">
        <f>AT10*AT14/1000000</f>
        <v>0</v>
      </c>
      <c r="AU16" s="93"/>
      <c r="AV16" s="93"/>
      <c r="AW16" s="93"/>
      <c r="AX16" s="93"/>
      <c r="AY16" s="93"/>
      <c r="AZ16" s="93"/>
      <c r="BA16" s="92"/>
      <c r="BB16" s="93">
        <f>F16+L16+R16+X16+AD16+AJ16+AP16</f>
        <v>823.236615</v>
      </c>
      <c r="BD16" s="93">
        <f>H16+N16+T16+Z16+AF16+AL16+AR16</f>
        <v>315.70813350000003</v>
      </c>
      <c r="BF16" s="93">
        <f>J16+P16+V16+AB16+AH16+AN16+AT16</f>
        <v>321.70639800000004</v>
      </c>
      <c r="BG16" s="93"/>
      <c r="BH16" s="91">
        <v>531.24</v>
      </c>
      <c r="BJ16" s="93"/>
    </row>
    <row r="17" spans="2:58" ht="12.75">
      <c r="B17" s="91" t="s">
        <v>105</v>
      </c>
      <c r="D17" s="91" t="s">
        <v>53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1">
        <v>0.063</v>
      </c>
      <c r="BD17" s="91">
        <v>0.056</v>
      </c>
      <c r="BF17" s="91">
        <v>0.055</v>
      </c>
    </row>
    <row r="18" spans="2:58" ht="12.75">
      <c r="B18" s="91" t="s">
        <v>80</v>
      </c>
      <c r="D18" s="91" t="s">
        <v>53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1">
        <v>0.008</v>
      </c>
      <c r="BD18" s="91">
        <v>0.007</v>
      </c>
      <c r="BF18" s="91">
        <v>0.007</v>
      </c>
    </row>
    <row r="19" spans="2:58" ht="12.75">
      <c r="B19" s="91" t="s">
        <v>85</v>
      </c>
      <c r="D19" s="91" t="s">
        <v>53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1">
        <v>1.239</v>
      </c>
      <c r="BD19" s="91">
        <v>1.113</v>
      </c>
      <c r="BF19" s="91">
        <v>1.096</v>
      </c>
    </row>
    <row r="20" spans="2:58" ht="12.75">
      <c r="B20" s="91" t="s">
        <v>79</v>
      </c>
      <c r="D20" s="91" t="s">
        <v>53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1">
        <v>1.428</v>
      </c>
      <c r="BD20" s="91">
        <v>1.282</v>
      </c>
      <c r="BF20" s="91">
        <v>1.262</v>
      </c>
    </row>
    <row r="21" spans="2:58" ht="12.75">
      <c r="B21" s="91" t="s">
        <v>81</v>
      </c>
      <c r="D21" s="91" t="s">
        <v>53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1">
        <v>0.014</v>
      </c>
      <c r="BD21" s="91">
        <v>0.013</v>
      </c>
      <c r="BF21" s="91">
        <v>0.013</v>
      </c>
    </row>
    <row r="22" spans="6:53" ht="12.75"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</row>
    <row r="23" spans="2:60" ht="12.75">
      <c r="B23" s="91" t="s">
        <v>121</v>
      </c>
      <c r="D23" s="91" t="s">
        <v>17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1">
        <f>'emiss 2'!G44</f>
        <v>40058</v>
      </c>
      <c r="BD23" s="91">
        <f>'emiss 2'!I44</f>
        <v>42014</v>
      </c>
      <c r="BF23" s="91">
        <f>'emiss 2'!K44</f>
        <v>41590</v>
      </c>
      <c r="BH23" s="93">
        <f>'emiss 2'!M44</f>
        <v>41220.666666666664</v>
      </c>
    </row>
    <row r="24" spans="2:60" ht="12.75">
      <c r="B24" s="91" t="s">
        <v>122</v>
      </c>
      <c r="D24" s="91" t="s">
        <v>18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1">
        <f>'emiss 2'!G45</f>
        <v>8.2</v>
      </c>
      <c r="BD24" s="91">
        <f>'emiss 2'!I45</f>
        <v>8.5</v>
      </c>
      <c r="BF24" s="91">
        <f>'emiss 2'!K45</f>
        <v>8.36</v>
      </c>
      <c r="BH24" s="93">
        <f>'emiss 2'!M45</f>
        <v>8.353333333333333</v>
      </c>
    </row>
    <row r="25" spans="6:60" ht="12.75"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H25" s="93"/>
    </row>
    <row r="26" spans="2:60" ht="12.75">
      <c r="B26" s="91" t="s">
        <v>255</v>
      </c>
      <c r="D26" s="91" t="s">
        <v>130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H26" s="102">
        <f>BH23/150*(21-BH24)/21</f>
        <v>165.4933432098765</v>
      </c>
    </row>
    <row r="27" spans="6:53" ht="12.75"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</row>
    <row r="28" spans="2:60" ht="12.75">
      <c r="B28" s="91" t="s">
        <v>49</v>
      </c>
      <c r="D28" s="91" t="s">
        <v>60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3">
        <f>BB28</f>
        <v>35012.63627256729</v>
      </c>
      <c r="AW28" s="92"/>
      <c r="AX28" s="93">
        <f>BD28</f>
        <v>21166.40807875192</v>
      </c>
      <c r="AY28" s="92"/>
      <c r="AZ28" s="102">
        <f>BF28</f>
        <v>17596.64983589037</v>
      </c>
      <c r="BA28" s="102"/>
      <c r="BB28" s="102">
        <f>BB15*454/60/0.0283/BB23*(21-7)/(21-BB24)*1000</f>
        <v>35012.63627256729</v>
      </c>
      <c r="BC28" s="102"/>
      <c r="BD28" s="102">
        <f>BD15*454/60/0.0283/BD23*(21-7)/(21-BD24)*1000</f>
        <v>21166.40807875192</v>
      </c>
      <c r="BE28" s="102"/>
      <c r="BF28" s="102">
        <f>BF15*454/60/0.0283/BF23*(21-7)/(21-BF24)*1000</f>
        <v>17596.64983589037</v>
      </c>
      <c r="BG28" s="102"/>
      <c r="BH28" s="102">
        <f>BH15*454/60/0.0283/BH23*(21-7)/(21-BH24)*1000</f>
        <v>24616.286440040774</v>
      </c>
    </row>
    <row r="29" spans="2:60" ht="12.75">
      <c r="B29" s="91" t="s">
        <v>128</v>
      </c>
      <c r="D29" s="91" t="s">
        <v>150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3">
        <f aca="true" t="shared" si="0" ref="AV29:AZ36">BB29</f>
        <v>6009960.934088703</v>
      </c>
      <c r="AW29" s="92"/>
      <c r="AX29" s="93">
        <f t="shared" si="0"/>
        <v>2250235.278605601</v>
      </c>
      <c r="AY29" s="92"/>
      <c r="AZ29" s="102">
        <f t="shared" si="0"/>
        <v>2290708.917119402</v>
      </c>
      <c r="BA29" s="102"/>
      <c r="BB29" s="102">
        <f>BB16*454/60/0.0283/BB23*(21-7)/(21-BB24)*1000000</f>
        <v>6009960.934088703</v>
      </c>
      <c r="BC29" s="102"/>
      <c r="BD29" s="102">
        <f>BD16*454/60/0.0283/BD23*(21-7)/(21-BD24)*1000000</f>
        <v>2250235.278605601</v>
      </c>
      <c r="BE29" s="102"/>
      <c r="BF29" s="102">
        <f>BF16*454/60/0.0283/BF23*(21-7)/(21-BF24)*1000000</f>
        <v>2290708.917119402</v>
      </c>
      <c r="BG29" s="102"/>
      <c r="BH29" s="102">
        <f>BH16*454/60/0.0283/BH23*(21-7)/(21-BH24)*1000000</f>
        <v>3814572.621982684</v>
      </c>
    </row>
    <row r="30" spans="2:60" ht="12.75">
      <c r="B30" s="91" t="s">
        <v>105</v>
      </c>
      <c r="D30" s="91" t="s">
        <v>150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3">
        <f t="shared" si="0"/>
        <v>459.9255328889718</v>
      </c>
      <c r="AW30" s="92"/>
      <c r="AX30" s="93">
        <f t="shared" si="0"/>
        <v>399.1445332906307</v>
      </c>
      <c r="AY30" s="92"/>
      <c r="AZ30" s="102">
        <f t="shared" si="0"/>
        <v>391.62724529204763</v>
      </c>
      <c r="BA30" s="102"/>
      <c r="BB30" s="102">
        <f>BB17*454/60/0.0283/BB$23*(21-7)/(21-BB$24)*1000000</f>
        <v>459.9255328889718</v>
      </c>
      <c r="BC30" s="102"/>
      <c r="BD30" s="102">
        <f>BD17*454/60/0.0283/BD$23*(21-7)/(21-BD$24)*1000000</f>
        <v>399.1445332906307</v>
      </c>
      <c r="BE30" s="102"/>
      <c r="BF30" s="102">
        <f>BF17*454/60/0.0283/BF$23*(21-7)/(21-BF$24)*1000000</f>
        <v>391.62724529204763</v>
      </c>
      <c r="BG30" s="102"/>
      <c r="BH30" s="102">
        <f aca="true" t="shared" si="1" ref="BH30:BH36">AVERAGE(BF30,BD30,BB30)</f>
        <v>416.8991038238834</v>
      </c>
    </row>
    <row r="31" spans="2:60" ht="12.75">
      <c r="B31" s="91" t="s">
        <v>80</v>
      </c>
      <c r="D31" s="91" t="s">
        <v>150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>
        <f t="shared" si="0"/>
        <v>58.40324227161547</v>
      </c>
      <c r="AW31" s="92"/>
      <c r="AX31" s="93">
        <f t="shared" si="0"/>
        <v>49.89306666132884</v>
      </c>
      <c r="AY31" s="92"/>
      <c r="AZ31" s="102">
        <f t="shared" si="0"/>
        <v>49.84346758262425</v>
      </c>
      <c r="BA31" s="102"/>
      <c r="BB31" s="102">
        <f aca="true" t="shared" si="2" ref="BB31:BD34">BB18*454/60/0.0283/BB$23*(21-7)/(21-BB$24)*1000000</f>
        <v>58.40324227161547</v>
      </c>
      <c r="BC31" s="102"/>
      <c r="BD31" s="102">
        <f t="shared" si="2"/>
        <v>49.89306666132884</v>
      </c>
      <c r="BE31" s="102"/>
      <c r="BF31" s="102">
        <f>BF18*454/60/0.0283/BF$23*(21-7)/(21-BF$24)*1000000</f>
        <v>49.84346758262425</v>
      </c>
      <c r="BG31" s="102"/>
      <c r="BH31" s="102">
        <f t="shared" si="1"/>
        <v>52.71325883852285</v>
      </c>
    </row>
    <row r="32" spans="2:60" ht="12.75">
      <c r="B32" s="91" t="s">
        <v>85</v>
      </c>
      <c r="D32" s="91" t="s">
        <v>150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3">
        <f t="shared" si="0"/>
        <v>9045.202146816446</v>
      </c>
      <c r="AW32" s="92"/>
      <c r="AX32" s="93">
        <f t="shared" si="0"/>
        <v>7932.997599151283</v>
      </c>
      <c r="AY32" s="92"/>
      <c r="AZ32" s="102">
        <f t="shared" si="0"/>
        <v>7804.06292436517</v>
      </c>
      <c r="BA32" s="102"/>
      <c r="BB32" s="102">
        <f t="shared" si="2"/>
        <v>9045.202146816446</v>
      </c>
      <c r="BC32" s="102"/>
      <c r="BD32" s="102">
        <f t="shared" si="2"/>
        <v>7932.997599151283</v>
      </c>
      <c r="BE32" s="102"/>
      <c r="BF32" s="102">
        <f>BF19*454/60/0.0283/BF$23*(21-7)/(21-BF$24)*1000000</f>
        <v>7804.06292436517</v>
      </c>
      <c r="BG32" s="102"/>
      <c r="BH32" s="102">
        <f t="shared" si="1"/>
        <v>8260.7542234443</v>
      </c>
    </row>
    <row r="33" spans="2:60" ht="12.75">
      <c r="B33" s="91" t="s">
        <v>79</v>
      </c>
      <c r="D33" s="91" t="s">
        <v>150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3">
        <f t="shared" si="0"/>
        <v>10424.97874548336</v>
      </c>
      <c r="AW33" s="92"/>
      <c r="AX33" s="93">
        <f t="shared" si="0"/>
        <v>9137.558779974797</v>
      </c>
      <c r="AY33" s="92"/>
      <c r="AZ33" s="102">
        <f t="shared" si="0"/>
        <v>8986.065155610258</v>
      </c>
      <c r="BA33" s="102"/>
      <c r="BB33" s="102">
        <f t="shared" si="2"/>
        <v>10424.97874548336</v>
      </c>
      <c r="BC33" s="102"/>
      <c r="BD33" s="102">
        <f t="shared" si="2"/>
        <v>9137.558779974797</v>
      </c>
      <c r="BE33" s="102"/>
      <c r="BF33" s="102">
        <f>BF20*454/60/0.0283/BF$23*(21-7)/(21-BF$24)*1000000</f>
        <v>8986.065155610258</v>
      </c>
      <c r="BG33" s="102"/>
      <c r="BH33" s="102">
        <f t="shared" si="1"/>
        <v>9516.200893689473</v>
      </c>
    </row>
    <row r="34" spans="2:60" ht="12.75">
      <c r="B34" s="91" t="s">
        <v>81</v>
      </c>
      <c r="D34" s="91" t="s">
        <v>150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3">
        <f t="shared" si="0"/>
        <v>102.20567397532706</v>
      </c>
      <c r="AW34" s="92"/>
      <c r="AX34" s="93">
        <f t="shared" si="0"/>
        <v>92.65855237103926</v>
      </c>
      <c r="AY34" s="92"/>
      <c r="AZ34" s="102">
        <f t="shared" si="0"/>
        <v>92.56643979630216</v>
      </c>
      <c r="BA34" s="102"/>
      <c r="BB34" s="102">
        <f t="shared" si="2"/>
        <v>102.20567397532706</v>
      </c>
      <c r="BC34" s="102"/>
      <c r="BD34" s="102">
        <f t="shared" si="2"/>
        <v>92.65855237103926</v>
      </c>
      <c r="BE34" s="102"/>
      <c r="BF34" s="102">
        <f>BF21*454/60/0.0283/BF$23*(21-7)/(21-BF$24)*1000000</f>
        <v>92.56643979630216</v>
      </c>
      <c r="BG34" s="102"/>
      <c r="BH34" s="102">
        <f t="shared" si="1"/>
        <v>95.81022204755617</v>
      </c>
    </row>
    <row r="35" spans="2:60" ht="12.75">
      <c r="B35" s="91" t="s">
        <v>55</v>
      </c>
      <c r="D35" s="91" t="s">
        <v>150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3">
        <f t="shared" si="0"/>
        <v>10424.97874548336</v>
      </c>
      <c r="AW35" s="92"/>
      <c r="AX35" s="93">
        <f t="shared" si="0"/>
        <v>9137.558779974797</v>
      </c>
      <c r="AY35" s="92"/>
      <c r="AZ35" s="102">
        <f t="shared" si="0"/>
        <v>8986.065155610258</v>
      </c>
      <c r="BA35" s="102"/>
      <c r="BB35" s="102">
        <f>BB33</f>
        <v>10424.97874548336</v>
      </c>
      <c r="BC35" s="102"/>
      <c r="BD35" s="102">
        <f>BD33</f>
        <v>9137.558779974797</v>
      </c>
      <c r="BE35" s="102"/>
      <c r="BF35" s="102">
        <f>BF33</f>
        <v>8986.065155610258</v>
      </c>
      <c r="BG35" s="102"/>
      <c r="BH35" s="102">
        <f t="shared" si="1"/>
        <v>9516.200893689473</v>
      </c>
    </row>
    <row r="36" spans="2:60" ht="12.75">
      <c r="B36" s="91" t="s">
        <v>56</v>
      </c>
      <c r="D36" s="91" t="s">
        <v>150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3">
        <f t="shared" si="0"/>
        <v>9563.530921977033</v>
      </c>
      <c r="AW36" s="92"/>
      <c r="AX36" s="93">
        <f t="shared" si="0"/>
        <v>8382.035199103242</v>
      </c>
      <c r="AY36" s="92"/>
      <c r="AZ36" s="102">
        <f t="shared" si="0"/>
        <v>8245.533637239841</v>
      </c>
      <c r="BA36" s="102"/>
      <c r="BB36" s="102">
        <f>BB32+BB31+BB30</f>
        <v>9563.530921977033</v>
      </c>
      <c r="BC36" s="102"/>
      <c r="BD36" s="102">
        <f>BD32+BD31+BD30</f>
        <v>8382.035199103242</v>
      </c>
      <c r="BE36" s="102"/>
      <c r="BF36" s="102">
        <f>BF32+BF31+BF30</f>
        <v>8245.533637239841</v>
      </c>
      <c r="BG36" s="102"/>
      <c r="BH36" s="102">
        <f t="shared" si="1"/>
        <v>8730.366586106706</v>
      </c>
    </row>
    <row r="37" spans="6:60" ht="12.75"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H37" s="93"/>
    </row>
    <row r="38" spans="2:60" ht="12.75">
      <c r="B38" s="19" t="s">
        <v>136</v>
      </c>
      <c r="F38" s="94" t="s">
        <v>175</v>
      </c>
      <c r="G38" s="94"/>
      <c r="H38" s="94" t="s">
        <v>176</v>
      </c>
      <c r="I38" s="94"/>
      <c r="J38" s="94" t="s">
        <v>177</v>
      </c>
      <c r="K38" s="94"/>
      <c r="L38" s="94" t="s">
        <v>175</v>
      </c>
      <c r="M38" s="94"/>
      <c r="N38" s="94" t="s">
        <v>176</v>
      </c>
      <c r="O38" s="94"/>
      <c r="P38" s="94" t="s">
        <v>177</v>
      </c>
      <c r="Q38" s="94"/>
      <c r="R38" s="94" t="s">
        <v>175</v>
      </c>
      <c r="S38" s="94"/>
      <c r="T38" s="94" t="s">
        <v>176</v>
      </c>
      <c r="U38" s="94"/>
      <c r="V38" s="94" t="s">
        <v>177</v>
      </c>
      <c r="W38" s="94"/>
      <c r="X38" s="94" t="s">
        <v>175</v>
      </c>
      <c r="Y38" s="94"/>
      <c r="Z38" s="94" t="s">
        <v>176</v>
      </c>
      <c r="AA38" s="94"/>
      <c r="AB38" s="94" t="s">
        <v>177</v>
      </c>
      <c r="AC38" s="94"/>
      <c r="AD38" s="94" t="s">
        <v>175</v>
      </c>
      <c r="AE38" s="94"/>
      <c r="AF38" s="94" t="s">
        <v>176</v>
      </c>
      <c r="AG38" s="94"/>
      <c r="AH38" s="94" t="s">
        <v>177</v>
      </c>
      <c r="AI38" s="94"/>
      <c r="AJ38" s="94" t="s">
        <v>175</v>
      </c>
      <c r="AK38" s="94"/>
      <c r="AL38" s="94" t="s">
        <v>176</v>
      </c>
      <c r="AM38" s="94"/>
      <c r="AN38" s="94" t="s">
        <v>177</v>
      </c>
      <c r="AO38" s="94"/>
      <c r="AP38" s="94" t="s">
        <v>175</v>
      </c>
      <c r="AQ38" s="94"/>
      <c r="AR38" s="94" t="s">
        <v>176</v>
      </c>
      <c r="AS38" s="94"/>
      <c r="AT38" s="94" t="s">
        <v>177</v>
      </c>
      <c r="AU38" s="94"/>
      <c r="AV38" s="94" t="s">
        <v>175</v>
      </c>
      <c r="AW38" s="94"/>
      <c r="AX38" s="94" t="s">
        <v>176</v>
      </c>
      <c r="AY38" s="94"/>
      <c r="AZ38" s="94" t="s">
        <v>177</v>
      </c>
      <c r="BA38" s="94"/>
      <c r="BB38" s="94" t="s">
        <v>175</v>
      </c>
      <c r="BC38" s="94"/>
      <c r="BD38" s="94" t="s">
        <v>176</v>
      </c>
      <c r="BE38" s="94"/>
      <c r="BF38" s="94" t="s">
        <v>177</v>
      </c>
      <c r="BG38" s="94"/>
      <c r="BH38" s="94" t="s">
        <v>47</v>
      </c>
    </row>
    <row r="39" spans="6:53" ht="12.75"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</row>
    <row r="40" spans="2:60" ht="12.75">
      <c r="B40" s="91" t="s">
        <v>239</v>
      </c>
      <c r="F40" s="91" t="s">
        <v>241</v>
      </c>
      <c r="H40" s="91" t="s">
        <v>241</v>
      </c>
      <c r="J40" s="91" t="s">
        <v>241</v>
      </c>
      <c r="L40" s="91" t="s">
        <v>243</v>
      </c>
      <c r="N40" s="91" t="s">
        <v>243</v>
      </c>
      <c r="P40" s="91" t="s">
        <v>243</v>
      </c>
      <c r="R40" s="91" t="s">
        <v>245</v>
      </c>
      <c r="T40" s="91" t="s">
        <v>245</v>
      </c>
      <c r="V40" s="91" t="s">
        <v>245</v>
      </c>
      <c r="X40" s="91" t="s">
        <v>246</v>
      </c>
      <c r="Z40" s="91" t="s">
        <v>246</v>
      </c>
      <c r="AB40" s="91" t="s">
        <v>246</v>
      </c>
      <c r="AD40" s="91" t="s">
        <v>248</v>
      </c>
      <c r="AF40" s="91" t="s">
        <v>248</v>
      </c>
      <c r="AH40" s="91" t="s">
        <v>248</v>
      </c>
      <c r="AJ40" s="91" t="s">
        <v>249</v>
      </c>
      <c r="AL40" s="91" t="s">
        <v>249</v>
      </c>
      <c r="AN40" s="91" t="s">
        <v>249</v>
      </c>
      <c r="AP40" s="91" t="s">
        <v>251</v>
      </c>
      <c r="AR40" s="91" t="s">
        <v>251</v>
      </c>
      <c r="AT40" s="91" t="s">
        <v>251</v>
      </c>
      <c r="BB40" s="91" t="s">
        <v>252</v>
      </c>
      <c r="BD40" s="91" t="s">
        <v>252</v>
      </c>
      <c r="BF40" s="91" t="s">
        <v>252</v>
      </c>
      <c r="BH40" s="91" t="s">
        <v>252</v>
      </c>
    </row>
    <row r="41" spans="2:60" ht="12.75">
      <c r="B41" s="91" t="s">
        <v>240</v>
      </c>
      <c r="F41" s="91" t="s">
        <v>242</v>
      </c>
      <c r="H41" s="91" t="s">
        <v>242</v>
      </c>
      <c r="J41" s="91" t="s">
        <v>242</v>
      </c>
      <c r="L41" s="91" t="s">
        <v>244</v>
      </c>
      <c r="N41" s="91" t="s">
        <v>244</v>
      </c>
      <c r="P41" s="91" t="s">
        <v>244</v>
      </c>
      <c r="R41" s="91" t="s">
        <v>244</v>
      </c>
      <c r="T41" s="91" t="s">
        <v>244</v>
      </c>
      <c r="V41" s="91" t="s">
        <v>244</v>
      </c>
      <c r="X41" s="91" t="s">
        <v>247</v>
      </c>
      <c r="Z41" s="91" t="s">
        <v>247</v>
      </c>
      <c r="AB41" s="91" t="s">
        <v>247</v>
      </c>
      <c r="AD41" s="91" t="s">
        <v>244</v>
      </c>
      <c r="AF41" s="91" t="s">
        <v>244</v>
      </c>
      <c r="AH41" s="91" t="s">
        <v>244</v>
      </c>
      <c r="AJ41" s="91" t="s">
        <v>250</v>
      </c>
      <c r="AL41" s="91" t="s">
        <v>250</v>
      </c>
      <c r="AN41" s="91" t="s">
        <v>250</v>
      </c>
      <c r="AP41" s="91" t="s">
        <v>244</v>
      </c>
      <c r="AR41" s="91" t="s">
        <v>244</v>
      </c>
      <c r="AT41" s="91" t="s">
        <v>244</v>
      </c>
      <c r="BB41" s="91" t="s">
        <v>25</v>
      </c>
      <c r="BD41" s="91" t="s">
        <v>25</v>
      </c>
      <c r="BF41" s="91" t="s">
        <v>25</v>
      </c>
      <c r="BH41" s="91" t="s">
        <v>25</v>
      </c>
    </row>
    <row r="42" spans="2:60" ht="12.75">
      <c r="B42" s="91" t="s">
        <v>254</v>
      </c>
      <c r="AV42" s="91" t="s">
        <v>61</v>
      </c>
      <c r="AX42" s="91" t="s">
        <v>61</v>
      </c>
      <c r="AZ42" s="91" t="s">
        <v>61</v>
      </c>
      <c r="BB42" s="91" t="s">
        <v>25</v>
      </c>
      <c r="BD42" s="91" t="s">
        <v>25</v>
      </c>
      <c r="BF42" s="91" t="s">
        <v>25</v>
      </c>
      <c r="BH42" s="91" t="s">
        <v>25</v>
      </c>
    </row>
    <row r="43" spans="2:60" ht="12.75">
      <c r="B43" s="91" t="s">
        <v>48</v>
      </c>
      <c r="F43" s="91" t="s">
        <v>179</v>
      </c>
      <c r="H43" s="91" t="s">
        <v>179</v>
      </c>
      <c r="J43" s="91" t="s">
        <v>179</v>
      </c>
      <c r="L43" s="91" t="s">
        <v>180</v>
      </c>
      <c r="N43" s="91" t="s">
        <v>180</v>
      </c>
      <c r="P43" s="91" t="s">
        <v>180</v>
      </c>
      <c r="R43" s="91" t="s">
        <v>181</v>
      </c>
      <c r="T43" s="91" t="s">
        <v>181</v>
      </c>
      <c r="V43" s="91" t="s">
        <v>181</v>
      </c>
      <c r="X43" s="91" t="s">
        <v>182</v>
      </c>
      <c r="Z43" s="91" t="s">
        <v>182</v>
      </c>
      <c r="AB43" s="91" t="s">
        <v>182</v>
      </c>
      <c r="AD43" s="91" t="s">
        <v>183</v>
      </c>
      <c r="AF43" s="91" t="s">
        <v>183</v>
      </c>
      <c r="AH43" s="91" t="s">
        <v>183</v>
      </c>
      <c r="AJ43" s="91" t="s">
        <v>184</v>
      </c>
      <c r="AL43" s="91" t="s">
        <v>184</v>
      </c>
      <c r="AN43" s="91" t="s">
        <v>184</v>
      </c>
      <c r="AP43" s="91" t="s">
        <v>185</v>
      </c>
      <c r="AR43" s="91" t="s">
        <v>185</v>
      </c>
      <c r="AT43" s="91" t="s">
        <v>185</v>
      </c>
      <c r="BB43" s="91" t="s">
        <v>25</v>
      </c>
      <c r="BD43" s="91" t="s">
        <v>25</v>
      </c>
      <c r="BF43" s="91" t="s">
        <v>25</v>
      </c>
      <c r="BH43" s="91" t="s">
        <v>25</v>
      </c>
    </row>
    <row r="44" spans="1:53" ht="12.75">
      <c r="A44" s="91" t="s">
        <v>136</v>
      </c>
      <c r="B44" s="91" t="s">
        <v>186</v>
      </c>
      <c r="D44" s="91" t="s">
        <v>53</v>
      </c>
      <c r="F44" s="92">
        <v>1686.42</v>
      </c>
      <c r="G44" s="92"/>
      <c r="H44" s="92">
        <v>1735.7</v>
      </c>
      <c r="I44" s="92"/>
      <c r="J44" s="92">
        <v>1734.36</v>
      </c>
      <c r="K44" s="92"/>
      <c r="L44" s="92"/>
      <c r="M44" s="92"/>
      <c r="N44" s="92">
        <v>3501.93</v>
      </c>
      <c r="O44" s="92"/>
      <c r="P44" s="92">
        <v>3512.14</v>
      </c>
      <c r="Q44" s="92"/>
      <c r="R44" s="92">
        <v>1999.79</v>
      </c>
      <c r="S44" s="92"/>
      <c r="T44" s="92">
        <v>2033.84</v>
      </c>
      <c r="U44" s="92"/>
      <c r="V44" s="92">
        <v>2053.78</v>
      </c>
      <c r="W44" s="92"/>
      <c r="X44" s="92">
        <v>4583</v>
      </c>
      <c r="Y44" s="92"/>
      <c r="Z44" s="92">
        <v>5212</v>
      </c>
      <c r="AA44" s="92"/>
      <c r="AB44" s="92">
        <v>6512</v>
      </c>
      <c r="AC44" s="92"/>
      <c r="AD44" s="92">
        <v>789.8</v>
      </c>
      <c r="AE44" s="92"/>
      <c r="AF44" s="92">
        <v>715.48</v>
      </c>
      <c r="AG44" s="92"/>
      <c r="AH44" s="92">
        <v>720.32</v>
      </c>
      <c r="AI44" s="92"/>
      <c r="AJ44" s="92">
        <v>6917.6</v>
      </c>
      <c r="AK44" s="92"/>
      <c r="AL44" s="92">
        <v>6310.4</v>
      </c>
      <c r="AM44" s="92"/>
      <c r="AN44" s="92">
        <v>6310.4</v>
      </c>
      <c r="AO44" s="92"/>
      <c r="AP44" s="92">
        <v>5047.22</v>
      </c>
      <c r="AQ44" s="92"/>
      <c r="AR44" s="92">
        <v>4933.09</v>
      </c>
      <c r="AS44" s="92"/>
      <c r="AT44" s="92">
        <v>4924.11</v>
      </c>
      <c r="AU44" s="92"/>
      <c r="AV44" s="92"/>
      <c r="AW44" s="92"/>
      <c r="AX44" s="92"/>
      <c r="AY44" s="92"/>
      <c r="AZ44" s="92"/>
      <c r="BA44" s="92"/>
    </row>
    <row r="45" spans="1:53" ht="12.75">
      <c r="A45" s="91" t="s">
        <v>136</v>
      </c>
      <c r="B45" s="91" t="s">
        <v>187</v>
      </c>
      <c r="D45" s="91" t="s">
        <v>129</v>
      </c>
      <c r="F45" s="92">
        <v>9238</v>
      </c>
      <c r="G45" s="92"/>
      <c r="H45" s="92">
        <v>9153</v>
      </c>
      <c r="I45" s="92"/>
      <c r="J45" s="92">
        <v>9147</v>
      </c>
      <c r="K45" s="92"/>
      <c r="L45" s="92">
        <v>1341</v>
      </c>
      <c r="M45" s="92"/>
      <c r="N45" s="92">
        <v>1301</v>
      </c>
      <c r="O45" s="92"/>
      <c r="P45" s="92">
        <v>1222</v>
      </c>
      <c r="Q45" s="92"/>
      <c r="R45" s="92">
        <v>8648</v>
      </c>
      <c r="S45" s="92"/>
      <c r="T45" s="92">
        <v>8672</v>
      </c>
      <c r="U45" s="92"/>
      <c r="V45" s="92">
        <v>8713</v>
      </c>
      <c r="W45" s="92"/>
      <c r="X45" s="92">
        <v>891</v>
      </c>
      <c r="Y45" s="92"/>
      <c r="Z45" s="92">
        <v>704</v>
      </c>
      <c r="AA45" s="92"/>
      <c r="AB45" s="92">
        <v>737</v>
      </c>
      <c r="AC45" s="92"/>
      <c r="AD45" s="92">
        <v>9571</v>
      </c>
      <c r="AE45" s="92"/>
      <c r="AF45" s="92">
        <v>9468</v>
      </c>
      <c r="AG45" s="92"/>
      <c r="AH45" s="92">
        <v>9412</v>
      </c>
      <c r="AI45" s="92"/>
      <c r="AJ45" s="92">
        <v>3354</v>
      </c>
      <c r="AK45" s="92"/>
      <c r="AL45" s="92">
        <v>3354</v>
      </c>
      <c r="AM45" s="92"/>
      <c r="AN45" s="92">
        <v>3354</v>
      </c>
      <c r="AO45" s="92"/>
      <c r="AP45" s="92">
        <v>8832</v>
      </c>
      <c r="AQ45" s="92"/>
      <c r="AR45" s="92">
        <v>9017</v>
      </c>
      <c r="AS45" s="92"/>
      <c r="AT45" s="92">
        <v>8676</v>
      </c>
      <c r="AU45" s="92"/>
      <c r="AV45" s="92"/>
      <c r="AW45" s="92"/>
      <c r="AX45" s="92"/>
      <c r="AY45" s="92"/>
      <c r="AZ45" s="92"/>
      <c r="BA45" s="92"/>
    </row>
    <row r="46" spans="2:54" ht="12.75">
      <c r="B46" s="91" t="s">
        <v>253</v>
      </c>
      <c r="D46" s="91" t="s">
        <v>130</v>
      </c>
      <c r="F46" s="93">
        <f>F44*F45/1000000</f>
        <v>15.57914796</v>
      </c>
      <c r="G46" s="92"/>
      <c r="H46" s="93">
        <f>H44*H45/1000000</f>
        <v>15.8868621</v>
      </c>
      <c r="I46" s="92"/>
      <c r="J46" s="93">
        <f>J44*J45/1000000</f>
        <v>15.86419092</v>
      </c>
      <c r="K46" s="92"/>
      <c r="L46" s="93">
        <f>L44*L45/1000000</f>
        <v>0</v>
      </c>
      <c r="M46" s="92"/>
      <c r="N46" s="93">
        <f>N44*N45/1000000</f>
        <v>4.556010929999999</v>
      </c>
      <c r="O46" s="92"/>
      <c r="P46" s="93">
        <f>P44*P45/1000000</f>
        <v>4.29183508</v>
      </c>
      <c r="Q46" s="92"/>
      <c r="R46" s="93">
        <f>R44*R45/1000000</f>
        <v>17.29418392</v>
      </c>
      <c r="S46" s="92"/>
      <c r="T46" s="93">
        <f>T44*T45/1000000</f>
        <v>17.63746048</v>
      </c>
      <c r="U46" s="92"/>
      <c r="V46" s="93">
        <f>V44*V45/1000000</f>
        <v>17.89458514</v>
      </c>
      <c r="W46" s="92"/>
      <c r="X46" s="93">
        <f>X44*X45/1000000</f>
        <v>4.083453</v>
      </c>
      <c r="Y46" s="92"/>
      <c r="Z46" s="93">
        <f>Z44*Z45/1000000</f>
        <v>3.669248</v>
      </c>
      <c r="AA46" s="92"/>
      <c r="AB46" s="93">
        <f>AB44*AB45/1000000</f>
        <v>4.799344</v>
      </c>
      <c r="AC46" s="92"/>
      <c r="AD46" s="93">
        <f>AD44*AD45/1000000</f>
        <v>7.5591758</v>
      </c>
      <c r="AE46" s="92"/>
      <c r="AF46" s="93">
        <f>AF44*AF45/1000000</f>
        <v>6.77416464</v>
      </c>
      <c r="AG46" s="92"/>
      <c r="AH46" s="93">
        <f>AH44*AH45/1000000</f>
        <v>6.7796518400000005</v>
      </c>
      <c r="AI46" s="92"/>
      <c r="AJ46" s="93">
        <f>AJ44*AJ45/1000000</f>
        <v>23.201630400000003</v>
      </c>
      <c r="AK46" s="92"/>
      <c r="AL46" s="93">
        <f>AL44*AL45/1000000</f>
        <v>21.165081599999997</v>
      </c>
      <c r="AM46" s="92"/>
      <c r="AN46" s="93">
        <f>AN44*AN45/1000000</f>
        <v>21.165081599999997</v>
      </c>
      <c r="AO46" s="92"/>
      <c r="AP46" s="93">
        <f>AP44*AP45/1000000</f>
        <v>44.57704704</v>
      </c>
      <c r="AQ46" s="92"/>
      <c r="AR46" s="93">
        <f>AR44*AR45/1000000</f>
        <v>44.481672530000004</v>
      </c>
      <c r="AS46" s="92"/>
      <c r="AT46" s="93">
        <f>AT44*AT45/1000000</f>
        <v>42.72157836</v>
      </c>
      <c r="AU46" s="93"/>
      <c r="AV46" s="93"/>
      <c r="AW46" s="93"/>
      <c r="AX46" s="93"/>
      <c r="AY46" s="93"/>
      <c r="AZ46" s="93"/>
      <c r="BA46" s="92"/>
      <c r="BB46" s="93"/>
    </row>
    <row r="47" spans="1:53" ht="12.75">
      <c r="A47" s="91" t="s">
        <v>136</v>
      </c>
      <c r="B47" s="91" t="s">
        <v>49</v>
      </c>
      <c r="D47" s="91" t="s">
        <v>188</v>
      </c>
      <c r="F47" s="92">
        <v>0.02</v>
      </c>
      <c r="G47" s="92"/>
      <c r="H47" s="92">
        <v>0.02</v>
      </c>
      <c r="I47" s="92"/>
      <c r="J47" s="92">
        <v>0.02</v>
      </c>
      <c r="K47" s="92"/>
      <c r="L47" s="92"/>
      <c r="M47" s="92"/>
      <c r="N47" s="92">
        <v>0.01</v>
      </c>
      <c r="O47" s="92"/>
      <c r="P47" s="92">
        <v>0.01</v>
      </c>
      <c r="Q47" s="92"/>
      <c r="R47" s="92">
        <v>0.01</v>
      </c>
      <c r="S47" s="92"/>
      <c r="T47" s="92">
        <v>0.01</v>
      </c>
      <c r="U47" s="92"/>
      <c r="V47" s="92">
        <v>0.01</v>
      </c>
      <c r="W47" s="92"/>
      <c r="X47" s="92">
        <v>61.93</v>
      </c>
      <c r="Y47" s="92"/>
      <c r="Z47" s="92">
        <v>62.25</v>
      </c>
      <c r="AA47" s="92"/>
      <c r="AB47" s="92">
        <v>62.01</v>
      </c>
      <c r="AC47" s="92"/>
      <c r="AD47" s="92">
        <v>0.01</v>
      </c>
      <c r="AE47" s="92"/>
      <c r="AF47" s="92">
        <v>0.01</v>
      </c>
      <c r="AG47" s="92"/>
      <c r="AH47" s="92">
        <v>0.01</v>
      </c>
      <c r="AI47" s="92"/>
      <c r="AJ47" s="92">
        <v>72.6</v>
      </c>
      <c r="AK47" s="92"/>
      <c r="AL47" s="92">
        <v>72.6</v>
      </c>
      <c r="AM47" s="92"/>
      <c r="AN47" s="92">
        <v>72.6</v>
      </c>
      <c r="AO47" s="92"/>
      <c r="AP47" s="92">
        <v>0.01</v>
      </c>
      <c r="AQ47" s="92"/>
      <c r="AR47" s="92">
        <v>0.01</v>
      </c>
      <c r="AS47" s="92"/>
      <c r="AT47" s="92">
        <v>0.01</v>
      </c>
      <c r="AU47" s="92"/>
      <c r="AV47" s="92"/>
      <c r="AW47" s="92"/>
      <c r="AX47" s="92"/>
      <c r="AY47" s="92"/>
      <c r="AZ47" s="92"/>
      <c r="BA47" s="92"/>
    </row>
    <row r="48" spans="1:53" ht="12.75">
      <c r="A48" s="91" t="s">
        <v>136</v>
      </c>
      <c r="B48" s="91" t="s">
        <v>128</v>
      </c>
      <c r="D48" s="91" t="s">
        <v>189</v>
      </c>
      <c r="F48" s="92">
        <v>43000</v>
      </c>
      <c r="G48" s="92"/>
      <c r="H48" s="92">
        <v>47000</v>
      </c>
      <c r="I48" s="92"/>
      <c r="J48" s="92">
        <v>53000</v>
      </c>
      <c r="K48" s="92"/>
      <c r="L48" s="92"/>
      <c r="M48" s="92"/>
      <c r="N48" s="92">
        <v>440</v>
      </c>
      <c r="O48" s="92"/>
      <c r="P48" s="92">
        <v>410</v>
      </c>
      <c r="Q48" s="92"/>
      <c r="R48" s="92">
        <v>2600</v>
      </c>
      <c r="S48" s="92"/>
      <c r="T48" s="92">
        <v>2900</v>
      </c>
      <c r="U48" s="92"/>
      <c r="V48" s="92">
        <v>18000</v>
      </c>
      <c r="W48" s="92"/>
      <c r="X48" s="92">
        <v>1100</v>
      </c>
      <c r="Y48" s="92"/>
      <c r="Z48" s="92">
        <v>820</v>
      </c>
      <c r="AA48" s="92"/>
      <c r="AB48" s="92">
        <v>770</v>
      </c>
      <c r="AC48" s="92"/>
      <c r="AD48" s="92">
        <v>24000</v>
      </c>
      <c r="AE48" s="92"/>
      <c r="AF48" s="92">
        <v>13000</v>
      </c>
      <c r="AG48" s="92"/>
      <c r="AH48" s="92">
        <v>14000</v>
      </c>
      <c r="AI48" s="92"/>
      <c r="AJ48" s="92">
        <v>95000</v>
      </c>
      <c r="AK48" s="92"/>
      <c r="AL48" s="92">
        <v>95000</v>
      </c>
      <c r="AM48" s="92"/>
      <c r="AN48" s="92">
        <v>95000</v>
      </c>
      <c r="AO48" s="92"/>
      <c r="AP48" s="92">
        <v>2400</v>
      </c>
      <c r="AQ48" s="92"/>
      <c r="AR48" s="92">
        <v>2200</v>
      </c>
      <c r="AS48" s="92"/>
      <c r="AT48" s="92">
        <v>14000</v>
      </c>
      <c r="AU48" s="92"/>
      <c r="AV48" s="92"/>
      <c r="AW48" s="92"/>
      <c r="AX48" s="92"/>
      <c r="AY48" s="92"/>
      <c r="AZ48" s="92"/>
      <c r="BA48" s="92"/>
    </row>
    <row r="49" spans="2:60" ht="12.75">
      <c r="B49" s="91" t="s">
        <v>49</v>
      </c>
      <c r="D49" s="91" t="s">
        <v>53</v>
      </c>
      <c r="F49" s="93">
        <f>F44*F47/100</f>
        <v>0.33728400000000003</v>
      </c>
      <c r="G49" s="93"/>
      <c r="H49" s="93">
        <f>H44*H47/100</f>
        <v>0.34714</v>
      </c>
      <c r="I49" s="93"/>
      <c r="J49" s="93">
        <f>J44*J47/100</f>
        <v>0.34687199999999996</v>
      </c>
      <c r="K49" s="93"/>
      <c r="N49" s="93">
        <f>N44*N47/100</f>
        <v>0.35019300000000003</v>
      </c>
      <c r="O49" s="93"/>
      <c r="P49" s="93">
        <f>P44*P47/100</f>
        <v>0.351214</v>
      </c>
      <c r="Q49" s="93"/>
      <c r="R49" s="93">
        <f>R44*R47/100</f>
        <v>0.19997900000000002</v>
      </c>
      <c r="S49" s="93"/>
      <c r="T49" s="93">
        <f>T44*T47/100</f>
        <v>0.203384</v>
      </c>
      <c r="U49" s="93"/>
      <c r="V49" s="93">
        <f>V44*V47/100</f>
        <v>0.205378</v>
      </c>
      <c r="W49" s="93"/>
      <c r="X49" s="93">
        <f>X44*X47/100</f>
        <v>2838.2519</v>
      </c>
      <c r="Y49" s="93"/>
      <c r="Z49" s="93">
        <f>Z44*Z47/100</f>
        <v>3244.47</v>
      </c>
      <c r="AA49" s="93"/>
      <c r="AB49" s="93">
        <f>AB44*AB47/100</f>
        <v>4038.0912</v>
      </c>
      <c r="AC49" s="93"/>
      <c r="AD49" s="93">
        <f>AD44*AD47/100</f>
        <v>0.07898</v>
      </c>
      <c r="AE49" s="93"/>
      <c r="AF49" s="93">
        <f>AF44*AF47/100</f>
        <v>0.071548</v>
      </c>
      <c r="AG49" s="93"/>
      <c r="AH49" s="93">
        <f>AH44*AH47/100</f>
        <v>0.07203200000000001</v>
      </c>
      <c r="AI49" s="93"/>
      <c r="AJ49" s="93">
        <f>AJ44*AJ47/100</f>
        <v>5022.1776</v>
      </c>
      <c r="AK49" s="93"/>
      <c r="AL49" s="93">
        <f>AL44*AL47/100</f>
        <v>4581.350399999999</v>
      </c>
      <c r="AM49" s="93"/>
      <c r="AN49" s="93">
        <f>AN44*AN47/100</f>
        <v>4581.350399999999</v>
      </c>
      <c r="AO49" s="93"/>
      <c r="AP49" s="93">
        <f>AP44*AP47/100</f>
        <v>0.504722</v>
      </c>
      <c r="AQ49" s="93"/>
      <c r="AR49" s="93">
        <f>AR44*AR47/100</f>
        <v>0.493309</v>
      </c>
      <c r="AS49" s="93"/>
      <c r="AT49" s="93">
        <f>AT44*AT47/100</f>
        <v>0.49241099999999993</v>
      </c>
      <c r="AU49" s="93"/>
      <c r="AV49" s="93"/>
      <c r="AW49" s="93"/>
      <c r="AX49" s="93"/>
      <c r="AY49" s="93"/>
      <c r="AZ49" s="93"/>
      <c r="BB49" s="93">
        <f>F49+L49+R49+X49+AD49+AJ49+AP49</f>
        <v>7861.550465</v>
      </c>
      <c r="BD49" s="93">
        <f>H49+N49+T49+Z49+AF49+AL49+AR49</f>
        <v>7827.285973999999</v>
      </c>
      <c r="BF49" s="93">
        <f>J49+P49+V49+AB49+AH49+AN49+AT49</f>
        <v>8620.909506999998</v>
      </c>
      <c r="BG49" s="93"/>
      <c r="BH49" s="91">
        <v>8104.37</v>
      </c>
    </row>
    <row r="50" spans="2:60" ht="12.75">
      <c r="B50" s="91" t="s">
        <v>128</v>
      </c>
      <c r="D50" s="91" t="s">
        <v>53</v>
      </c>
      <c r="F50" s="93">
        <f>F44*F48/1000000</f>
        <v>72.51606</v>
      </c>
      <c r="G50" s="93"/>
      <c r="H50" s="93">
        <f>H44*H48/1000000</f>
        <v>81.5779</v>
      </c>
      <c r="I50" s="93"/>
      <c r="J50" s="93">
        <f>J44*J48/1000000</f>
        <v>91.92108</v>
      </c>
      <c r="K50" s="93"/>
      <c r="N50" s="93">
        <f>N44*N48/1000000</f>
        <v>1.5408492</v>
      </c>
      <c r="O50" s="93"/>
      <c r="P50" s="93">
        <f>P44*P48/1000000</f>
        <v>1.4399773999999999</v>
      </c>
      <c r="Q50" s="93"/>
      <c r="R50" s="93">
        <f>R44*R48/1000000</f>
        <v>5.199454</v>
      </c>
      <c r="S50" s="93"/>
      <c r="T50" s="93">
        <f>T44*T48/1000000</f>
        <v>5.898136</v>
      </c>
      <c r="U50" s="93"/>
      <c r="V50" s="93">
        <f>V44*V48/1000000</f>
        <v>36.96804</v>
      </c>
      <c r="W50" s="93"/>
      <c r="X50" s="93">
        <f>X44*X48/1000000</f>
        <v>5.0413</v>
      </c>
      <c r="Y50" s="93"/>
      <c r="Z50" s="93">
        <f>Z44*Z48/1000000</f>
        <v>4.27384</v>
      </c>
      <c r="AA50" s="93"/>
      <c r="AB50" s="93">
        <f>AB44*AB48/1000000</f>
        <v>5.01424</v>
      </c>
      <c r="AC50" s="93"/>
      <c r="AD50" s="93">
        <f>AD44*AD48/1000000</f>
        <v>18.9552</v>
      </c>
      <c r="AE50" s="93"/>
      <c r="AF50" s="93">
        <f>AF44*AF48/1000000</f>
        <v>9.30124</v>
      </c>
      <c r="AG50" s="93"/>
      <c r="AH50" s="93">
        <f>AH44*AH48/1000000</f>
        <v>10.08448</v>
      </c>
      <c r="AI50" s="93"/>
      <c r="AJ50" s="93">
        <f>AJ44*AJ48/1000000</f>
        <v>657.172</v>
      </c>
      <c r="AK50" s="93"/>
      <c r="AL50" s="93">
        <f>AL44*AL48/1000000</f>
        <v>599.488</v>
      </c>
      <c r="AM50" s="93"/>
      <c r="AN50" s="93">
        <f>AN44*AN48/1000000</f>
        <v>599.488</v>
      </c>
      <c r="AO50" s="93"/>
      <c r="AP50" s="93">
        <f>AP44*AP48/1000000</f>
        <v>12.113328</v>
      </c>
      <c r="AQ50" s="93"/>
      <c r="AR50" s="93">
        <f>AR44*AR48/1000000</f>
        <v>10.852798</v>
      </c>
      <c r="AS50" s="93"/>
      <c r="AT50" s="93">
        <f>AT44*AT48/1000000</f>
        <v>68.93754</v>
      </c>
      <c r="AU50" s="93"/>
      <c r="AV50" s="93"/>
      <c r="AW50" s="93"/>
      <c r="AX50" s="93"/>
      <c r="AY50" s="93"/>
      <c r="AZ50" s="93"/>
      <c r="BB50" s="93">
        <f>F50+L50+R50+X50+AD50+AJ50+AP50</f>
        <v>770.997342</v>
      </c>
      <c r="BD50" s="93">
        <f>H50+N50+T50+Z50+AF50+AL50+AR50</f>
        <v>712.9327632000001</v>
      </c>
      <c r="BF50" s="93">
        <f>J50+P50+V50+AB50+AH50+AN50+AT50</f>
        <v>813.8533574000002</v>
      </c>
      <c r="BG50" s="93"/>
      <c r="BH50" s="91">
        <v>808.65</v>
      </c>
    </row>
    <row r="51" spans="2:58" ht="12.75">
      <c r="B51" s="91" t="s">
        <v>105</v>
      </c>
      <c r="D51" s="91" t="s">
        <v>53</v>
      </c>
      <c r="BB51" s="91">
        <v>0.083</v>
      </c>
      <c r="BD51" s="91">
        <v>0.076</v>
      </c>
      <c r="BF51" s="91">
        <v>0.076</v>
      </c>
    </row>
    <row r="52" spans="2:58" ht="12.75">
      <c r="B52" s="91" t="s">
        <v>80</v>
      </c>
      <c r="D52" s="91" t="s">
        <v>53</v>
      </c>
      <c r="BB52" s="91">
        <v>0.011</v>
      </c>
      <c r="BD52" s="91">
        <v>0.01</v>
      </c>
      <c r="BF52" s="91">
        <v>0.01</v>
      </c>
    </row>
    <row r="53" spans="2:58" ht="12.75">
      <c r="B53" s="91" t="s">
        <v>85</v>
      </c>
      <c r="D53" s="91" t="s">
        <v>53</v>
      </c>
      <c r="BB53" s="91">
        <v>1.649</v>
      </c>
      <c r="BD53" s="91">
        <v>1.504</v>
      </c>
      <c r="BF53" s="91">
        <v>1.504</v>
      </c>
    </row>
    <row r="54" spans="2:58" ht="12.75">
      <c r="B54" s="91" t="s">
        <v>79</v>
      </c>
      <c r="D54" s="91" t="s">
        <v>53</v>
      </c>
      <c r="BB54" s="91">
        <v>1.899</v>
      </c>
      <c r="BD54" s="91">
        <v>1.733</v>
      </c>
      <c r="BF54" s="91">
        <v>1.733</v>
      </c>
    </row>
    <row r="55" spans="2:58" ht="12.75">
      <c r="B55" s="91" t="s">
        <v>81</v>
      </c>
      <c r="D55" s="91" t="s">
        <v>53</v>
      </c>
      <c r="BB55" s="91">
        <v>0.019</v>
      </c>
      <c r="BD55" s="91">
        <v>0.017</v>
      </c>
      <c r="BF55" s="91">
        <v>0.017</v>
      </c>
    </row>
    <row r="57" spans="2:60" ht="12.75">
      <c r="B57" s="91" t="s">
        <v>121</v>
      </c>
      <c r="D57" s="91" t="s">
        <v>17</v>
      </c>
      <c r="BB57" s="91">
        <f>'emiss 2'!G88</f>
        <v>43802</v>
      </c>
      <c r="BD57" s="91">
        <f>'emiss 2'!I88</f>
        <v>42149</v>
      </c>
      <c r="BF57" s="91">
        <f>'emiss 2'!K88</f>
        <v>44494</v>
      </c>
      <c r="BH57" s="93">
        <f>'emiss 2'!M88</f>
        <v>43481.666666666664</v>
      </c>
    </row>
    <row r="58" spans="2:60" ht="12.75">
      <c r="B58" s="91" t="s">
        <v>122</v>
      </c>
      <c r="D58" s="91" t="s">
        <v>18</v>
      </c>
      <c r="BB58" s="91">
        <f>'emiss 2'!G89</f>
        <v>10.74</v>
      </c>
      <c r="BD58" s="91">
        <f>'emiss 2'!I89</f>
        <v>10.09</v>
      </c>
      <c r="BF58" s="91">
        <f>'emiss 2'!K89</f>
        <v>10.62</v>
      </c>
      <c r="BH58" s="93">
        <f>'emiss 2'!M89</f>
        <v>10.483333333333334</v>
      </c>
    </row>
    <row r="59" ht="12.75">
      <c r="BH59" s="93"/>
    </row>
    <row r="60" spans="2:60" ht="12.75">
      <c r="B60" s="91" t="s">
        <v>255</v>
      </c>
      <c r="D60" s="91" t="s">
        <v>130</v>
      </c>
      <c r="BH60" s="102">
        <f>BH57/150*(21-BH58)/21</f>
        <v>145.1689506172839</v>
      </c>
    </row>
    <row r="62" spans="2:60" ht="12.75">
      <c r="B62" s="91" t="s">
        <v>49</v>
      </c>
      <c r="D62" s="91" t="s">
        <v>60</v>
      </c>
      <c r="AV62" s="93">
        <f>BB62</f>
        <v>65480.66896330475</v>
      </c>
      <c r="AX62" s="93">
        <f>BD62</f>
        <v>63715.54144593821</v>
      </c>
      <c r="AZ62" s="102">
        <f>BF62</f>
        <v>69871.56728601028</v>
      </c>
      <c r="BA62" s="102"/>
      <c r="BB62" s="102">
        <f>BB49*454/60/0.0283/BB57*(21-7)/(21-BB58)*1000</f>
        <v>65480.66896330475</v>
      </c>
      <c r="BC62" s="102"/>
      <c r="BD62" s="102">
        <f>BD49*454/60/0.0283/BD57*(21-7)/(21-BD58)*1000</f>
        <v>63715.54144593821</v>
      </c>
      <c r="BE62" s="102"/>
      <c r="BF62" s="102">
        <f>BF49*454/60/0.0283/BF57*(21-7)/(21-BF58)*1000</f>
        <v>69871.56728601028</v>
      </c>
      <c r="BG62" s="102"/>
      <c r="BH62" s="102">
        <f>BH49*454/60/0.0283/BH57*(21-7)/(21-BH58)*1000</f>
        <v>66340.87138036944</v>
      </c>
    </row>
    <row r="63" spans="2:60" ht="12.75">
      <c r="B63" s="91" t="s">
        <v>128</v>
      </c>
      <c r="D63" s="91" t="s">
        <v>150</v>
      </c>
      <c r="AV63" s="93">
        <f aca="true" t="shared" si="3" ref="AV63:AZ70">BB63</f>
        <v>6421814.875812776</v>
      </c>
      <c r="AX63" s="93">
        <f t="shared" si="3"/>
        <v>5803403.270651583</v>
      </c>
      <c r="AZ63" s="102">
        <f t="shared" si="3"/>
        <v>6596196.094663342</v>
      </c>
      <c r="BA63" s="102"/>
      <c r="BB63" s="102">
        <f>BB50*454/60/0.0283/BB57*(21-7)/(21-BB58)*1000000</f>
        <v>6421814.875812776</v>
      </c>
      <c r="BC63" s="102"/>
      <c r="BD63" s="102">
        <f>BD50*454/60/0.0283/BD57*(21-7)/(21-BD58)*1000000</f>
        <v>5803403.270651583</v>
      </c>
      <c r="BE63" s="102"/>
      <c r="BF63" s="102">
        <f>BF50*454/60/0.0283/BF57*(21-7)/(21-BF58)*1000000</f>
        <v>6596196.094663342</v>
      </c>
      <c r="BG63" s="102"/>
      <c r="BH63" s="102">
        <f>BH50*454/60/0.0283/BH57*(21-7)/(21-BH58)*1000000</f>
        <v>6619459.087101865</v>
      </c>
    </row>
    <row r="64" spans="2:60" ht="12.75">
      <c r="B64" s="91" t="s">
        <v>105</v>
      </c>
      <c r="D64" s="91" t="s">
        <v>150</v>
      </c>
      <c r="AV64" s="93">
        <f t="shared" si="3"/>
        <v>691.3261637320411</v>
      </c>
      <c r="AX64" s="93">
        <f t="shared" si="3"/>
        <v>618.6539198869577</v>
      </c>
      <c r="AZ64" s="102">
        <f t="shared" si="3"/>
        <v>615.9720281746347</v>
      </c>
      <c r="BA64" s="102"/>
      <c r="BB64" s="102">
        <f>BB51*454/60/0.0283/BB$57*(21-7)/(21-BB$58)*1000000</f>
        <v>691.3261637320411</v>
      </c>
      <c r="BC64" s="102"/>
      <c r="BD64" s="102">
        <f>BD51*454/60/0.0283/BD$57*(21-7)/(21-BD$58)*1000000</f>
        <v>618.6539198869577</v>
      </c>
      <c r="BE64" s="102"/>
      <c r="BF64" s="102">
        <f>BF51*454/60/0.0283/BF$57*(21-7)/(21-BF$58)*1000000</f>
        <v>615.9720281746347</v>
      </c>
      <c r="BG64" s="102"/>
      <c r="BH64" s="102">
        <f aca="true" t="shared" si="4" ref="BH64:BH70">AVERAGE(BF64,BD64,BB64)</f>
        <v>641.9840372645446</v>
      </c>
    </row>
    <row r="65" spans="2:60" ht="12.75">
      <c r="B65" s="91" t="s">
        <v>80</v>
      </c>
      <c r="D65" s="91" t="s">
        <v>150</v>
      </c>
      <c r="AV65" s="93">
        <f t="shared" si="3"/>
        <v>91.62153977171629</v>
      </c>
      <c r="AX65" s="93">
        <f t="shared" si="3"/>
        <v>81.4018315640734</v>
      </c>
      <c r="AZ65" s="102">
        <f t="shared" si="3"/>
        <v>81.04895107560985</v>
      </c>
      <c r="BA65" s="102"/>
      <c r="BB65" s="102">
        <f aca="true" t="shared" si="5" ref="BB65:BD68">BB52*454/60/0.0283/BB$57*(21-7)/(21-BB$58)*1000000</f>
        <v>91.62153977171629</v>
      </c>
      <c r="BC65" s="102"/>
      <c r="BD65" s="102">
        <f t="shared" si="5"/>
        <v>81.4018315640734</v>
      </c>
      <c r="BE65" s="102"/>
      <c r="BF65" s="102">
        <f>BF52*454/60/0.0283/BF$57*(21-7)/(21-BF$58)*1000000</f>
        <v>81.04895107560985</v>
      </c>
      <c r="BG65" s="102"/>
      <c r="BH65" s="102">
        <f t="shared" si="4"/>
        <v>84.69077413713319</v>
      </c>
    </row>
    <row r="66" spans="2:60" ht="12.75">
      <c r="B66" s="91" t="s">
        <v>85</v>
      </c>
      <c r="D66" s="91" t="s">
        <v>150</v>
      </c>
      <c r="AV66" s="93">
        <f t="shared" si="3"/>
        <v>13734.901734869103</v>
      </c>
      <c r="AX66" s="93">
        <f t="shared" si="3"/>
        <v>12242.835467236642</v>
      </c>
      <c r="AZ66" s="102">
        <f t="shared" si="3"/>
        <v>12189.762241771723</v>
      </c>
      <c r="BA66" s="102"/>
      <c r="BB66" s="102">
        <f t="shared" si="5"/>
        <v>13734.901734869103</v>
      </c>
      <c r="BC66" s="102"/>
      <c r="BD66" s="102">
        <f t="shared" si="5"/>
        <v>12242.835467236642</v>
      </c>
      <c r="BE66" s="102"/>
      <c r="BF66" s="102">
        <f>BF53*454/60/0.0283/BF$57*(21-7)/(21-BF$58)*1000000</f>
        <v>12189.762241771723</v>
      </c>
      <c r="BG66" s="102"/>
      <c r="BH66" s="102">
        <f t="shared" si="4"/>
        <v>12722.499814625822</v>
      </c>
    </row>
    <row r="67" spans="2:60" ht="12.75">
      <c r="B67" s="91" t="s">
        <v>79</v>
      </c>
      <c r="D67" s="91" t="s">
        <v>150</v>
      </c>
      <c r="AV67" s="93">
        <f t="shared" si="3"/>
        <v>15817.209456953564</v>
      </c>
      <c r="AX67" s="93">
        <f t="shared" si="3"/>
        <v>14106.937410053923</v>
      </c>
      <c r="AZ67" s="102">
        <f t="shared" si="3"/>
        <v>14045.783221403186</v>
      </c>
      <c r="BA67" s="102"/>
      <c r="BB67" s="102">
        <f t="shared" si="5"/>
        <v>15817.209456953564</v>
      </c>
      <c r="BC67" s="102"/>
      <c r="BD67" s="102">
        <f t="shared" si="5"/>
        <v>14106.937410053923</v>
      </c>
      <c r="BE67" s="102"/>
      <c r="BF67" s="102">
        <f>BF54*454/60/0.0283/BF$57*(21-7)/(21-BF$58)*1000000</f>
        <v>14045.783221403186</v>
      </c>
      <c r="BG67" s="102"/>
      <c r="BH67" s="102">
        <f t="shared" si="4"/>
        <v>14656.643362803557</v>
      </c>
    </row>
    <row r="68" spans="2:60" ht="12.75">
      <c r="B68" s="91" t="s">
        <v>81</v>
      </c>
      <c r="D68" s="91" t="s">
        <v>150</v>
      </c>
      <c r="AV68" s="93">
        <f t="shared" si="3"/>
        <v>158.25538687841902</v>
      </c>
      <c r="AX68" s="93">
        <f t="shared" si="3"/>
        <v>138.38311365892483</v>
      </c>
      <c r="AZ68" s="102">
        <f t="shared" si="3"/>
        <v>137.78321682853675</v>
      </c>
      <c r="BA68" s="102"/>
      <c r="BB68" s="102">
        <f t="shared" si="5"/>
        <v>158.25538687841902</v>
      </c>
      <c r="BC68" s="102"/>
      <c r="BD68" s="102">
        <f t="shared" si="5"/>
        <v>138.38311365892483</v>
      </c>
      <c r="BE68" s="102"/>
      <c r="BF68" s="102">
        <f>BF55*454/60/0.0283/BF$57*(21-7)/(21-BF$58)*1000000</f>
        <v>137.78321682853675</v>
      </c>
      <c r="BG68" s="102"/>
      <c r="BH68" s="102">
        <f t="shared" si="4"/>
        <v>144.80723912196018</v>
      </c>
    </row>
    <row r="69" spans="2:60" ht="12.75">
      <c r="B69" s="91" t="s">
        <v>55</v>
      </c>
      <c r="D69" s="91" t="s">
        <v>150</v>
      </c>
      <c r="AV69" s="93">
        <f t="shared" si="3"/>
        <v>15817.209456953564</v>
      </c>
      <c r="AX69" s="93">
        <f t="shared" si="3"/>
        <v>14106.937410053923</v>
      </c>
      <c r="AZ69" s="102">
        <f t="shared" si="3"/>
        <v>14045.783221403186</v>
      </c>
      <c r="BA69" s="102"/>
      <c r="BB69" s="102">
        <f>BB67</f>
        <v>15817.209456953564</v>
      </c>
      <c r="BC69" s="102"/>
      <c r="BD69" s="102">
        <f>BD67</f>
        <v>14106.937410053923</v>
      </c>
      <c r="BE69" s="102"/>
      <c r="BF69" s="102">
        <f>BF67</f>
        <v>14045.783221403186</v>
      </c>
      <c r="BG69" s="102"/>
      <c r="BH69" s="102">
        <f t="shared" si="4"/>
        <v>14656.643362803557</v>
      </c>
    </row>
    <row r="70" spans="2:60" ht="12.75">
      <c r="B70" s="91" t="s">
        <v>56</v>
      </c>
      <c r="D70" s="91" t="s">
        <v>150</v>
      </c>
      <c r="AV70" s="93">
        <f t="shared" si="3"/>
        <v>14517.849438372861</v>
      </c>
      <c r="AX70" s="93">
        <f t="shared" si="3"/>
        <v>12942.891218687673</v>
      </c>
      <c r="AZ70" s="102">
        <f t="shared" si="3"/>
        <v>12886.783221021968</v>
      </c>
      <c r="BA70" s="102"/>
      <c r="BB70" s="102">
        <f>BB66+BB65+BB64</f>
        <v>14517.849438372861</v>
      </c>
      <c r="BC70" s="102"/>
      <c r="BD70" s="102">
        <f>BD66+BD65+BD64</f>
        <v>12942.891218687673</v>
      </c>
      <c r="BE70" s="102"/>
      <c r="BF70" s="102">
        <f>BF66+BF65+BF64</f>
        <v>12886.783221021968</v>
      </c>
      <c r="BG70" s="102"/>
      <c r="BH70" s="102">
        <f t="shared" si="4"/>
        <v>13449.174626027501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B1">
      <selection activeCell="C19" sqref="C19"/>
    </sheetView>
  </sheetViews>
  <sheetFormatPr defaultColWidth="9.140625" defaultRowHeight="12.75"/>
  <cols>
    <col min="1" max="1" width="3.8515625" style="0" hidden="1" customWidth="1"/>
    <col min="2" max="2" width="33.5742187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9" t="s">
        <v>66</v>
      </c>
      <c r="C1" s="15"/>
      <c r="D1" s="15"/>
      <c r="E1" s="15"/>
      <c r="F1" s="15"/>
    </row>
    <row r="2" spans="2:6" ht="12.75">
      <c r="B2" s="15"/>
      <c r="C2" s="15"/>
      <c r="D2" s="15"/>
      <c r="E2" s="15"/>
      <c r="F2" s="15"/>
    </row>
    <row r="3" spans="1:6" ht="12.75">
      <c r="A3" t="s">
        <v>87</v>
      </c>
      <c r="B3" s="9" t="s">
        <v>166</v>
      </c>
      <c r="C3" s="15" t="str">
        <f>cond!C10</f>
        <v>Trial - risk burn (DRE)</v>
      </c>
      <c r="D3" s="15"/>
      <c r="E3" t="s">
        <v>47</v>
      </c>
      <c r="F3" s="15"/>
    </row>
    <row r="4" spans="2:6" ht="12.75">
      <c r="B4" s="15"/>
      <c r="C4" s="15"/>
      <c r="D4" s="15"/>
      <c r="F4" s="15"/>
    </row>
    <row r="5" spans="2:6" ht="14.25">
      <c r="B5" s="15" t="s">
        <v>138</v>
      </c>
      <c r="C5" s="10" t="s">
        <v>54</v>
      </c>
      <c r="D5" s="10"/>
      <c r="E5">
        <v>1086</v>
      </c>
      <c r="F5" s="15"/>
    </row>
    <row r="6" spans="2:6" ht="14.25">
      <c r="B6" t="s">
        <v>144</v>
      </c>
      <c r="C6" s="10" t="s">
        <v>54</v>
      </c>
      <c r="D6" s="10"/>
      <c r="E6">
        <v>1659</v>
      </c>
      <c r="F6" s="15"/>
    </row>
    <row r="7" spans="2:5" s="15" customFormat="1" ht="14.25">
      <c r="B7" s="15" t="s">
        <v>139</v>
      </c>
      <c r="C7" s="10" t="s">
        <v>54</v>
      </c>
      <c r="E7">
        <v>479</v>
      </c>
    </row>
    <row r="8" spans="2:5" s="15" customFormat="1" ht="12.75">
      <c r="B8" s="15" t="s">
        <v>140</v>
      </c>
      <c r="C8" s="15" t="s">
        <v>114</v>
      </c>
      <c r="E8">
        <v>24</v>
      </c>
    </row>
    <row r="9" spans="2:5" s="15" customFormat="1" ht="12.75">
      <c r="B9" s="15" t="s">
        <v>141</v>
      </c>
      <c r="C9" s="15" t="s">
        <v>115</v>
      </c>
      <c r="E9">
        <v>303</v>
      </c>
    </row>
    <row r="10" spans="2:5" s="15" customFormat="1" ht="12.75">
      <c r="B10" s="15" t="s">
        <v>142</v>
      </c>
      <c r="C10" s="15" t="s">
        <v>115</v>
      </c>
      <c r="E10">
        <v>2338</v>
      </c>
    </row>
    <row r="11" spans="2:5" s="15" customFormat="1" ht="14.25">
      <c r="B11" s="15" t="s">
        <v>143</v>
      </c>
      <c r="C11" s="10"/>
      <c r="E11">
        <v>5.9</v>
      </c>
    </row>
    <row r="12" spans="3:5" s="15" customFormat="1" ht="14.25">
      <c r="C12" s="10"/>
      <c r="E12"/>
    </row>
    <row r="13" spans="2:5" ht="12.75">
      <c r="B13" s="9" t="s">
        <v>167</v>
      </c>
      <c r="C13" s="15" t="str">
        <f>cond!C20</f>
        <v>Trial - risk burn (Metals)</v>
      </c>
      <c r="D13" s="15"/>
      <c r="E13" t="s">
        <v>47</v>
      </c>
    </row>
    <row r="14" spans="2:4" ht="12.75">
      <c r="B14" s="15"/>
      <c r="C14" s="15"/>
      <c r="D14" s="15"/>
    </row>
    <row r="15" spans="2:5" ht="14.25">
      <c r="B15" t="s">
        <v>145</v>
      </c>
      <c r="C15" s="10" t="s">
        <v>54</v>
      </c>
      <c r="D15" s="10"/>
      <c r="E15">
        <v>2352</v>
      </c>
    </row>
    <row r="16" spans="2:5" ht="14.25">
      <c r="B16" s="15" t="s">
        <v>139</v>
      </c>
      <c r="C16" s="10" t="s">
        <v>54</v>
      </c>
      <c r="D16" s="10"/>
      <c r="E16">
        <v>476</v>
      </c>
    </row>
    <row r="17" spans="2:4" ht="12.75">
      <c r="B17" s="15"/>
      <c r="C17" s="15"/>
      <c r="D17" s="15"/>
    </row>
    <row r="18" spans="2:4" ht="12.75">
      <c r="B18" s="15"/>
      <c r="C18" s="15"/>
      <c r="D18" s="15"/>
    </row>
    <row r="20" ht="12.75">
      <c r="B20" s="9"/>
    </row>
    <row r="21" spans="2:4" ht="12.75">
      <c r="B21" s="15"/>
      <c r="C21" s="15"/>
      <c r="D21" s="15"/>
    </row>
    <row r="22" spans="2:4" ht="14.25">
      <c r="B22" s="15"/>
      <c r="C22" s="10"/>
      <c r="D22" s="10"/>
    </row>
    <row r="23" spans="2:4" ht="14.25">
      <c r="B23" s="15"/>
      <c r="C23" s="10"/>
      <c r="D23" s="10"/>
    </row>
    <row r="24" spans="2:4" ht="12.75">
      <c r="B24" s="15"/>
      <c r="C24" s="15"/>
      <c r="D24" s="15"/>
    </row>
    <row r="25" spans="2:4" ht="12.75">
      <c r="B25" s="15"/>
      <c r="C25" s="15"/>
      <c r="D25" s="15"/>
    </row>
    <row r="26" spans="2:4" ht="12.75">
      <c r="B26" s="15"/>
      <c r="C26" s="15"/>
      <c r="D26" s="1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C1">
      <selection activeCell="B1" sqref="B1"/>
    </sheetView>
  </sheetViews>
  <sheetFormatPr defaultColWidth="9.140625" defaultRowHeight="12.75"/>
  <cols>
    <col min="1" max="1" width="0.42578125" style="0" hidden="1" customWidth="1"/>
    <col min="2" max="2" width="7.7109375" style="0" hidden="1" customWidth="1"/>
    <col min="3" max="3" width="24.7109375" style="0" customWidth="1"/>
  </cols>
  <sheetData>
    <row r="1" ht="12.75">
      <c r="C1" s="9" t="s">
        <v>207</v>
      </c>
    </row>
    <row r="3" ht="12.75">
      <c r="C3" s="19" t="s">
        <v>134</v>
      </c>
    </row>
    <row r="5" spans="1:31" s="91" customFormat="1" ht="12.75">
      <c r="A5" s="91" t="s">
        <v>134</v>
      </c>
      <c r="B5" s="91" t="s">
        <v>203</v>
      </c>
      <c r="C5" s="91" t="s">
        <v>208</v>
      </c>
      <c r="D5" s="91" t="s">
        <v>204</v>
      </c>
      <c r="E5" s="92">
        <v>2101</v>
      </c>
      <c r="F5" s="92">
        <v>2138</v>
      </c>
      <c r="G5" s="92">
        <v>2152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22" s="91" customFormat="1" ht="12.75">
      <c r="A6" s="91" t="s">
        <v>134</v>
      </c>
      <c r="B6" s="91" t="s">
        <v>205</v>
      </c>
      <c r="C6" s="91" t="s">
        <v>211</v>
      </c>
      <c r="D6" s="91" t="s">
        <v>204</v>
      </c>
      <c r="E6" s="92">
        <v>147</v>
      </c>
      <c r="F6" s="92">
        <v>140</v>
      </c>
      <c r="G6" s="92">
        <v>138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s="91" customFormat="1" ht="12.75">
      <c r="A7" s="91" t="s">
        <v>134</v>
      </c>
      <c r="B7" s="91" t="s">
        <v>203</v>
      </c>
      <c r="C7" s="91" t="s">
        <v>209</v>
      </c>
      <c r="D7" s="91" t="s">
        <v>204</v>
      </c>
      <c r="E7" s="92">
        <v>423</v>
      </c>
      <c r="F7" s="92">
        <v>414</v>
      </c>
      <c r="G7" s="92">
        <v>413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3" s="91" customFormat="1" ht="12.75">
      <c r="A8" s="91" t="s">
        <v>134</v>
      </c>
      <c r="B8" s="91" t="s">
        <v>203</v>
      </c>
      <c r="C8" s="91" t="s">
        <v>210</v>
      </c>
      <c r="D8" s="91" t="s">
        <v>114</v>
      </c>
      <c r="E8" s="92">
        <v>8.1</v>
      </c>
      <c r="F8" s="92">
        <v>7.4</v>
      </c>
      <c r="G8" s="92">
        <v>6.6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s="91" customFormat="1" ht="12.75">
      <c r="A9" s="91" t="s">
        <v>134</v>
      </c>
      <c r="B9" s="91" t="s">
        <v>206</v>
      </c>
      <c r="C9" s="91" t="s">
        <v>212</v>
      </c>
      <c r="D9" s="91" t="s">
        <v>114</v>
      </c>
      <c r="E9" s="92">
        <v>29</v>
      </c>
      <c r="F9" s="92">
        <v>27.7</v>
      </c>
      <c r="G9" s="92">
        <v>27.8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5:23" s="91" customFormat="1" ht="12.75"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3:23" s="91" customFormat="1" ht="12.75">
      <c r="C11" s="19" t="s">
        <v>136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5:23" s="91" customFormat="1" ht="12.75"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31" s="91" customFormat="1" ht="12.75">
      <c r="A13" s="91" t="s">
        <v>136</v>
      </c>
      <c r="B13" s="91" t="s">
        <v>203</v>
      </c>
      <c r="C13" s="91" t="s">
        <v>208</v>
      </c>
      <c r="D13" s="91" t="s">
        <v>204</v>
      </c>
      <c r="E13" s="92">
        <v>1869</v>
      </c>
      <c r="F13" s="92">
        <v>1816</v>
      </c>
      <c r="G13" s="92">
        <v>1756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22" s="91" customFormat="1" ht="12.75">
      <c r="A14" s="91" t="s">
        <v>136</v>
      </c>
      <c r="B14" s="91" t="s">
        <v>205</v>
      </c>
      <c r="C14" s="91" t="s">
        <v>211</v>
      </c>
      <c r="D14" s="91" t="s">
        <v>204</v>
      </c>
      <c r="E14" s="92">
        <v>142</v>
      </c>
      <c r="F14" s="92">
        <v>145</v>
      </c>
      <c r="G14" s="92">
        <v>139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s="91" customFormat="1" ht="12.75">
      <c r="A15" s="91" t="s">
        <v>136</v>
      </c>
      <c r="B15" s="91" t="s">
        <v>203</v>
      </c>
      <c r="C15" s="91" t="s">
        <v>209</v>
      </c>
      <c r="D15" s="91" t="s">
        <v>204</v>
      </c>
      <c r="E15" s="92">
        <v>414</v>
      </c>
      <c r="F15" s="92">
        <v>415</v>
      </c>
      <c r="G15" s="92">
        <v>413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3" s="91" customFormat="1" ht="12.75">
      <c r="A16" s="91" t="s">
        <v>136</v>
      </c>
      <c r="B16" s="91" t="s">
        <v>203</v>
      </c>
      <c r="C16" s="91" t="s">
        <v>210</v>
      </c>
      <c r="D16" s="91" t="s">
        <v>114</v>
      </c>
      <c r="E16" s="92">
        <v>6.9</v>
      </c>
      <c r="F16" s="92">
        <v>6.8</v>
      </c>
      <c r="G16" s="92">
        <v>8.2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s="91" customFormat="1" ht="12.75">
      <c r="A17" s="91" t="s">
        <v>136</v>
      </c>
      <c r="B17" s="91" t="s">
        <v>206</v>
      </c>
      <c r="C17" s="91" t="s">
        <v>212</v>
      </c>
      <c r="D17" s="91" t="s">
        <v>114</v>
      </c>
      <c r="E17" s="92">
        <v>27.9</v>
      </c>
      <c r="F17" s="92">
        <v>27.6</v>
      </c>
      <c r="G17" s="92">
        <v>27.8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2004-02-25T02:00:46Z</cp:lastPrinted>
  <dcterms:created xsi:type="dcterms:W3CDTF">2000-01-10T00:44:42Z</dcterms:created>
  <dcterms:modified xsi:type="dcterms:W3CDTF">2005-03-11T00:03:09Z</dcterms:modified>
  <cp:category/>
  <cp:version/>
  <cp:contentType/>
  <cp:contentStatus/>
</cp:coreProperties>
</file>